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8.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omments8.xml" ContentType="application/vnd.openxmlformats-officedocument.spreadsheetml.comments+xml"/>
  <Override PartName="/xl/drawings/drawing10.xml" ContentType="application/vnd.openxmlformats-officedocument.drawing+xml"/>
  <Override PartName="/xl/comments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showInkAnnotation="0" codeName="ThisWorkbook" autoCompressPictures="0"/>
  <mc:AlternateContent xmlns:mc="http://schemas.openxmlformats.org/markup-compatibility/2006">
    <mc:Choice Requires="x15">
      <x15ac:absPath xmlns:x15ac="http://schemas.microsoft.com/office/spreadsheetml/2010/11/ac" url="C:\Users\44753\Documents\"/>
    </mc:Choice>
  </mc:AlternateContent>
  <xr:revisionPtr revIDLastSave="0" documentId="13_ncr:1_{A3A0C64D-36A5-4AF1-AF21-D56CD673D8A1}" xr6:coauthVersionLast="47" xr6:coauthVersionMax="47" xr10:uidLastSave="{00000000-0000-0000-0000-000000000000}"/>
  <workbookProtection workbookAlgorithmName="SHA-512" workbookHashValue="yZG8oyBb1rWY1Jp86D1G78jKI8Cj6AGIvy0OiHbAet1mEfWJSDl9dfSQ67LDle+wZpBCv9sj39CuQEwAf39Icg==" workbookSaltValue="6AbsYXnN03fjZmVlQe99vw==" workbookSpinCount="100000" lockStructure="1"/>
  <bookViews>
    <workbookView xWindow="-108" yWindow="-108" windowWidth="23256" windowHeight="13176" tabRatio="768" firstSheet="1" activeTab="1" xr2:uid="{00000000-000D-0000-FFFF-FFFF00000000}"/>
  </bookViews>
  <sheets>
    <sheet name="Cover Page" sheetId="13" state="hidden" r:id="rId1"/>
    <sheet name="Intro" sheetId="19" r:id="rId2"/>
    <sheet name="Pricing Model" sheetId="14" r:id="rId3"/>
    <sheet name="Sales Forecast" sheetId="11" r:id="rId4"/>
    <sheet name="Stock Model" sheetId="21" r:id="rId5"/>
    <sheet name="Profit &amp; Loss Ecommerce" sheetId="1" r:id="rId6"/>
    <sheet name="Profit &amp; Loss Store" sheetId="22" r:id="rId7"/>
    <sheet name="Consolidated Profit and Loss" sheetId="24" r:id="rId8"/>
    <sheet name="Cash Flow" sheetId="9" r:id="rId9"/>
    <sheet name="Balance Sheet" sheetId="8" r:id="rId10"/>
    <sheet name="Ratio Analysis and Graphs" sheetId="2" r:id="rId11"/>
    <sheet name="Graphs" sheetId="7" state="hidden" r:id="rId12"/>
    <sheet name="Profit &amp; Loss Retail" sheetId="20" state="hidden" r:id="rId13"/>
    <sheet name="Copyright (DO NOT DELETE)" sheetId="15" r:id="rId14"/>
    <sheet name="Cash Flow - Indirect Method" sheetId="10" state="hidden" r:id="rId15"/>
    <sheet name="COPYRIGHT PROTECTION" sheetId="18" state="veryHidden" r:id="rId16"/>
  </sheets>
  <definedNames>
    <definedName name="_xlnm.Print_Area" localSheetId="8">'Cash Flow'!$A$2:$AM$142</definedName>
    <definedName name="_xlnm.Print_Area" localSheetId="14">'Cash Flow - Indirect Method'!$A$2:$AM$9</definedName>
    <definedName name="_xlnm.Print_Area" localSheetId="7">'Consolidated Profit and Loss'!$A$2:$AM$87</definedName>
    <definedName name="_xlnm.Print_Area" localSheetId="11">Graphs!$A$2:$M$100</definedName>
    <definedName name="_xlnm.Print_Area" localSheetId="5">'Profit &amp; Loss Ecommerce'!$A$2:$AM$127</definedName>
    <definedName name="_xlnm.Print_Area" localSheetId="12">'Profit &amp; Loss Retail'!$A$2:$AM$154</definedName>
    <definedName name="_xlnm.Print_Area" localSheetId="6">'Profit &amp; Loss Store'!$A$2:$AM$136</definedName>
    <definedName name="_xlnm.Print_Area" localSheetId="10">'Ratio Analysis and Graphs'!$A$2:$G$52</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F23" i="2" l="1"/>
  <c r="C31" i="11"/>
  <c r="H217" i="2"/>
  <c r="H216" i="2"/>
  <c r="H215" i="2"/>
  <c r="H214" i="2"/>
  <c r="K209" i="2"/>
  <c r="K210" i="2"/>
  <c r="J211" i="2"/>
  <c r="H211" i="2"/>
  <c r="D51" i="24"/>
  <c r="G228" i="2"/>
  <c r="G227" i="2"/>
  <c r="G226" i="2"/>
  <c r="G225" i="2"/>
  <c r="AB73" i="24"/>
  <c r="AB76" i="24"/>
  <c r="AB117" i="22"/>
  <c r="G34" i="2"/>
  <c r="E225" i="2" s="1"/>
  <c r="E34" i="2"/>
  <c r="C225" i="2" s="1"/>
  <c r="B221" i="2"/>
  <c r="B220" i="2"/>
  <c r="B219" i="2"/>
  <c r="B218" i="2"/>
  <c r="AH34" i="11" l="1"/>
  <c r="AI34" i="11"/>
  <c r="AJ34" i="11"/>
  <c r="AI33" i="11"/>
  <c r="AI29" i="11"/>
  <c r="AI28" i="11"/>
  <c r="AA39" i="11"/>
  <c r="AA38" i="11"/>
  <c r="AA34" i="11"/>
  <c r="AA33" i="11"/>
  <c r="AA29" i="11"/>
  <c r="AA28" i="11"/>
  <c r="W39" i="11"/>
  <c r="W38" i="11"/>
  <c r="W34" i="11"/>
  <c r="W33" i="11"/>
  <c r="W29" i="11"/>
  <c r="X28" i="11"/>
  <c r="W28" i="11"/>
  <c r="K34" i="11"/>
  <c r="K33" i="11"/>
  <c r="K35" i="11" s="1"/>
  <c r="L29" i="11"/>
  <c r="L28" i="11"/>
  <c r="K28" i="11"/>
  <c r="K39" i="11"/>
  <c r="K38" i="11"/>
  <c r="K29" i="11"/>
  <c r="F23" i="14"/>
  <c r="G23" i="14"/>
  <c r="E23" i="14"/>
  <c r="G43" i="14"/>
  <c r="F43" i="14"/>
  <c r="M63" i="14"/>
  <c r="I38" i="22"/>
  <c r="J38" i="22"/>
  <c r="H38" i="22"/>
  <c r="C38" i="22"/>
  <c r="H29" i="22" s="1"/>
  <c r="M27" i="22" s="1"/>
  <c r="N42" i="24"/>
  <c r="O42" i="24"/>
  <c r="P42" i="24"/>
  <c r="I34" i="1"/>
  <c r="J34" i="1"/>
  <c r="H34" i="1"/>
  <c r="D39" i="1"/>
  <c r="E39" i="1"/>
  <c r="C39" i="1"/>
  <c r="F69" i="11"/>
  <c r="G69" i="11" s="1"/>
  <c r="H69" i="11" s="1"/>
  <c r="I69" i="11" s="1"/>
  <c r="J69" i="11" s="1"/>
  <c r="K69" i="11" s="1"/>
  <c r="L69" i="11" s="1"/>
  <c r="M69" i="11" s="1"/>
  <c r="N69" i="11" s="1"/>
  <c r="O69" i="11" s="1"/>
  <c r="P69" i="11" s="1"/>
  <c r="Q69" i="11" s="1"/>
  <c r="R69" i="11" s="1"/>
  <c r="S69" i="11" s="1"/>
  <c r="T69" i="11" s="1"/>
  <c r="U69" i="11" s="1"/>
  <c r="V69" i="11" s="1"/>
  <c r="W69" i="11" s="1"/>
  <c r="X69" i="11" s="1"/>
  <c r="Y69" i="11" s="1"/>
  <c r="Z69" i="11" s="1"/>
  <c r="AA69" i="11" s="1"/>
  <c r="AB69" i="11" s="1"/>
  <c r="AC69" i="11" s="1"/>
  <c r="AD69" i="11" s="1"/>
  <c r="AE69" i="11" s="1"/>
  <c r="AF69" i="11" s="1"/>
  <c r="AG69" i="11" s="1"/>
  <c r="AH69" i="11" s="1"/>
  <c r="AI69" i="11" s="1"/>
  <c r="AJ69" i="11" s="1"/>
  <c r="AK69" i="11" s="1"/>
  <c r="AL69" i="11" s="1"/>
  <c r="AM69" i="11" s="1"/>
  <c r="AN69" i="11" s="1"/>
  <c r="AN98" i="11"/>
  <c r="I43" i="21"/>
  <c r="I73" i="21"/>
  <c r="J73" i="21"/>
  <c r="K73" i="21"/>
  <c r="L73" i="21"/>
  <c r="M73" i="21"/>
  <c r="N73" i="21"/>
  <c r="O73" i="21"/>
  <c r="P73" i="21"/>
  <c r="Q73" i="21"/>
  <c r="R73" i="21"/>
  <c r="S73" i="21"/>
  <c r="T73" i="21"/>
  <c r="U73" i="21"/>
  <c r="V73" i="21"/>
  <c r="W73" i="21"/>
  <c r="X73" i="21"/>
  <c r="Y73" i="21"/>
  <c r="Z73" i="21"/>
  <c r="AA73" i="21"/>
  <c r="AB73" i="21"/>
  <c r="AC73" i="21"/>
  <c r="AD73" i="21"/>
  <c r="AE73" i="21"/>
  <c r="AF73" i="21"/>
  <c r="AG73" i="21"/>
  <c r="G199" i="2"/>
  <c r="F199" i="2"/>
  <c r="E199" i="2"/>
  <c r="E41" i="22"/>
  <c r="E38" i="24" s="1"/>
  <c r="AB67" i="24" s="1"/>
  <c r="F8" i="2"/>
  <c r="G8" i="2"/>
  <c r="E8" i="2"/>
  <c r="O37" i="22"/>
  <c r="AB113" i="22" s="1"/>
  <c r="I11" i="22"/>
  <c r="J50" i="22"/>
  <c r="AB112" i="22" s="1"/>
  <c r="E48" i="22"/>
  <c r="AB115" i="22" s="1"/>
  <c r="E33" i="22"/>
  <c r="AB111" i="22" s="1"/>
  <c r="J35" i="22"/>
  <c r="I12" i="22"/>
  <c r="I13" i="22"/>
  <c r="I14" i="22"/>
  <c r="I15" i="22"/>
  <c r="I16" i="22"/>
  <c r="I17" i="22"/>
  <c r="I19" i="22"/>
  <c r="I20" i="22"/>
  <c r="I21" i="22"/>
  <c r="E18" i="8"/>
  <c r="F18" i="8"/>
  <c r="G18" i="8"/>
  <c r="H18" i="8"/>
  <c r="I18" i="8"/>
  <c r="J18" i="8"/>
  <c r="K18" i="8"/>
  <c r="L18" i="8"/>
  <c r="M18" i="8"/>
  <c r="N18" i="8"/>
  <c r="O18" i="8"/>
  <c r="P18" i="8"/>
  <c r="Q18" i="8"/>
  <c r="R18" i="8"/>
  <c r="S18" i="8"/>
  <c r="T18" i="8"/>
  <c r="U18" i="8"/>
  <c r="V18" i="8"/>
  <c r="W18" i="8"/>
  <c r="X18" i="8"/>
  <c r="Y18" i="8"/>
  <c r="Z18" i="8"/>
  <c r="AA18" i="8"/>
  <c r="AB18" i="8"/>
  <c r="AC18" i="8"/>
  <c r="AD18" i="8"/>
  <c r="AE18" i="8"/>
  <c r="AF18" i="8"/>
  <c r="AG18" i="8"/>
  <c r="AH18" i="8"/>
  <c r="AI18" i="8"/>
  <c r="AJ18" i="8"/>
  <c r="AK18" i="8"/>
  <c r="AL18" i="8"/>
  <c r="AM18" i="8"/>
  <c r="D18" i="8"/>
  <c r="P139" i="9"/>
  <c r="P137" i="9"/>
  <c r="P138" i="9"/>
  <c r="P136" i="9"/>
  <c r="D137" i="9"/>
  <c r="D138" i="9"/>
  <c r="D139" i="9"/>
  <c r="D136" i="9"/>
  <c r="O23" i="24"/>
  <c r="O24" i="24"/>
  <c r="O25" i="24"/>
  <c r="O26" i="24"/>
  <c r="O27" i="24"/>
  <c r="O28" i="24"/>
  <c r="O29" i="24"/>
  <c r="O30" i="24"/>
  <c r="O31" i="24"/>
  <c r="O32" i="24"/>
  <c r="O33" i="24"/>
  <c r="O34" i="24"/>
  <c r="O35" i="24"/>
  <c r="O22" i="24"/>
  <c r="I51" i="1"/>
  <c r="AI97" i="11"/>
  <c r="AJ97" i="11"/>
  <c r="AK97" i="11"/>
  <c r="AL97" i="11"/>
  <c r="AM97" i="11"/>
  <c r="AN97" i="11"/>
  <c r="I97" i="11"/>
  <c r="U97" i="11"/>
  <c r="V97" i="11"/>
  <c r="W97" i="11"/>
  <c r="X97" i="11"/>
  <c r="Y97" i="11"/>
  <c r="Z97" i="11"/>
  <c r="AA97" i="11"/>
  <c r="AB97" i="11"/>
  <c r="AC97" i="11"/>
  <c r="AD97" i="11"/>
  <c r="AE97" i="11"/>
  <c r="AF97" i="11"/>
  <c r="AG97" i="11"/>
  <c r="AH97" i="11"/>
  <c r="E97" i="11"/>
  <c r="H81" i="11"/>
  <c r="M81" i="11"/>
  <c r="V81" i="11"/>
  <c r="AA81" i="11"/>
  <c r="B32" i="8"/>
  <c r="B31" i="8"/>
  <c r="B138" i="9"/>
  <c r="B139" i="9"/>
  <c r="B137" i="9"/>
  <c r="B136" i="9"/>
  <c r="B30" i="8"/>
  <c r="B29" i="8"/>
  <c r="AB116" i="22" l="1"/>
  <c r="O36" i="24"/>
  <c r="AB97" i="24" s="1"/>
  <c r="I23" i="22"/>
  <c r="AB109" i="22" s="1"/>
  <c r="N31" i="24"/>
  <c r="M31" i="24"/>
  <c r="D115" i="1"/>
  <c r="B68" i="24"/>
  <c r="C25" i="2" s="1"/>
  <c r="B67" i="24"/>
  <c r="C24" i="2" s="1"/>
  <c r="B66" i="24"/>
  <c r="C23" i="2" s="1"/>
  <c r="B65" i="24"/>
  <c r="C22" i="2" s="1"/>
  <c r="B64" i="24"/>
  <c r="C21" i="2" s="1"/>
  <c r="B63" i="24"/>
  <c r="C20" i="2" s="1"/>
  <c r="B62" i="24"/>
  <c r="C19" i="2" s="1"/>
  <c r="B61" i="24"/>
  <c r="C18" i="2" s="1"/>
  <c r="B60" i="24"/>
  <c r="C17" i="2" s="1"/>
  <c r="P29" i="24"/>
  <c r="N28" i="24"/>
  <c r="M28" i="24"/>
  <c r="P26" i="24"/>
  <c r="N25" i="24"/>
  <c r="M25" i="24"/>
  <c r="N22" i="24"/>
  <c r="M22" i="24"/>
  <c r="E35" i="24"/>
  <c r="C35" i="24"/>
  <c r="M30" i="24" s="1"/>
  <c r="E31" i="24"/>
  <c r="E27" i="24"/>
  <c r="J41" i="22"/>
  <c r="D23" i="24"/>
  <c r="E19" i="24"/>
  <c r="C19" i="24"/>
  <c r="E15" i="24"/>
  <c r="D11" i="24"/>
  <c r="C87" i="24"/>
  <c r="D87" i="24"/>
  <c r="A1" i="24"/>
  <c r="P131" i="22"/>
  <c r="Q131" i="22"/>
  <c r="R131" i="22"/>
  <c r="S131" i="22"/>
  <c r="T131" i="22"/>
  <c r="U131" i="22"/>
  <c r="V131" i="22"/>
  <c r="W131" i="22"/>
  <c r="X131" i="22"/>
  <c r="Y131" i="22"/>
  <c r="Z131" i="22"/>
  <c r="AA131" i="22"/>
  <c r="E131" i="22"/>
  <c r="F131" i="22"/>
  <c r="G131" i="22"/>
  <c r="H131" i="22"/>
  <c r="I131" i="22"/>
  <c r="J131" i="22"/>
  <c r="K131" i="22"/>
  <c r="L131" i="22"/>
  <c r="M131" i="22"/>
  <c r="N131" i="22"/>
  <c r="O131" i="22"/>
  <c r="D131" i="22"/>
  <c r="I41" i="22"/>
  <c r="H41" i="22"/>
  <c r="C23" i="24" s="1"/>
  <c r="AB124" i="22"/>
  <c r="D124" i="22"/>
  <c r="E124" i="22"/>
  <c r="F124" i="22"/>
  <c r="G124" i="22"/>
  <c r="H124" i="22"/>
  <c r="I124" i="22"/>
  <c r="J124" i="22"/>
  <c r="K124" i="22"/>
  <c r="L124" i="22"/>
  <c r="M124" i="22"/>
  <c r="N124" i="22"/>
  <c r="O124" i="22"/>
  <c r="P124" i="22"/>
  <c r="Q124" i="22"/>
  <c r="R124" i="22"/>
  <c r="S124" i="22"/>
  <c r="T124" i="22"/>
  <c r="U124" i="22"/>
  <c r="V124" i="22"/>
  <c r="W124" i="22"/>
  <c r="X124" i="22"/>
  <c r="Y124" i="22"/>
  <c r="Z124" i="22"/>
  <c r="AA124" i="22"/>
  <c r="AC124" i="22"/>
  <c r="AD124" i="22"/>
  <c r="AE124" i="22"/>
  <c r="AF124" i="22"/>
  <c r="AG124" i="22"/>
  <c r="AH124" i="22"/>
  <c r="AI124" i="22"/>
  <c r="AJ124" i="22"/>
  <c r="AK124" i="22"/>
  <c r="AL124" i="22"/>
  <c r="AM124" i="22"/>
  <c r="D106" i="22"/>
  <c r="E62" i="11"/>
  <c r="F61" i="11"/>
  <c r="E104" i="22" s="1"/>
  <c r="G61" i="11"/>
  <c r="F104" i="22" s="1"/>
  <c r="H61" i="11"/>
  <c r="G104" i="22" s="1"/>
  <c r="I61" i="11"/>
  <c r="H104" i="22" s="1"/>
  <c r="J61" i="11"/>
  <c r="I104" i="22" s="1"/>
  <c r="K61" i="11"/>
  <c r="J104" i="22" s="1"/>
  <c r="L61" i="11"/>
  <c r="K104" i="22" s="1"/>
  <c r="M61" i="11"/>
  <c r="L104" i="22" s="1"/>
  <c r="N61" i="11"/>
  <c r="M104" i="22" s="1"/>
  <c r="O61" i="11"/>
  <c r="N104" i="22" s="1"/>
  <c r="P61" i="11"/>
  <c r="O104" i="22" s="1"/>
  <c r="Q61" i="11"/>
  <c r="P104" i="22" s="1"/>
  <c r="R61" i="11"/>
  <c r="Q104" i="22" s="1"/>
  <c r="S61" i="11"/>
  <c r="R104" i="22" s="1"/>
  <c r="T61" i="11"/>
  <c r="S104" i="22" s="1"/>
  <c r="U61" i="11"/>
  <c r="T104" i="22" s="1"/>
  <c r="V61" i="11"/>
  <c r="U104" i="22" s="1"/>
  <c r="W61" i="11"/>
  <c r="V104" i="22" s="1"/>
  <c r="X61" i="11"/>
  <c r="W104" i="22" s="1"/>
  <c r="Y61" i="11"/>
  <c r="X104" i="22" s="1"/>
  <c r="Z61" i="11"/>
  <c r="Y104" i="22" s="1"/>
  <c r="AA61" i="11"/>
  <c r="Z104" i="22" s="1"/>
  <c r="AB61" i="11"/>
  <c r="AA104" i="22" s="1"/>
  <c r="F62" i="11"/>
  <c r="E106" i="22" s="1"/>
  <c r="G62" i="11"/>
  <c r="F106" i="22" s="1"/>
  <c r="H62" i="11"/>
  <c r="G106" i="22" s="1"/>
  <c r="I62" i="11"/>
  <c r="H106" i="22" s="1"/>
  <c r="J62" i="11"/>
  <c r="I106" i="22" s="1"/>
  <c r="K62" i="11"/>
  <c r="J106" i="22" s="1"/>
  <c r="L62" i="11"/>
  <c r="K106" i="22" s="1"/>
  <c r="M62" i="11"/>
  <c r="L106" i="22" s="1"/>
  <c r="N62" i="11"/>
  <c r="M106" i="22" s="1"/>
  <c r="O62" i="11"/>
  <c r="N106" i="22" s="1"/>
  <c r="P62" i="11"/>
  <c r="O106" i="22" s="1"/>
  <c r="Q62" i="11"/>
  <c r="P106" i="22" s="1"/>
  <c r="R62" i="11"/>
  <c r="Q106" i="22" s="1"/>
  <c r="S62" i="11"/>
  <c r="R106" i="22" s="1"/>
  <c r="T62" i="11"/>
  <c r="S106" i="22" s="1"/>
  <c r="U62" i="11"/>
  <c r="T106" i="22" s="1"/>
  <c r="V62" i="11"/>
  <c r="U106" i="22" s="1"/>
  <c r="W62" i="11"/>
  <c r="V106" i="22" s="1"/>
  <c r="X62" i="11"/>
  <c r="W106" i="22" s="1"/>
  <c r="Y62" i="11"/>
  <c r="X106" i="22" s="1"/>
  <c r="Z62" i="11"/>
  <c r="Y106" i="22" s="1"/>
  <c r="AA62" i="11"/>
  <c r="Z106" i="22" s="1"/>
  <c r="AB62" i="11"/>
  <c r="AA106" i="22" s="1"/>
  <c r="E61" i="11"/>
  <c r="D104" i="22" s="1"/>
  <c r="B232" i="22"/>
  <c r="B225" i="22"/>
  <c r="B218" i="22"/>
  <c r="P234" i="22"/>
  <c r="D234" i="22"/>
  <c r="D235" i="22" s="1"/>
  <c r="P227" i="22"/>
  <c r="D227" i="22"/>
  <c r="D228" i="22" s="1"/>
  <c r="P220" i="22"/>
  <c r="D220" i="22"/>
  <c r="D221" i="22" s="1"/>
  <c r="B211" i="22"/>
  <c r="P213" i="22"/>
  <c r="D213" i="22"/>
  <c r="D214" i="22" s="1"/>
  <c r="I66" i="22"/>
  <c r="AB138" i="9" s="1"/>
  <c r="I65" i="22"/>
  <c r="I64" i="22"/>
  <c r="AB136" i="9" s="1"/>
  <c r="I67" i="22"/>
  <c r="I54" i="22"/>
  <c r="AB143" i="22" s="1"/>
  <c r="G23" i="22"/>
  <c r="D109" i="22" s="1"/>
  <c r="H23" i="22"/>
  <c r="B204" i="22"/>
  <c r="B197" i="22"/>
  <c r="B190" i="22"/>
  <c r="B183" i="22"/>
  <c r="B176" i="22"/>
  <c r="B169" i="22"/>
  <c r="B162" i="22"/>
  <c r="B155" i="22"/>
  <c r="B148" i="22"/>
  <c r="B141" i="22"/>
  <c r="AM139" i="22"/>
  <c r="AL139" i="22"/>
  <c r="AK139" i="22"/>
  <c r="AJ139" i="22"/>
  <c r="AI139" i="22"/>
  <c r="AH139" i="22"/>
  <c r="AG139" i="22"/>
  <c r="AF139" i="22"/>
  <c r="AE139" i="22"/>
  <c r="AD139" i="22"/>
  <c r="AC139" i="22"/>
  <c r="AB139" i="22"/>
  <c r="AA139" i="22"/>
  <c r="Z139" i="22"/>
  <c r="Y139" i="22"/>
  <c r="X139" i="22"/>
  <c r="W139" i="22"/>
  <c r="V139" i="22"/>
  <c r="U139" i="22"/>
  <c r="T139" i="22"/>
  <c r="S139" i="22"/>
  <c r="R139" i="22"/>
  <c r="Q139" i="22"/>
  <c r="P139" i="22"/>
  <c r="O139" i="22"/>
  <c r="N139" i="22"/>
  <c r="M139" i="22"/>
  <c r="L139" i="22"/>
  <c r="K139" i="22"/>
  <c r="J139" i="22"/>
  <c r="I139" i="22"/>
  <c r="H139" i="22"/>
  <c r="G139" i="22"/>
  <c r="F139" i="22"/>
  <c r="E139" i="22"/>
  <c r="D139" i="22"/>
  <c r="C135" i="22"/>
  <c r="B116" i="22"/>
  <c r="B115" i="22"/>
  <c r="B114" i="22"/>
  <c r="B113" i="22"/>
  <c r="B112" i="22"/>
  <c r="B111" i="22"/>
  <c r="B110" i="22"/>
  <c r="B109" i="22"/>
  <c r="D100" i="22"/>
  <c r="D102" i="22" s="1"/>
  <c r="I63" i="22"/>
  <c r="H63" i="22"/>
  <c r="P206" i="22" s="1"/>
  <c r="G63" i="22"/>
  <c r="D206" i="22" s="1"/>
  <c r="AA229" i="22" s="1"/>
  <c r="I62" i="22"/>
  <c r="H62" i="22"/>
  <c r="P199" i="22" s="1"/>
  <c r="G62" i="22"/>
  <c r="D199" i="22" s="1"/>
  <c r="W201" i="22" s="1"/>
  <c r="J61" i="22"/>
  <c r="I61" i="22"/>
  <c r="H61" i="22"/>
  <c r="P192" i="22" s="1"/>
  <c r="G61" i="22"/>
  <c r="D192" i="22" s="1"/>
  <c r="L194" i="22" s="1"/>
  <c r="I60" i="22"/>
  <c r="H60" i="22"/>
  <c r="G60" i="22"/>
  <c r="D185" i="22" s="1"/>
  <c r="D187" i="22" s="1"/>
  <c r="I59" i="22"/>
  <c r="H59" i="22"/>
  <c r="P178" i="22" s="1"/>
  <c r="G59" i="22"/>
  <c r="J58" i="22"/>
  <c r="I58" i="22"/>
  <c r="H58" i="22"/>
  <c r="P171" i="22" s="1"/>
  <c r="G58" i="22"/>
  <c r="D171" i="22" s="1"/>
  <c r="I57" i="22"/>
  <c r="H57" i="22"/>
  <c r="P164" i="22" s="1"/>
  <c r="G57" i="22"/>
  <c r="D164" i="22" s="1"/>
  <c r="I56" i="22"/>
  <c r="H56" i="22"/>
  <c r="P157" i="22" s="1"/>
  <c r="G56" i="22"/>
  <c r="D157" i="22" s="1"/>
  <c r="I55" i="22"/>
  <c r="AB127" i="9" s="1"/>
  <c r="H55" i="22"/>
  <c r="G55" i="22"/>
  <c r="D150" i="22" s="1"/>
  <c r="H54" i="22"/>
  <c r="P143" i="22" s="1"/>
  <c r="G54" i="22"/>
  <c r="D143" i="22" s="1"/>
  <c r="I145" i="22" s="1"/>
  <c r="H50" i="22"/>
  <c r="F112" i="22" s="1"/>
  <c r="C48" i="22"/>
  <c r="J115" i="22" s="1"/>
  <c r="C41" i="22"/>
  <c r="L116" i="22" s="1"/>
  <c r="D47" i="22"/>
  <c r="D46" i="22"/>
  <c r="D40" i="22"/>
  <c r="D39" i="22"/>
  <c r="J45" i="22"/>
  <c r="I45" i="22"/>
  <c r="D38" i="22" s="1"/>
  <c r="I29" i="22" s="1"/>
  <c r="N27" i="22" s="1"/>
  <c r="H45" i="22"/>
  <c r="M37" i="22"/>
  <c r="I113" i="22" s="1"/>
  <c r="H35" i="22"/>
  <c r="L114" i="22" s="1"/>
  <c r="C33" i="22"/>
  <c r="M111" i="22" s="1"/>
  <c r="I33" i="22"/>
  <c r="I32" i="22"/>
  <c r="D32" i="22"/>
  <c r="I31" i="22"/>
  <c r="D31" i="22"/>
  <c r="D30" i="22"/>
  <c r="C22" i="22"/>
  <c r="I22" i="22" s="1"/>
  <c r="C18" i="22"/>
  <c r="I18" i="22" s="1"/>
  <c r="A1" i="22"/>
  <c r="J54" i="1"/>
  <c r="J57" i="1"/>
  <c r="AG96" i="21"/>
  <c r="AG74" i="21"/>
  <c r="J116" i="21"/>
  <c r="J124" i="21" s="1"/>
  <c r="K116" i="21"/>
  <c r="K124" i="21" s="1"/>
  <c r="L116" i="21"/>
  <c r="M116" i="21"/>
  <c r="M124" i="21" s="1"/>
  <c r="N116" i="21"/>
  <c r="N124" i="21" s="1"/>
  <c r="O116" i="21"/>
  <c r="O124" i="21" s="1"/>
  <c r="P116" i="21"/>
  <c r="Q116" i="21"/>
  <c r="Q124" i="21" s="1"/>
  <c r="R116" i="21"/>
  <c r="S116" i="21"/>
  <c r="S124" i="21" s="1"/>
  <c r="T116" i="21"/>
  <c r="U116" i="21"/>
  <c r="U124" i="21" s="1"/>
  <c r="V116" i="21"/>
  <c r="V124" i="21" s="1"/>
  <c r="W116" i="21"/>
  <c r="W124" i="21" s="1"/>
  <c r="X116" i="21"/>
  <c r="Y116" i="21"/>
  <c r="Y124" i="21" s="1"/>
  <c r="Z116" i="21"/>
  <c r="Z124" i="21" s="1"/>
  <c r="AA116" i="21"/>
  <c r="AA124" i="21" s="1"/>
  <c r="AB116" i="21"/>
  <c r="AC116" i="21"/>
  <c r="AC124" i="21" s="1"/>
  <c r="AD116" i="21"/>
  <c r="AD124" i="21" s="1"/>
  <c r="AE116" i="21"/>
  <c r="AE124" i="21" s="1"/>
  <c r="AF116" i="21"/>
  <c r="AG116" i="21"/>
  <c r="AG124" i="21" s="1"/>
  <c r="I116" i="21"/>
  <c r="I118" i="21" s="1"/>
  <c r="I127" i="21"/>
  <c r="I128" i="21" s="1"/>
  <c r="J95" i="21"/>
  <c r="K95" i="21"/>
  <c r="L95" i="21"/>
  <c r="M95" i="21"/>
  <c r="N95" i="21"/>
  <c r="O95" i="21"/>
  <c r="P95" i="21"/>
  <c r="Q95" i="21"/>
  <c r="R95" i="21"/>
  <c r="S95" i="21"/>
  <c r="T95" i="21"/>
  <c r="U95" i="21"/>
  <c r="V95" i="21"/>
  <c r="W95" i="21"/>
  <c r="X95" i="21"/>
  <c r="Y95" i="21"/>
  <c r="Z95" i="21"/>
  <c r="AA95" i="21"/>
  <c r="AB95" i="21"/>
  <c r="AC95" i="21"/>
  <c r="AD95" i="21"/>
  <c r="AE95" i="21"/>
  <c r="AF95" i="21"/>
  <c r="AG95" i="21"/>
  <c r="AG103" i="21" s="1"/>
  <c r="I95" i="21"/>
  <c r="I106" i="21"/>
  <c r="I107" i="21" s="1"/>
  <c r="P236" i="22" l="1"/>
  <c r="AE236" i="22"/>
  <c r="AI236" i="22"/>
  <c r="AM236" i="22"/>
  <c r="AB139" i="9"/>
  <c r="AF236" i="22"/>
  <c r="AJ236" i="22"/>
  <c r="AC236" i="22"/>
  <c r="AG236" i="22"/>
  <c r="AK236" i="22"/>
  <c r="AB236" i="22"/>
  <c r="AL236" i="22"/>
  <c r="AD236" i="22"/>
  <c r="AH236" i="22"/>
  <c r="X236" i="22"/>
  <c r="C15" i="24"/>
  <c r="H236" i="22"/>
  <c r="C27" i="24"/>
  <c r="AG222" i="22"/>
  <c r="AB137" i="9"/>
  <c r="L236" i="22"/>
  <c r="Z105" i="22"/>
  <c r="R105" i="22"/>
  <c r="C11" i="24"/>
  <c r="C31" i="24"/>
  <c r="C38" i="24"/>
  <c r="E67" i="24" s="1"/>
  <c r="I67" i="24"/>
  <c r="U67" i="24"/>
  <c r="N105" i="22"/>
  <c r="J105" i="22"/>
  <c r="D20" i="9"/>
  <c r="D76" i="24"/>
  <c r="I68" i="22"/>
  <c r="E23" i="24"/>
  <c r="AB110" i="22"/>
  <c r="AK67" i="24"/>
  <c r="AD229" i="22"/>
  <c r="AB229" i="22"/>
  <c r="AB227" i="22"/>
  <c r="AF229" i="22"/>
  <c r="AL229" i="22"/>
  <c r="AK229" i="22"/>
  <c r="AG229" i="22"/>
  <c r="AE222" i="22"/>
  <c r="AL222" i="22"/>
  <c r="AK222" i="22"/>
  <c r="AB206" i="22"/>
  <c r="AB199" i="22"/>
  <c r="AB201" i="22"/>
  <c r="AB192" i="22"/>
  <c r="AC194" i="22"/>
  <c r="AB194" i="22"/>
  <c r="AB185" i="22"/>
  <c r="AB187" i="22"/>
  <c r="AB178" i="22"/>
  <c r="AB180" i="22"/>
  <c r="AB171" i="22"/>
  <c r="AB173" i="22"/>
  <c r="AB164" i="22"/>
  <c r="AB166" i="22"/>
  <c r="AB159" i="22"/>
  <c r="AB157" i="22"/>
  <c r="AC152" i="22"/>
  <c r="AG152" i="22"/>
  <c r="AK152" i="22"/>
  <c r="AD152" i="22"/>
  <c r="AH152" i="22"/>
  <c r="AL152" i="22"/>
  <c r="AE152" i="22"/>
  <c r="AI152" i="22"/>
  <c r="AM152" i="22"/>
  <c r="AF152" i="22"/>
  <c r="AJ152" i="22"/>
  <c r="AB152" i="22"/>
  <c r="AB145" i="22"/>
  <c r="Y67" i="24"/>
  <c r="AC67" i="24"/>
  <c r="F67" i="24"/>
  <c r="J67" i="24"/>
  <c r="N67" i="24"/>
  <c r="V67" i="24"/>
  <c r="Z67" i="24"/>
  <c r="G67" i="24"/>
  <c r="O67" i="24"/>
  <c r="S67" i="24"/>
  <c r="W67" i="24"/>
  <c r="H67" i="24"/>
  <c r="L67" i="24"/>
  <c r="P67" i="24"/>
  <c r="X67" i="24"/>
  <c r="Q67" i="24"/>
  <c r="M24" i="24"/>
  <c r="AD67" i="24"/>
  <c r="AH67" i="24"/>
  <c r="AL67" i="24"/>
  <c r="AE67" i="24"/>
  <c r="AI67" i="24"/>
  <c r="AM67" i="24"/>
  <c r="AF67" i="24"/>
  <c r="AJ67" i="24"/>
  <c r="AG67" i="24"/>
  <c r="N24" i="24"/>
  <c r="N30" i="24"/>
  <c r="N27" i="24"/>
  <c r="M27" i="24"/>
  <c r="AB234" i="22"/>
  <c r="V105" i="22"/>
  <c r="AF222" i="22"/>
  <c r="AJ222" i="22"/>
  <c r="AB222" i="22"/>
  <c r="AB220" i="22"/>
  <c r="AI222" i="22"/>
  <c r="AD222" i="22"/>
  <c r="AJ229" i="22"/>
  <c r="Y105" i="22"/>
  <c r="U105" i="22"/>
  <c r="Q105" i="22"/>
  <c r="M105" i="22"/>
  <c r="I105" i="22"/>
  <c r="E105" i="22"/>
  <c r="F105" i="22"/>
  <c r="AE229" i="22"/>
  <c r="AI229" i="22"/>
  <c r="AM229" i="22"/>
  <c r="AM222" i="22"/>
  <c r="AH222" i="22"/>
  <c r="AC222" i="22"/>
  <c r="AH229" i="22"/>
  <c r="AC229" i="22"/>
  <c r="AA105" i="22"/>
  <c r="W105" i="22"/>
  <c r="S105" i="22"/>
  <c r="O105" i="22"/>
  <c r="K105" i="22"/>
  <c r="G105" i="22"/>
  <c r="D105" i="22"/>
  <c r="D236" i="22"/>
  <c r="D237" i="22" s="1"/>
  <c r="T236" i="22"/>
  <c r="X105" i="22"/>
  <c r="T105" i="22"/>
  <c r="P105" i="22"/>
  <c r="L105" i="22"/>
  <c r="H105" i="22"/>
  <c r="D53" i="24"/>
  <c r="E51" i="24"/>
  <c r="H75" i="22"/>
  <c r="I75" i="22"/>
  <c r="E236" i="22"/>
  <c r="I236" i="22"/>
  <c r="M236" i="22"/>
  <c r="Q236" i="22"/>
  <c r="U236" i="22"/>
  <c r="Y236" i="22"/>
  <c r="F236" i="22"/>
  <c r="J236" i="22"/>
  <c r="N236" i="22"/>
  <c r="R236" i="22"/>
  <c r="V236" i="22"/>
  <c r="Z236" i="22"/>
  <c r="G236" i="22"/>
  <c r="K236" i="22"/>
  <c r="O236" i="22"/>
  <c r="S236" i="22"/>
  <c r="W236" i="22"/>
  <c r="AA236" i="22"/>
  <c r="H215" i="22"/>
  <c r="X215" i="22"/>
  <c r="M222" i="22"/>
  <c r="H229" i="22"/>
  <c r="AC215" i="22"/>
  <c r="X229" i="22"/>
  <c r="L215" i="22"/>
  <c r="Q222" i="22"/>
  <c r="P215" i="22"/>
  <c r="AK215" i="22"/>
  <c r="E222" i="22"/>
  <c r="U222" i="22"/>
  <c r="P229" i="22"/>
  <c r="L229" i="22"/>
  <c r="D215" i="22"/>
  <c r="D216" i="22" s="1"/>
  <c r="T215" i="22"/>
  <c r="AG215" i="22"/>
  <c r="I222" i="22"/>
  <c r="Y222" i="22"/>
  <c r="D229" i="22"/>
  <c r="D230" i="22" s="1"/>
  <c r="T229" i="22"/>
  <c r="E215" i="22"/>
  <c r="I215" i="22"/>
  <c r="M215" i="22"/>
  <c r="Q215" i="22"/>
  <c r="U215" i="22"/>
  <c r="Y215" i="22"/>
  <c r="AB213" i="22"/>
  <c r="AJ215" i="22"/>
  <c r="AF215" i="22"/>
  <c r="AB215" i="22"/>
  <c r="F222" i="22"/>
  <c r="J222" i="22"/>
  <c r="N222" i="22"/>
  <c r="R222" i="22"/>
  <c r="V222" i="22"/>
  <c r="Z222" i="22"/>
  <c r="E229" i="22"/>
  <c r="I229" i="22"/>
  <c r="M229" i="22"/>
  <c r="Q229" i="22"/>
  <c r="U229" i="22"/>
  <c r="Y229" i="22"/>
  <c r="F215" i="22"/>
  <c r="J215" i="22"/>
  <c r="N215" i="22"/>
  <c r="R215" i="22"/>
  <c r="V215" i="22"/>
  <c r="Z215" i="22"/>
  <c r="AM215" i="22"/>
  <c r="AI215" i="22"/>
  <c r="AE215" i="22"/>
  <c r="G222" i="22"/>
  <c r="K222" i="22"/>
  <c r="O222" i="22"/>
  <c r="S222" i="22"/>
  <c r="W222" i="22"/>
  <c r="AA222" i="22"/>
  <c r="F229" i="22"/>
  <c r="J229" i="22"/>
  <c r="N229" i="22"/>
  <c r="R229" i="22"/>
  <c r="V229" i="22"/>
  <c r="Z229" i="22"/>
  <c r="G215" i="22"/>
  <c r="K215" i="22"/>
  <c r="O215" i="22"/>
  <c r="S215" i="22"/>
  <c r="W215" i="22"/>
  <c r="AA215" i="22"/>
  <c r="AL215" i="22"/>
  <c r="AH215" i="22"/>
  <c r="AD215" i="22"/>
  <c r="D222" i="22"/>
  <c r="D223" i="22" s="1"/>
  <c r="H222" i="22"/>
  <c r="L222" i="22"/>
  <c r="P222" i="22"/>
  <c r="T222" i="22"/>
  <c r="X222" i="22"/>
  <c r="G229" i="22"/>
  <c r="K229" i="22"/>
  <c r="O229" i="22"/>
  <c r="S229" i="22"/>
  <c r="W229" i="22"/>
  <c r="AF194" i="22"/>
  <c r="AJ201" i="22"/>
  <c r="AJ194" i="22"/>
  <c r="AF201" i="22"/>
  <c r="AB150" i="22"/>
  <c r="AL194" i="22"/>
  <c r="AH194" i="22"/>
  <c r="AD194" i="22"/>
  <c r="AL201" i="22"/>
  <c r="AH201" i="22"/>
  <c r="AD201" i="22"/>
  <c r="AL208" i="22"/>
  <c r="AH208" i="22"/>
  <c r="AD208" i="22"/>
  <c r="AB208" i="22"/>
  <c r="AJ208" i="22"/>
  <c r="AF208" i="22"/>
  <c r="AM194" i="22"/>
  <c r="AI194" i="22"/>
  <c r="AE194" i="22"/>
  <c r="AM201" i="22"/>
  <c r="AI201" i="22"/>
  <c r="AE201" i="22"/>
  <c r="AM208" i="22"/>
  <c r="AI208" i="22"/>
  <c r="AE208" i="22"/>
  <c r="AK194" i="22"/>
  <c r="AG194" i="22"/>
  <c r="AK201" i="22"/>
  <c r="AG201" i="22"/>
  <c r="AC201" i="22"/>
  <c r="AK208" i="22"/>
  <c r="AG208" i="22"/>
  <c r="AC208" i="22"/>
  <c r="O115" i="22"/>
  <c r="AA173" i="22"/>
  <c r="K113" i="22"/>
  <c r="J114" i="22"/>
  <c r="O113" i="22"/>
  <c r="M194" i="22"/>
  <c r="E115" i="22"/>
  <c r="E116" i="22"/>
  <c r="D113" i="22"/>
  <c r="F114" i="22"/>
  <c r="K115" i="22"/>
  <c r="I116" i="22"/>
  <c r="K111" i="22"/>
  <c r="J159" i="22"/>
  <c r="Z159" i="22"/>
  <c r="R159" i="22"/>
  <c r="U152" i="22"/>
  <c r="F111" i="22"/>
  <c r="I112" i="22"/>
  <c r="H152" i="22"/>
  <c r="AG111" i="22"/>
  <c r="AD166" i="22"/>
  <c r="E100" i="22"/>
  <c r="E135" i="22" s="1"/>
  <c r="G111" i="22"/>
  <c r="O111" i="22"/>
  <c r="N112" i="22"/>
  <c r="E113" i="22"/>
  <c r="K114" i="22"/>
  <c r="F115" i="22"/>
  <c r="J116" i="22"/>
  <c r="M152" i="22"/>
  <c r="K173" i="22"/>
  <c r="E152" i="22"/>
  <c r="N111" i="22"/>
  <c r="X152" i="22"/>
  <c r="I35" i="22"/>
  <c r="AI116" i="22"/>
  <c r="J111" i="22"/>
  <c r="D114" i="22"/>
  <c r="O114" i="22"/>
  <c r="D116" i="22"/>
  <c r="N116" i="22"/>
  <c r="D151" i="22"/>
  <c r="P152" i="22"/>
  <c r="O109" i="22"/>
  <c r="H73" i="22" a="1"/>
  <c r="H73" i="22" s="1"/>
  <c r="Z208" i="22"/>
  <c r="V208" i="22"/>
  <c r="R208" i="22"/>
  <c r="N208" i="22"/>
  <c r="J208" i="22"/>
  <c r="F208" i="22"/>
  <c r="Y208" i="22"/>
  <c r="T208" i="22"/>
  <c r="O208" i="22"/>
  <c r="I208" i="22"/>
  <c r="D208" i="22"/>
  <c r="AA208" i="22"/>
  <c r="S208" i="22"/>
  <c r="L208" i="22"/>
  <c r="E208" i="22"/>
  <c r="X208" i="22"/>
  <c r="Q208" i="22"/>
  <c r="K208" i="22"/>
  <c r="D207" i="22"/>
  <c r="P208" i="22"/>
  <c r="M208" i="22"/>
  <c r="W208" i="22"/>
  <c r="U208" i="22"/>
  <c r="H208" i="22"/>
  <c r="G208" i="22"/>
  <c r="Y145" i="22"/>
  <c r="AG145" i="22"/>
  <c r="V166" i="22"/>
  <c r="N37" i="22"/>
  <c r="D15" i="24" s="1"/>
  <c r="I50" i="22"/>
  <c r="D27" i="24" s="1"/>
  <c r="D48" i="22"/>
  <c r="D31" i="24" s="1"/>
  <c r="D41" i="22"/>
  <c r="D38" i="24" s="1"/>
  <c r="L112" i="22"/>
  <c r="H112" i="22"/>
  <c r="D112" i="22"/>
  <c r="O112" i="22"/>
  <c r="K112" i="22"/>
  <c r="G112" i="22"/>
  <c r="AF187" i="22"/>
  <c r="I73" i="22" a="1"/>
  <c r="I73" i="22" s="1"/>
  <c r="J112" i="22"/>
  <c r="AH159" i="22"/>
  <c r="AM166" i="22"/>
  <c r="AI166" i="22"/>
  <c r="AL166" i="22"/>
  <c r="AG166" i="22"/>
  <c r="AC166" i="22"/>
  <c r="Y166" i="22"/>
  <c r="U166" i="22"/>
  <c r="Q166" i="22"/>
  <c r="M166" i="22"/>
  <c r="I166" i="22"/>
  <c r="E166" i="22"/>
  <c r="AK166" i="22"/>
  <c r="AF166" i="22"/>
  <c r="X166" i="22"/>
  <c r="T166" i="22"/>
  <c r="P166" i="22"/>
  <c r="L166" i="22"/>
  <c r="H166" i="22"/>
  <c r="D166" i="22"/>
  <c r="D165" i="22"/>
  <c r="AJ166" i="22"/>
  <c r="AA166" i="22"/>
  <c r="S166" i="22"/>
  <c r="K166" i="22"/>
  <c r="W166" i="22"/>
  <c r="AH166" i="22"/>
  <c r="Z166" i="22"/>
  <c r="R166" i="22"/>
  <c r="J166" i="22"/>
  <c r="AE166" i="22"/>
  <c r="O166" i="22"/>
  <c r="G166" i="22"/>
  <c r="H68" i="22"/>
  <c r="P246" i="22" s="1"/>
  <c r="N166" i="22"/>
  <c r="T180" i="22"/>
  <c r="AJ180" i="22"/>
  <c r="D33" i="22"/>
  <c r="D35" i="24" s="1"/>
  <c r="E38" i="22"/>
  <c r="J29" i="22" s="1"/>
  <c r="O27" i="22" s="1"/>
  <c r="J73" i="22" s="1" a="1"/>
  <c r="J73" i="22" s="1"/>
  <c r="AJ145" i="22"/>
  <c r="AF145" i="22"/>
  <c r="X145" i="22"/>
  <c r="T145" i="22"/>
  <c r="P145" i="22"/>
  <c r="L145" i="22"/>
  <c r="H145" i="22"/>
  <c r="D145" i="22"/>
  <c r="D144" i="22"/>
  <c r="AM145" i="22"/>
  <c r="AI145" i="22"/>
  <c r="AE145" i="22"/>
  <c r="AA145" i="22"/>
  <c r="W145" i="22"/>
  <c r="S145" i="22"/>
  <c r="O145" i="22"/>
  <c r="K145" i="22"/>
  <c r="G145" i="22"/>
  <c r="AL145" i="22"/>
  <c r="AD145" i="22"/>
  <c r="V145" i="22"/>
  <c r="N145" i="22"/>
  <c r="F145" i="22"/>
  <c r="Z145" i="22"/>
  <c r="J145" i="22"/>
  <c r="AK145" i="22"/>
  <c r="AC145" i="22"/>
  <c r="U145" i="22"/>
  <c r="M145" i="22"/>
  <c r="E145" i="22"/>
  <c r="AH145" i="22"/>
  <c r="R145" i="22"/>
  <c r="AK173" i="22"/>
  <c r="AG173" i="22"/>
  <c r="AC173" i="22"/>
  <c r="Y173" i="22"/>
  <c r="U173" i="22"/>
  <c r="Q173" i="22"/>
  <c r="M173" i="22"/>
  <c r="I173" i="22"/>
  <c r="E173" i="22"/>
  <c r="AJ173" i="22"/>
  <c r="AF173" i="22"/>
  <c r="X173" i="22"/>
  <c r="T173" i="22"/>
  <c r="P173" i="22"/>
  <c r="L173" i="22"/>
  <c r="H173" i="22"/>
  <c r="D173" i="22"/>
  <c r="D172" i="22"/>
  <c r="AM173" i="22"/>
  <c r="AE173" i="22"/>
  <c r="W173" i="22"/>
  <c r="O173" i="22"/>
  <c r="G173" i="22"/>
  <c r="AL173" i="22"/>
  <c r="AD173" i="22"/>
  <c r="V173" i="22"/>
  <c r="N173" i="22"/>
  <c r="F173" i="22"/>
  <c r="Z173" i="22"/>
  <c r="J173" i="22"/>
  <c r="AI173" i="22"/>
  <c r="S173" i="22"/>
  <c r="AH173" i="22"/>
  <c r="R173" i="22"/>
  <c r="AL180" i="22"/>
  <c r="AH180" i="22"/>
  <c r="AD180" i="22"/>
  <c r="Z180" i="22"/>
  <c r="V180" i="22"/>
  <c r="R180" i="22"/>
  <c r="N180" i="22"/>
  <c r="J180" i="22"/>
  <c r="F180" i="22"/>
  <c r="AK180" i="22"/>
  <c r="AG180" i="22"/>
  <c r="AC180" i="22"/>
  <c r="Y180" i="22"/>
  <c r="U180" i="22"/>
  <c r="Q180" i="22"/>
  <c r="M180" i="22"/>
  <c r="I180" i="22"/>
  <c r="E180" i="22"/>
  <c r="D178" i="22"/>
  <c r="D179" i="22" s="1"/>
  <c r="AI180" i="22"/>
  <c r="AA180" i="22"/>
  <c r="S180" i="22"/>
  <c r="K180" i="22"/>
  <c r="AF180" i="22"/>
  <c r="X180" i="22"/>
  <c r="P180" i="22"/>
  <c r="H180" i="22"/>
  <c r="AE180" i="22"/>
  <c r="O180" i="22"/>
  <c r="L180" i="22"/>
  <c r="AM180" i="22"/>
  <c r="W180" i="22"/>
  <c r="G180" i="22"/>
  <c r="P185" i="22"/>
  <c r="Z187" i="22"/>
  <c r="G68" i="22"/>
  <c r="D246" i="22" s="1"/>
  <c r="E112" i="22"/>
  <c r="M112" i="22"/>
  <c r="Q145" i="22"/>
  <c r="F166" i="22"/>
  <c r="D180" i="22"/>
  <c r="V187" i="22"/>
  <c r="AJ159" i="22"/>
  <c r="AF159" i="22"/>
  <c r="X159" i="22"/>
  <c r="T159" i="22"/>
  <c r="P159" i="22"/>
  <c r="L159" i="22"/>
  <c r="H159" i="22"/>
  <c r="D159" i="22"/>
  <c r="D158" i="22"/>
  <c r="AM159" i="22"/>
  <c r="AI159" i="22"/>
  <c r="AE159" i="22"/>
  <c r="AA159" i="22"/>
  <c r="W159" i="22"/>
  <c r="S159" i="22"/>
  <c r="O159" i="22"/>
  <c r="K159" i="22"/>
  <c r="G159" i="22"/>
  <c r="E159" i="22"/>
  <c r="M159" i="22"/>
  <c r="AC159" i="22"/>
  <c r="N113" i="22"/>
  <c r="J113" i="22"/>
  <c r="F113" i="22"/>
  <c r="L115" i="22"/>
  <c r="H115" i="22"/>
  <c r="D115" i="22"/>
  <c r="AA194" i="22"/>
  <c r="W194" i="22"/>
  <c r="S194" i="22"/>
  <c r="O194" i="22"/>
  <c r="K194" i="22"/>
  <c r="G194" i="22"/>
  <c r="Y194" i="22"/>
  <c r="T194" i="22"/>
  <c r="N194" i="22"/>
  <c r="I194" i="22"/>
  <c r="D194" i="22"/>
  <c r="X194" i="22"/>
  <c r="Q194" i="22"/>
  <c r="J194" i="22"/>
  <c r="D193" i="22"/>
  <c r="V194" i="22"/>
  <c r="P194" i="22"/>
  <c r="H194" i="22"/>
  <c r="U194" i="22"/>
  <c r="F194" i="22"/>
  <c r="R194" i="22"/>
  <c r="E194" i="22"/>
  <c r="X201" i="22"/>
  <c r="T201" i="22"/>
  <c r="P201" i="22"/>
  <c r="L201" i="22"/>
  <c r="H201" i="22"/>
  <c r="D201" i="22"/>
  <c r="D200" i="22"/>
  <c r="AA201" i="22"/>
  <c r="V201" i="22"/>
  <c r="Q201" i="22"/>
  <c r="K201" i="22"/>
  <c r="F201" i="22"/>
  <c r="Z201" i="22"/>
  <c r="U201" i="22"/>
  <c r="O201" i="22"/>
  <c r="J201" i="22"/>
  <c r="E201" i="22"/>
  <c r="S201" i="22"/>
  <c r="I201" i="22"/>
  <c r="R201" i="22"/>
  <c r="G201" i="22"/>
  <c r="N201" i="22"/>
  <c r="M201" i="22"/>
  <c r="D111" i="22"/>
  <c r="H111" i="22"/>
  <c r="L111" i="22"/>
  <c r="G113" i="22"/>
  <c r="L113" i="22"/>
  <c r="G114" i="22"/>
  <c r="G115" i="22"/>
  <c r="M115" i="22"/>
  <c r="F116" i="22"/>
  <c r="D135" i="22"/>
  <c r="I152" i="22"/>
  <c r="Q152" i="22"/>
  <c r="Y152" i="22"/>
  <c r="F159" i="22"/>
  <c r="N159" i="22"/>
  <c r="V159" i="22"/>
  <c r="AD159" i="22"/>
  <c r="AL159" i="22"/>
  <c r="K187" i="22"/>
  <c r="Z194" i="22"/>
  <c r="Y201" i="22"/>
  <c r="U159" i="22"/>
  <c r="AK159" i="22"/>
  <c r="M114" i="22"/>
  <c r="I114" i="22"/>
  <c r="E114" i="22"/>
  <c r="O116" i="22"/>
  <c r="K116" i="22"/>
  <c r="G116" i="22"/>
  <c r="AA152" i="22"/>
  <c r="W152" i="22"/>
  <c r="S152" i="22"/>
  <c r="O152" i="22"/>
  <c r="K152" i="22"/>
  <c r="G152" i="22"/>
  <c r="Z152" i="22"/>
  <c r="V152" i="22"/>
  <c r="R152" i="22"/>
  <c r="N152" i="22"/>
  <c r="J152" i="22"/>
  <c r="F152" i="22"/>
  <c r="AK187" i="22"/>
  <c r="AG187" i="22"/>
  <c r="AC187" i="22"/>
  <c r="Y187" i="22"/>
  <c r="U187" i="22"/>
  <c r="Q187" i="22"/>
  <c r="M187" i="22"/>
  <c r="I187" i="22"/>
  <c r="E187" i="22"/>
  <c r="AL187" i="22"/>
  <c r="AI187" i="22"/>
  <c r="AD187" i="22"/>
  <c r="X187" i="22"/>
  <c r="S187" i="22"/>
  <c r="N187" i="22"/>
  <c r="H187" i="22"/>
  <c r="AH187" i="22"/>
  <c r="W187" i="22"/>
  <c r="R187" i="22"/>
  <c r="L187" i="22"/>
  <c r="G187" i="22"/>
  <c r="AE187" i="22"/>
  <c r="T187" i="22"/>
  <c r="J187" i="22"/>
  <c r="D186" i="22"/>
  <c r="D188" i="22" s="1"/>
  <c r="E184" i="22" s="1"/>
  <c r="E186" i="22" s="1"/>
  <c r="AM187" i="22"/>
  <c r="AA187" i="22"/>
  <c r="P187" i="22"/>
  <c r="F187" i="22"/>
  <c r="E111" i="22"/>
  <c r="I111" i="22"/>
  <c r="H113" i="22"/>
  <c r="M113" i="22"/>
  <c r="H114" i="22"/>
  <c r="N114" i="22"/>
  <c r="I115" i="22"/>
  <c r="N115" i="22"/>
  <c r="H116" i="22"/>
  <c r="M116" i="22"/>
  <c r="D152" i="22"/>
  <c r="L152" i="22"/>
  <c r="T152" i="22"/>
  <c r="I159" i="22"/>
  <c r="Q159" i="22"/>
  <c r="Y159" i="22"/>
  <c r="AG159" i="22"/>
  <c r="O187" i="22"/>
  <c r="AJ187" i="22"/>
  <c r="Q121" i="21"/>
  <c r="R124" i="21"/>
  <c r="U121" i="21"/>
  <c r="Y121" i="21"/>
  <c r="M121" i="21"/>
  <c r="AC121" i="21"/>
  <c r="J115" i="21"/>
  <c r="I122" i="21"/>
  <c r="I121" i="21"/>
  <c r="I124" i="21"/>
  <c r="L124" i="21"/>
  <c r="L121" i="21"/>
  <c r="P124" i="21"/>
  <c r="P121" i="21"/>
  <c r="T124" i="21"/>
  <c r="T121" i="21"/>
  <c r="X124" i="21"/>
  <c r="X121" i="21"/>
  <c r="AB124" i="21"/>
  <c r="AB121" i="21"/>
  <c r="AF124" i="21"/>
  <c r="J121" i="21"/>
  <c r="N121" i="21"/>
  <c r="R121" i="21"/>
  <c r="V121" i="21"/>
  <c r="Z121" i="21"/>
  <c r="AD121" i="21"/>
  <c r="K121" i="21"/>
  <c r="O121" i="21"/>
  <c r="S121" i="21"/>
  <c r="W121" i="21"/>
  <c r="AA121" i="21"/>
  <c r="AE121" i="21"/>
  <c r="AF103" i="21"/>
  <c r="AB103" i="21"/>
  <c r="X103" i="21"/>
  <c r="T103" i="21"/>
  <c r="P103" i="21"/>
  <c r="L103" i="21"/>
  <c r="AB100" i="21"/>
  <c r="X100" i="21"/>
  <c r="T100" i="21"/>
  <c r="P100" i="21"/>
  <c r="L100" i="21"/>
  <c r="AE103" i="21"/>
  <c r="AA103" i="21"/>
  <c r="W103" i="21"/>
  <c r="S103" i="21"/>
  <c r="O103" i="21"/>
  <c r="K103" i="21"/>
  <c r="AE100" i="21"/>
  <c r="AA100" i="21"/>
  <c r="W100" i="21"/>
  <c r="S100" i="21"/>
  <c r="O100" i="21"/>
  <c r="K100" i="21"/>
  <c r="Z103" i="21"/>
  <c r="R103" i="21"/>
  <c r="J103" i="21"/>
  <c r="AD100" i="21"/>
  <c r="V100" i="21"/>
  <c r="N100" i="21"/>
  <c r="Y103" i="21"/>
  <c r="Q103" i="21"/>
  <c r="AC100" i="21"/>
  <c r="U100" i="21"/>
  <c r="M100" i="21"/>
  <c r="AC103" i="21"/>
  <c r="M103" i="21"/>
  <c r="Y100" i="21"/>
  <c r="U103" i="21"/>
  <c r="J100" i="21"/>
  <c r="Z100" i="21"/>
  <c r="N103" i="21"/>
  <c r="AD103" i="21"/>
  <c r="Q100" i="21"/>
  <c r="R100" i="21"/>
  <c r="V103" i="21"/>
  <c r="AD51" i="11"/>
  <c r="AD56" i="11"/>
  <c r="F28" i="11"/>
  <c r="G28" i="11" s="1"/>
  <c r="D61" i="14"/>
  <c r="E40" i="14"/>
  <c r="G37" i="14"/>
  <c r="G58" i="14" s="1"/>
  <c r="F37" i="14"/>
  <c r="F58" i="14" s="1"/>
  <c r="F38" i="14"/>
  <c r="F59" i="14" s="1"/>
  <c r="G38" i="14"/>
  <c r="G59" i="14" s="1"/>
  <c r="F39" i="14"/>
  <c r="F60" i="14" s="1"/>
  <c r="G39" i="14"/>
  <c r="G60" i="14" s="1"/>
  <c r="F40" i="14"/>
  <c r="G40" i="14"/>
  <c r="N63" i="14" s="1"/>
  <c r="F41" i="14"/>
  <c r="F62" i="14" s="1"/>
  <c r="G41" i="14"/>
  <c r="G62" i="14" s="1"/>
  <c r="E38" i="14"/>
  <c r="E59" i="14" s="1"/>
  <c r="E39" i="14"/>
  <c r="E60" i="14" s="1"/>
  <c r="L63" i="14"/>
  <c r="E41" i="14"/>
  <c r="E62" i="14" s="1"/>
  <c r="E37" i="14"/>
  <c r="E58" i="14" s="1"/>
  <c r="E35" i="14"/>
  <c r="E56" i="14" s="1"/>
  <c r="L56" i="14" s="1"/>
  <c r="AC47" i="11" s="1"/>
  <c r="AM47" i="11" s="1"/>
  <c r="G35" i="14"/>
  <c r="G56" i="14" s="1"/>
  <c r="N56" i="14" s="1"/>
  <c r="AC57" i="11" s="1"/>
  <c r="AG57" i="11" s="1"/>
  <c r="F35" i="14"/>
  <c r="F56" i="14" s="1"/>
  <c r="M56" i="14" s="1"/>
  <c r="AC52" i="11" s="1"/>
  <c r="AN52" i="11" s="1"/>
  <c r="C97" i="11"/>
  <c r="L81" i="14"/>
  <c r="E99" i="11"/>
  <c r="I196" i="21" s="1"/>
  <c r="L80" i="14"/>
  <c r="L82" i="14"/>
  <c r="L83" i="14"/>
  <c r="L84" i="14"/>
  <c r="L85" i="14"/>
  <c r="L86" i="14"/>
  <c r="L77" i="14"/>
  <c r="L76" i="14" s="1"/>
  <c r="I84" i="21"/>
  <c r="I85" i="21" s="1"/>
  <c r="I63" i="21"/>
  <c r="I64" i="21" s="1"/>
  <c r="I44" i="21"/>
  <c r="J6" i="21"/>
  <c r="K6" i="21" s="1"/>
  <c r="L6" i="21" s="1"/>
  <c r="M6" i="21" s="1"/>
  <c r="N6" i="21" s="1"/>
  <c r="O6" i="21" s="1"/>
  <c r="P6" i="21" s="1"/>
  <c r="Q6" i="21" s="1"/>
  <c r="R6" i="21" s="1"/>
  <c r="S6" i="21" s="1"/>
  <c r="T6" i="21" s="1"/>
  <c r="U6" i="21" s="1"/>
  <c r="V6" i="21" s="1"/>
  <c r="W6" i="21" s="1"/>
  <c r="X6" i="21" s="1"/>
  <c r="Y6" i="21" s="1"/>
  <c r="Z6" i="21" s="1"/>
  <c r="AA6" i="21" s="1"/>
  <c r="AB6" i="21" s="1"/>
  <c r="AC6" i="21" s="1"/>
  <c r="AD6" i="21" s="1"/>
  <c r="AE6" i="21" s="1"/>
  <c r="AF6" i="21" s="1"/>
  <c r="AG6" i="21" s="1"/>
  <c r="AH6" i="21" s="1"/>
  <c r="AI6" i="21" s="1"/>
  <c r="AJ6" i="21" s="1"/>
  <c r="AK6" i="21" s="1"/>
  <c r="AL6" i="21" s="1"/>
  <c r="AM6" i="21" s="1"/>
  <c r="AN6" i="21" s="1"/>
  <c r="AO6" i="21" s="1"/>
  <c r="AP6" i="21" s="1"/>
  <c r="AQ6" i="21" s="1"/>
  <c r="AR6" i="21" s="1"/>
  <c r="E61" i="14" l="1"/>
  <c r="E43" i="14"/>
  <c r="E65" i="14"/>
  <c r="F65" i="14"/>
  <c r="G61" i="14"/>
  <c r="G65" i="14" s="1"/>
  <c r="F61" i="14"/>
  <c r="AG84" i="21"/>
  <c r="U114" i="22"/>
  <c r="D19" i="24"/>
  <c r="E219" i="22"/>
  <c r="E221" i="22" s="1"/>
  <c r="E223" i="22" s="1"/>
  <c r="D30" i="8"/>
  <c r="AH239" i="22"/>
  <c r="AC239" i="22"/>
  <c r="E226" i="22"/>
  <c r="E228" i="22" s="1"/>
  <c r="E230" i="22" s="1"/>
  <c r="D31" i="8"/>
  <c r="E212" i="22"/>
  <c r="E214" i="22" s="1"/>
  <c r="D29" i="8"/>
  <c r="E233" i="22"/>
  <c r="E235" i="22" s="1"/>
  <c r="E237" i="22" s="1"/>
  <c r="D32" i="8"/>
  <c r="T67" i="24"/>
  <c r="AA67" i="24"/>
  <c r="K67" i="24"/>
  <c r="R67" i="24"/>
  <c r="F24" i="2" s="1"/>
  <c r="AB246" i="22"/>
  <c r="AB140" i="9"/>
  <c r="M67" i="24"/>
  <c r="D67" i="24"/>
  <c r="E24" i="2" s="1"/>
  <c r="I198" i="21"/>
  <c r="I204" i="21"/>
  <c r="G24" i="2"/>
  <c r="AL239" i="22"/>
  <c r="AI239" i="22"/>
  <c r="AM239" i="22"/>
  <c r="AM121" i="22" s="1"/>
  <c r="AF239" i="22"/>
  <c r="AF121" i="22" s="1"/>
  <c r="AG239" i="22"/>
  <c r="AG91" i="24" s="1"/>
  <c r="AD239" i="22"/>
  <c r="AK239" i="22"/>
  <c r="AK121" i="22" s="1"/>
  <c r="AJ239" i="22"/>
  <c r="AB239" i="22"/>
  <c r="AB121" i="22" s="1"/>
  <c r="AE239" i="22"/>
  <c r="E11" i="24"/>
  <c r="AH121" i="22"/>
  <c r="AC121" i="22"/>
  <c r="AD121" i="22"/>
  <c r="E87" i="24"/>
  <c r="E53" i="24"/>
  <c r="F51" i="24"/>
  <c r="AG52" i="11"/>
  <c r="E216" i="22"/>
  <c r="R114" i="22"/>
  <c r="Y114" i="22"/>
  <c r="AL111" i="22"/>
  <c r="P114" i="22"/>
  <c r="AE111" i="22"/>
  <c r="Z114" i="22"/>
  <c r="S114" i="22"/>
  <c r="AD111" i="22"/>
  <c r="AM111" i="22"/>
  <c r="F100" i="22"/>
  <c r="F135" i="22" s="1"/>
  <c r="T114" i="22"/>
  <c r="X114" i="22"/>
  <c r="AH111" i="22"/>
  <c r="AI111" i="22"/>
  <c r="D153" i="22"/>
  <c r="E149" i="22" s="1"/>
  <c r="E151" i="22" s="1"/>
  <c r="E153" i="22" s="1"/>
  <c r="F149" i="22" s="1"/>
  <c r="F151" i="22" s="1"/>
  <c r="F153" i="22" s="1"/>
  <c r="G149" i="22" s="1"/>
  <c r="G151" i="22" s="1"/>
  <c r="G153" i="22" s="1"/>
  <c r="H149" i="22" s="1"/>
  <c r="H151" i="22" s="1"/>
  <c r="H153" i="22" s="1"/>
  <c r="I149" i="22" s="1"/>
  <c r="I151" i="22" s="1"/>
  <c r="I153" i="22" s="1"/>
  <c r="J149" i="22" s="1"/>
  <c r="J151" i="22" s="1"/>
  <c r="J153" i="22" s="1"/>
  <c r="K149" i="22" s="1"/>
  <c r="K151" i="22" s="1"/>
  <c r="K153" i="22" s="1"/>
  <c r="L149" i="22" s="1"/>
  <c r="L151" i="22" s="1"/>
  <c r="L153" i="22" s="1"/>
  <c r="M149" i="22" s="1"/>
  <c r="M151" i="22" s="1"/>
  <c r="M153" i="22" s="1"/>
  <c r="N149" i="22" s="1"/>
  <c r="N151" i="22" s="1"/>
  <c r="N153" i="22" s="1"/>
  <c r="O149" i="22" s="1"/>
  <c r="O151" i="22" s="1"/>
  <c r="O153" i="22" s="1"/>
  <c r="P149" i="22" s="1"/>
  <c r="P151" i="22" s="1"/>
  <c r="P153" i="22" s="1"/>
  <c r="Q149" i="22" s="1"/>
  <c r="Q151" i="22" s="1"/>
  <c r="Q153" i="22" s="1"/>
  <c r="R149" i="22" s="1"/>
  <c r="R151" i="22" s="1"/>
  <c r="R153" i="22" s="1"/>
  <c r="S149" i="22" s="1"/>
  <c r="S151" i="22" s="1"/>
  <c r="S153" i="22" s="1"/>
  <c r="T149" i="22" s="1"/>
  <c r="T151" i="22" s="1"/>
  <c r="T153" i="22" s="1"/>
  <c r="U149" i="22" s="1"/>
  <c r="U151" i="22" s="1"/>
  <c r="U153" i="22" s="1"/>
  <c r="V149" i="22" s="1"/>
  <c r="V151" i="22" s="1"/>
  <c r="V153" i="22" s="1"/>
  <c r="W149" i="22" s="1"/>
  <c r="W151" i="22" s="1"/>
  <c r="W153" i="22" s="1"/>
  <c r="X149" i="22" s="1"/>
  <c r="X151" i="22" s="1"/>
  <c r="X153" i="22" s="1"/>
  <c r="Y149" i="22" s="1"/>
  <c r="Y151" i="22" s="1"/>
  <c r="Y153" i="22" s="1"/>
  <c r="Z149" i="22" s="1"/>
  <c r="Z151" i="22" s="1"/>
  <c r="Z153" i="22" s="1"/>
  <c r="AA149" i="22" s="1"/>
  <c r="AA151" i="22" s="1"/>
  <c r="AA153" i="22" s="1"/>
  <c r="AB149" i="22" s="1"/>
  <c r="AF111" i="22"/>
  <c r="AJ111" i="22"/>
  <c r="AC111" i="22"/>
  <c r="AK111" i="22"/>
  <c r="AC116" i="22"/>
  <c r="E188" i="22"/>
  <c r="F184" i="22" s="1"/>
  <c r="F186" i="22" s="1"/>
  <c r="F188" i="22" s="1"/>
  <c r="G184" i="22" s="1"/>
  <c r="G186" i="22" s="1"/>
  <c r="G188" i="22" s="1"/>
  <c r="H184" i="22" s="1"/>
  <c r="H186" i="22" s="1"/>
  <c r="H188" i="22" s="1"/>
  <c r="I184" i="22" s="1"/>
  <c r="I186" i="22" s="1"/>
  <c r="I188" i="22" s="1"/>
  <c r="J184" i="22" s="1"/>
  <c r="J186" i="22" s="1"/>
  <c r="J188" i="22" s="1"/>
  <c r="K184" i="22" s="1"/>
  <c r="K186" i="22" s="1"/>
  <c r="K188" i="22" s="1"/>
  <c r="L184" i="22" s="1"/>
  <c r="L186" i="22" s="1"/>
  <c r="L188" i="22" s="1"/>
  <c r="M184" i="22" s="1"/>
  <c r="M186" i="22" s="1"/>
  <c r="M188" i="22" s="1"/>
  <c r="N184" i="22" s="1"/>
  <c r="N186" i="22" s="1"/>
  <c r="N188" i="22" s="1"/>
  <c r="O184" i="22" s="1"/>
  <c r="O186" i="22" s="1"/>
  <c r="O188" i="22" s="1"/>
  <c r="P184" i="22" s="1"/>
  <c r="P186" i="22" s="1"/>
  <c r="P188" i="22" s="1"/>
  <c r="Q184" i="22" s="1"/>
  <c r="Q186" i="22" s="1"/>
  <c r="Q188" i="22" s="1"/>
  <c r="R184" i="22" s="1"/>
  <c r="R186" i="22" s="1"/>
  <c r="R188" i="22" s="1"/>
  <c r="S184" i="22" s="1"/>
  <c r="S186" i="22" s="1"/>
  <c r="S188" i="22" s="1"/>
  <c r="T184" i="22" s="1"/>
  <c r="T186" i="22" s="1"/>
  <c r="T188" i="22" s="1"/>
  <c r="U184" i="22" s="1"/>
  <c r="U186" i="22" s="1"/>
  <c r="U188" i="22" s="1"/>
  <c r="V184" i="22" s="1"/>
  <c r="V186" i="22" s="1"/>
  <c r="V188" i="22" s="1"/>
  <c r="W184" i="22" s="1"/>
  <c r="W186" i="22" s="1"/>
  <c r="W188" i="22" s="1"/>
  <c r="X184" i="22" s="1"/>
  <c r="X186" i="22" s="1"/>
  <c r="X188" i="22" s="1"/>
  <c r="Y184" i="22" s="1"/>
  <c r="Y186" i="22" s="1"/>
  <c r="Y188" i="22" s="1"/>
  <c r="Z184" i="22" s="1"/>
  <c r="Z186" i="22" s="1"/>
  <c r="Z188" i="22" s="1"/>
  <c r="AA184" i="22" s="1"/>
  <c r="AA186" i="22" s="1"/>
  <c r="AA188" i="22" s="1"/>
  <c r="AB184" i="22" s="1"/>
  <c r="AB186" i="22" s="1"/>
  <c r="AB188" i="22" s="1"/>
  <c r="D202" i="22"/>
  <c r="E198" i="22" s="1"/>
  <c r="E200" i="22" s="1"/>
  <c r="E202" i="22" s="1"/>
  <c r="F198" i="22" s="1"/>
  <c r="F200" i="22" s="1"/>
  <c r="F202" i="22" s="1"/>
  <c r="G198" i="22" s="1"/>
  <c r="G200" i="22" s="1"/>
  <c r="G202" i="22" s="1"/>
  <c r="H198" i="22" s="1"/>
  <c r="H200" i="22" s="1"/>
  <c r="H202" i="22" s="1"/>
  <c r="I198" i="22" s="1"/>
  <c r="I200" i="22" s="1"/>
  <c r="I202" i="22" s="1"/>
  <c r="J198" i="22" s="1"/>
  <c r="J200" i="22" s="1"/>
  <c r="J202" i="22" s="1"/>
  <c r="K198" i="22" s="1"/>
  <c r="K200" i="22" s="1"/>
  <c r="K202" i="22" s="1"/>
  <c r="L198" i="22" s="1"/>
  <c r="L200" i="22" s="1"/>
  <c r="L202" i="22" s="1"/>
  <c r="M198" i="22" s="1"/>
  <c r="M200" i="22" s="1"/>
  <c r="M202" i="22" s="1"/>
  <c r="N198" i="22" s="1"/>
  <c r="N200" i="22" s="1"/>
  <c r="N202" i="22" s="1"/>
  <c r="O198" i="22" s="1"/>
  <c r="O200" i="22" s="1"/>
  <c r="O202" i="22" s="1"/>
  <c r="P198" i="22" s="1"/>
  <c r="P200" i="22" s="1"/>
  <c r="P202" i="22" s="1"/>
  <c r="Q198" i="22" s="1"/>
  <c r="Q200" i="22" s="1"/>
  <c r="Q202" i="22" s="1"/>
  <c r="R198" i="22" s="1"/>
  <c r="R200" i="22" s="1"/>
  <c r="R202" i="22" s="1"/>
  <c r="S198" i="22" s="1"/>
  <c r="S200" i="22" s="1"/>
  <c r="S202" i="22" s="1"/>
  <c r="T198" i="22" s="1"/>
  <c r="T200" i="22" s="1"/>
  <c r="T202" i="22" s="1"/>
  <c r="U198" i="22" s="1"/>
  <c r="U200" i="22" s="1"/>
  <c r="U202" i="22" s="1"/>
  <c r="V198" i="22" s="1"/>
  <c r="V200" i="22" s="1"/>
  <c r="V202" i="22" s="1"/>
  <c r="W198" i="22" s="1"/>
  <c r="W200" i="22" s="1"/>
  <c r="W202" i="22" s="1"/>
  <c r="X198" i="22" s="1"/>
  <c r="X200" i="22" s="1"/>
  <c r="X202" i="22" s="1"/>
  <c r="Y198" i="22" s="1"/>
  <c r="Y200" i="22" s="1"/>
  <c r="Y202" i="22" s="1"/>
  <c r="Z198" i="22" s="1"/>
  <c r="Z200" i="22" s="1"/>
  <c r="Z202" i="22" s="1"/>
  <c r="AA198" i="22" s="1"/>
  <c r="AA200" i="22" s="1"/>
  <c r="AA202" i="22" s="1"/>
  <c r="AB198" i="22" s="1"/>
  <c r="AB200" i="22" s="1"/>
  <c r="AB202" i="22" s="1"/>
  <c r="D174" i="22"/>
  <c r="E170" i="22" s="1"/>
  <c r="E172" i="22" s="1"/>
  <c r="E174" i="22" s="1"/>
  <c r="F170" i="22" s="1"/>
  <c r="F172" i="22" s="1"/>
  <c r="F174" i="22" s="1"/>
  <c r="G170" i="22" s="1"/>
  <c r="G172" i="22" s="1"/>
  <c r="G174" i="22" s="1"/>
  <c r="H170" i="22" s="1"/>
  <c r="H172" i="22" s="1"/>
  <c r="H174" i="22" s="1"/>
  <c r="I170" i="22" s="1"/>
  <c r="I172" i="22" s="1"/>
  <c r="I174" i="22" s="1"/>
  <c r="J170" i="22" s="1"/>
  <c r="J172" i="22" s="1"/>
  <c r="J174" i="22" s="1"/>
  <c r="K170" i="22" s="1"/>
  <c r="K172" i="22" s="1"/>
  <c r="K174" i="22" s="1"/>
  <c r="L170" i="22" s="1"/>
  <c r="L172" i="22" s="1"/>
  <c r="L174" i="22" s="1"/>
  <c r="M170" i="22" s="1"/>
  <c r="M172" i="22" s="1"/>
  <c r="M174" i="22" s="1"/>
  <c r="N170" i="22" s="1"/>
  <c r="N172" i="22" s="1"/>
  <c r="N174" i="22" s="1"/>
  <c r="O170" i="22" s="1"/>
  <c r="O172" i="22" s="1"/>
  <c r="O174" i="22" s="1"/>
  <c r="P170" i="22" s="1"/>
  <c r="P172" i="22" s="1"/>
  <c r="P174" i="22" s="1"/>
  <c r="Q170" i="22" s="1"/>
  <c r="Q172" i="22" s="1"/>
  <c r="Q174" i="22" s="1"/>
  <c r="R170" i="22" s="1"/>
  <c r="R172" i="22" s="1"/>
  <c r="R174" i="22" s="1"/>
  <c r="S170" i="22" s="1"/>
  <c r="S172" i="22" s="1"/>
  <c r="S174" i="22" s="1"/>
  <c r="T170" i="22" s="1"/>
  <c r="T172" i="22" s="1"/>
  <c r="T174" i="22" s="1"/>
  <c r="U170" i="22" s="1"/>
  <c r="U172" i="22" s="1"/>
  <c r="U174" i="22" s="1"/>
  <c r="V170" i="22" s="1"/>
  <c r="V172" i="22" s="1"/>
  <c r="V174" i="22" s="1"/>
  <c r="W170" i="22" s="1"/>
  <c r="W172" i="22" s="1"/>
  <c r="W174" i="22" s="1"/>
  <c r="X170" i="22" s="1"/>
  <c r="X172" i="22" s="1"/>
  <c r="X174" i="22" s="1"/>
  <c r="Y170" i="22" s="1"/>
  <c r="Y172" i="22" s="1"/>
  <c r="Y174" i="22" s="1"/>
  <c r="Z170" i="22" s="1"/>
  <c r="Z172" i="22" s="1"/>
  <c r="Z174" i="22" s="1"/>
  <c r="AA170" i="22" s="1"/>
  <c r="AA172" i="22" s="1"/>
  <c r="AA174" i="22" s="1"/>
  <c r="AB170" i="22" s="1"/>
  <c r="AB172" i="22" s="1"/>
  <c r="AB174" i="22" s="1"/>
  <c r="AM116" i="22"/>
  <c r="W114" i="22"/>
  <c r="Q114" i="22"/>
  <c r="H109" i="22"/>
  <c r="E109" i="22"/>
  <c r="N109" i="22"/>
  <c r="I239" i="22"/>
  <c r="I91" i="24" s="1"/>
  <c r="AJ116" i="22"/>
  <c r="AG116" i="22"/>
  <c r="AH116" i="22"/>
  <c r="I109" i="22"/>
  <c r="M109" i="22"/>
  <c r="G109" i="22"/>
  <c r="E102" i="22"/>
  <c r="D209" i="22"/>
  <c r="E205" i="22" s="1"/>
  <c r="E207" i="22" s="1"/>
  <c r="E209" i="22" s="1"/>
  <c r="F205" i="22" s="1"/>
  <c r="F207" i="22" s="1"/>
  <c r="F209" i="22" s="1"/>
  <c r="G205" i="22" s="1"/>
  <c r="G207" i="22" s="1"/>
  <c r="G209" i="22" s="1"/>
  <c r="H205" i="22" s="1"/>
  <c r="H207" i="22" s="1"/>
  <c r="H209" i="22" s="1"/>
  <c r="I205" i="22" s="1"/>
  <c r="I207" i="22" s="1"/>
  <c r="I209" i="22" s="1"/>
  <c r="J205" i="22" s="1"/>
  <c r="J207" i="22" s="1"/>
  <c r="J209" i="22" s="1"/>
  <c r="K205" i="22" s="1"/>
  <c r="K207" i="22" s="1"/>
  <c r="K209" i="22" s="1"/>
  <c r="L205" i="22" s="1"/>
  <c r="L207" i="22" s="1"/>
  <c r="L209" i="22" s="1"/>
  <c r="M205" i="22" s="1"/>
  <c r="M207" i="22" s="1"/>
  <c r="M209" i="22" s="1"/>
  <c r="N205" i="22" s="1"/>
  <c r="N207" i="22" s="1"/>
  <c r="N209" i="22" s="1"/>
  <c r="O205" i="22" s="1"/>
  <c r="O207" i="22" s="1"/>
  <c r="O209" i="22" s="1"/>
  <c r="P205" i="22" s="1"/>
  <c r="P207" i="22" s="1"/>
  <c r="P209" i="22" s="1"/>
  <c r="Q205" i="22" s="1"/>
  <c r="Q207" i="22" s="1"/>
  <c r="Q209" i="22" s="1"/>
  <c r="R205" i="22" s="1"/>
  <c r="R207" i="22" s="1"/>
  <c r="R209" i="22" s="1"/>
  <c r="S205" i="22" s="1"/>
  <c r="S207" i="22" s="1"/>
  <c r="S209" i="22" s="1"/>
  <c r="T205" i="22" s="1"/>
  <c r="T207" i="22" s="1"/>
  <c r="T209" i="22" s="1"/>
  <c r="U205" i="22" s="1"/>
  <c r="U207" i="22" s="1"/>
  <c r="U209" i="22" s="1"/>
  <c r="V205" i="22" s="1"/>
  <c r="V207" i="22" s="1"/>
  <c r="V209" i="22" s="1"/>
  <c r="W205" i="22" s="1"/>
  <c r="W207" i="22" s="1"/>
  <c r="W209" i="22" s="1"/>
  <c r="X205" i="22" s="1"/>
  <c r="X207" i="22" s="1"/>
  <c r="X209" i="22" s="1"/>
  <c r="Y205" i="22" s="1"/>
  <c r="Y207" i="22" s="1"/>
  <c r="Y209" i="22" s="1"/>
  <c r="Z205" i="22" s="1"/>
  <c r="Z207" i="22" s="1"/>
  <c r="Z209" i="22" s="1"/>
  <c r="AA205" i="22" s="1"/>
  <c r="AA207" i="22" s="1"/>
  <c r="AA209" i="22" s="1"/>
  <c r="AB205" i="22" s="1"/>
  <c r="AB207" i="22" s="1"/>
  <c r="AB209" i="22" s="1"/>
  <c r="AD116" i="22"/>
  <c r="AL116" i="22"/>
  <c r="AE116" i="22"/>
  <c r="F109" i="22"/>
  <c r="K109" i="22"/>
  <c r="D195" i="22"/>
  <c r="E191" i="22" s="1"/>
  <c r="E193" i="22" s="1"/>
  <c r="E195" i="22" s="1"/>
  <c r="F191" i="22" s="1"/>
  <c r="F193" i="22" s="1"/>
  <c r="F195" i="22" s="1"/>
  <c r="G191" i="22" s="1"/>
  <c r="G193" i="22" s="1"/>
  <c r="G195" i="22" s="1"/>
  <c r="H191" i="22" s="1"/>
  <c r="H193" i="22" s="1"/>
  <c r="H195" i="22" s="1"/>
  <c r="I191" i="22" s="1"/>
  <c r="I193" i="22" s="1"/>
  <c r="I195" i="22" s="1"/>
  <c r="J191" i="22" s="1"/>
  <c r="J193" i="22" s="1"/>
  <c r="J195" i="22" s="1"/>
  <c r="K191" i="22" s="1"/>
  <c r="K193" i="22" s="1"/>
  <c r="K195" i="22" s="1"/>
  <c r="L191" i="22" s="1"/>
  <c r="L193" i="22" s="1"/>
  <c r="L195" i="22" s="1"/>
  <c r="M191" i="22" s="1"/>
  <c r="M193" i="22" s="1"/>
  <c r="M195" i="22" s="1"/>
  <c r="N191" i="22" s="1"/>
  <c r="N193" i="22" s="1"/>
  <c r="N195" i="22" s="1"/>
  <c r="O191" i="22" s="1"/>
  <c r="O193" i="22" s="1"/>
  <c r="O195" i="22" s="1"/>
  <c r="P191" i="22" s="1"/>
  <c r="P193" i="22" s="1"/>
  <c r="P195" i="22" s="1"/>
  <c r="Q191" i="22" s="1"/>
  <c r="Q193" i="22" s="1"/>
  <c r="Q195" i="22" s="1"/>
  <c r="R191" i="22" s="1"/>
  <c r="R193" i="22" s="1"/>
  <c r="R195" i="22" s="1"/>
  <c r="S191" i="22" s="1"/>
  <c r="S193" i="22" s="1"/>
  <c r="S195" i="22" s="1"/>
  <c r="T191" i="22" s="1"/>
  <c r="T193" i="22" s="1"/>
  <c r="T195" i="22" s="1"/>
  <c r="U191" i="22" s="1"/>
  <c r="U193" i="22" s="1"/>
  <c r="U195" i="22" s="1"/>
  <c r="V191" i="22" s="1"/>
  <c r="V193" i="22" s="1"/>
  <c r="V195" i="22" s="1"/>
  <c r="W191" i="22" s="1"/>
  <c r="W193" i="22" s="1"/>
  <c r="W195" i="22" s="1"/>
  <c r="X191" i="22" s="1"/>
  <c r="X193" i="22" s="1"/>
  <c r="X195" i="22" s="1"/>
  <c r="Y191" i="22" s="1"/>
  <c r="Y193" i="22" s="1"/>
  <c r="Y195" i="22" s="1"/>
  <c r="Z191" i="22" s="1"/>
  <c r="Z193" i="22" s="1"/>
  <c r="Z195" i="22" s="1"/>
  <c r="AA191" i="22" s="1"/>
  <c r="AA193" i="22" s="1"/>
  <c r="AA195" i="22" s="1"/>
  <c r="AB191" i="22" s="1"/>
  <c r="AB193" i="22" s="1"/>
  <c r="AB195" i="22" s="1"/>
  <c r="D160" i="22"/>
  <c r="E156" i="22" s="1"/>
  <c r="E158" i="22" s="1"/>
  <c r="E160" i="22" s="1"/>
  <c r="F156" i="22" s="1"/>
  <c r="F158" i="22" s="1"/>
  <c r="F160" i="22" s="1"/>
  <c r="G156" i="22" s="1"/>
  <c r="G158" i="22" s="1"/>
  <c r="G160" i="22" s="1"/>
  <c r="H156" i="22" s="1"/>
  <c r="H158" i="22" s="1"/>
  <c r="H160" i="22" s="1"/>
  <c r="I156" i="22" s="1"/>
  <c r="I158" i="22" s="1"/>
  <c r="I160" i="22" s="1"/>
  <c r="J156" i="22" s="1"/>
  <c r="J158" i="22" s="1"/>
  <c r="J160" i="22" s="1"/>
  <c r="K156" i="22" s="1"/>
  <c r="K158" i="22" s="1"/>
  <c r="K160" i="22" s="1"/>
  <c r="L156" i="22" s="1"/>
  <c r="L158" i="22" s="1"/>
  <c r="L160" i="22" s="1"/>
  <c r="M156" i="22" s="1"/>
  <c r="M158" i="22" s="1"/>
  <c r="M160" i="22" s="1"/>
  <c r="N156" i="22" s="1"/>
  <c r="N158" i="22" s="1"/>
  <c r="N160" i="22" s="1"/>
  <c r="O156" i="22" s="1"/>
  <c r="O158" i="22" s="1"/>
  <c r="O160" i="22" s="1"/>
  <c r="P156" i="22" s="1"/>
  <c r="P158" i="22" s="1"/>
  <c r="P160" i="22" s="1"/>
  <c r="Q156" i="22" s="1"/>
  <c r="Q158" i="22" s="1"/>
  <c r="Q160" i="22" s="1"/>
  <c r="R156" i="22" s="1"/>
  <c r="R158" i="22" s="1"/>
  <c r="R160" i="22" s="1"/>
  <c r="S156" i="22" s="1"/>
  <c r="S158" i="22" s="1"/>
  <c r="S160" i="22" s="1"/>
  <c r="T156" i="22" s="1"/>
  <c r="T158" i="22" s="1"/>
  <c r="T160" i="22" s="1"/>
  <c r="U156" i="22" s="1"/>
  <c r="U158" i="22" s="1"/>
  <c r="U160" i="22" s="1"/>
  <c r="V156" i="22" s="1"/>
  <c r="V158" i="22" s="1"/>
  <c r="V160" i="22" s="1"/>
  <c r="W156" i="22" s="1"/>
  <c r="W158" i="22" s="1"/>
  <c r="W160" i="22" s="1"/>
  <c r="X156" i="22" s="1"/>
  <c r="X158" i="22" s="1"/>
  <c r="X160" i="22" s="1"/>
  <c r="Y156" i="22" s="1"/>
  <c r="Y158" i="22" s="1"/>
  <c r="Y160" i="22" s="1"/>
  <c r="Z156" i="22" s="1"/>
  <c r="Z158" i="22" s="1"/>
  <c r="Z160" i="22" s="1"/>
  <c r="AA156" i="22" s="1"/>
  <c r="AA158" i="22" s="1"/>
  <c r="AA160" i="22" s="1"/>
  <c r="AB156" i="22" s="1"/>
  <c r="AB158" i="22" s="1"/>
  <c r="AB160" i="22" s="1"/>
  <c r="AK116" i="22"/>
  <c r="AF116" i="22"/>
  <c r="V114" i="22"/>
  <c r="AA114" i="22"/>
  <c r="L109" i="22"/>
  <c r="J109" i="22"/>
  <c r="AA109" i="22"/>
  <c r="W109" i="22"/>
  <c r="S109" i="22"/>
  <c r="Z109" i="22"/>
  <c r="V109" i="22"/>
  <c r="R109" i="22"/>
  <c r="U109" i="22"/>
  <c r="T109" i="22"/>
  <c r="Y109" i="22"/>
  <c r="Q109" i="22"/>
  <c r="X109" i="22"/>
  <c r="P109" i="22"/>
  <c r="H239" i="22"/>
  <c r="H91" i="24" s="1"/>
  <c r="AJ112" i="22"/>
  <c r="AK112" i="22"/>
  <c r="AF112" i="22"/>
  <c r="AM112" i="22"/>
  <c r="AD112" i="22"/>
  <c r="AI112" i="22"/>
  <c r="AE112" i="22"/>
  <c r="AH112" i="22"/>
  <c r="AL112" i="22"/>
  <c r="AG112" i="22"/>
  <c r="AC112" i="22"/>
  <c r="X115" i="22"/>
  <c r="T115" i="22"/>
  <c r="P115" i="22"/>
  <c r="Y115" i="22"/>
  <c r="S115" i="22"/>
  <c r="AA115" i="22"/>
  <c r="V115" i="22"/>
  <c r="W115" i="22"/>
  <c r="R115" i="22"/>
  <c r="Q115" i="22"/>
  <c r="U115" i="22"/>
  <c r="Z115" i="22"/>
  <c r="G239" i="22"/>
  <c r="G91" i="24" s="1"/>
  <c r="L239" i="22"/>
  <c r="L91" i="24" s="1"/>
  <c r="Y111" i="22"/>
  <c r="U111" i="22"/>
  <c r="Q111" i="22"/>
  <c r="X111" i="22"/>
  <c r="T111" i="22"/>
  <c r="P111" i="22"/>
  <c r="AA111" i="22"/>
  <c r="S111" i="22"/>
  <c r="V111" i="22"/>
  <c r="Z111" i="22"/>
  <c r="R111" i="22"/>
  <c r="W111" i="22"/>
  <c r="X112" i="22"/>
  <c r="T112" i="22"/>
  <c r="P112" i="22"/>
  <c r="AA112" i="22"/>
  <c r="W112" i="22"/>
  <c r="S112" i="22"/>
  <c r="Z112" i="22"/>
  <c r="R112" i="22"/>
  <c r="V112" i="22"/>
  <c r="Q112" i="22"/>
  <c r="Y112" i="22"/>
  <c r="U112" i="22"/>
  <c r="Q239" i="22"/>
  <c r="Q91" i="24" s="1"/>
  <c r="M239" i="22"/>
  <c r="M91" i="24" s="1"/>
  <c r="J239" i="22"/>
  <c r="J91" i="24" s="1"/>
  <c r="V239" i="22"/>
  <c r="V91" i="24" s="1"/>
  <c r="K239" i="22"/>
  <c r="K91" i="24" s="1"/>
  <c r="AA239" i="22"/>
  <c r="AA91" i="24" s="1"/>
  <c r="D146" i="22"/>
  <c r="E142" i="22" s="1"/>
  <c r="E144" i="22" s="1"/>
  <c r="E146" i="22" s="1"/>
  <c r="F142" i="22" s="1"/>
  <c r="F144" i="22" s="1"/>
  <c r="F146" i="22" s="1"/>
  <c r="G142" i="22" s="1"/>
  <c r="G144" i="22" s="1"/>
  <c r="G146" i="22" s="1"/>
  <c r="H142" i="22" s="1"/>
  <c r="H144" i="22" s="1"/>
  <c r="H146" i="22" s="1"/>
  <c r="I142" i="22" s="1"/>
  <c r="I144" i="22" s="1"/>
  <c r="I146" i="22" s="1"/>
  <c r="J142" i="22" s="1"/>
  <c r="J144" i="22" s="1"/>
  <c r="J146" i="22" s="1"/>
  <c r="K142" i="22" s="1"/>
  <c r="K144" i="22" s="1"/>
  <c r="K146" i="22" s="1"/>
  <c r="L142" i="22" s="1"/>
  <c r="L144" i="22" s="1"/>
  <c r="L146" i="22" s="1"/>
  <c r="M142" i="22" s="1"/>
  <c r="M144" i="22" s="1"/>
  <c r="M146" i="22" s="1"/>
  <c r="N142" i="22" s="1"/>
  <c r="N144" i="22" s="1"/>
  <c r="N146" i="22" s="1"/>
  <c r="O142" i="22" s="1"/>
  <c r="O144" i="22" s="1"/>
  <c r="O146" i="22" s="1"/>
  <c r="P142" i="22" s="1"/>
  <c r="P144" i="22" s="1"/>
  <c r="P146" i="22" s="1"/>
  <c r="Q142" i="22" s="1"/>
  <c r="Q144" i="22" s="1"/>
  <c r="Q146" i="22" s="1"/>
  <c r="R142" i="22" s="1"/>
  <c r="R144" i="22" s="1"/>
  <c r="R146" i="22" s="1"/>
  <c r="S142" i="22" s="1"/>
  <c r="S144" i="22" s="1"/>
  <c r="S146" i="22" s="1"/>
  <c r="T142" i="22" s="1"/>
  <c r="T144" i="22" s="1"/>
  <c r="T146" i="22" s="1"/>
  <c r="U142" i="22" s="1"/>
  <c r="U144" i="22" s="1"/>
  <c r="U146" i="22" s="1"/>
  <c r="V142" i="22" s="1"/>
  <c r="V144" i="22" s="1"/>
  <c r="V146" i="22" s="1"/>
  <c r="W142" i="22" s="1"/>
  <c r="W144" i="22" s="1"/>
  <c r="W146" i="22" s="1"/>
  <c r="X142" i="22" s="1"/>
  <c r="X144" i="22" s="1"/>
  <c r="X146" i="22" s="1"/>
  <c r="Y142" i="22" s="1"/>
  <c r="Y144" i="22" s="1"/>
  <c r="Y146" i="22" s="1"/>
  <c r="Z142" i="22" s="1"/>
  <c r="Z144" i="22" s="1"/>
  <c r="Z146" i="22" s="1"/>
  <c r="AA142" i="22" s="1"/>
  <c r="AA144" i="22" s="1"/>
  <c r="AA146" i="22" s="1"/>
  <c r="AB142" i="22" s="1"/>
  <c r="AB144" i="22" s="1"/>
  <c r="P239" i="22"/>
  <c r="P91" i="24" s="1"/>
  <c r="AA116" i="22"/>
  <c r="W116" i="22"/>
  <c r="S116" i="22"/>
  <c r="X116" i="22"/>
  <c r="R116" i="22"/>
  <c r="U116" i="22"/>
  <c r="P116" i="22"/>
  <c r="V116" i="22"/>
  <c r="Q116" i="22"/>
  <c r="Z116" i="22"/>
  <c r="Y116" i="22"/>
  <c r="T116" i="22"/>
  <c r="F239" i="22"/>
  <c r="F91" i="24" s="1"/>
  <c r="S239" i="22"/>
  <c r="S91" i="24" s="1"/>
  <c r="X239" i="22"/>
  <c r="X91" i="24" s="1"/>
  <c r="AK114" i="22"/>
  <c r="AG114" i="22"/>
  <c r="AC114" i="22"/>
  <c r="AI114" i="22"/>
  <c r="AD114" i="22"/>
  <c r="AL114" i="22"/>
  <c r="AM114" i="22"/>
  <c r="AH114" i="22"/>
  <c r="AB114" i="22"/>
  <c r="AF114" i="22"/>
  <c r="AE114" i="22"/>
  <c r="AJ114" i="22"/>
  <c r="Y239" i="22"/>
  <c r="Y91" i="24" s="1"/>
  <c r="D181" i="22"/>
  <c r="E177" i="22" s="1"/>
  <c r="E179" i="22" s="1"/>
  <c r="E181" i="22" s="1"/>
  <c r="F177" i="22" s="1"/>
  <c r="F179" i="22" s="1"/>
  <c r="F181" i="22" s="1"/>
  <c r="G177" i="22" s="1"/>
  <c r="G179" i="22" s="1"/>
  <c r="G181" i="22" s="1"/>
  <c r="H177" i="22" s="1"/>
  <c r="H179" i="22" s="1"/>
  <c r="H181" i="22" s="1"/>
  <c r="I177" i="22" s="1"/>
  <c r="I179" i="22" s="1"/>
  <c r="I181" i="22" s="1"/>
  <c r="J177" i="22" s="1"/>
  <c r="J179" i="22" s="1"/>
  <c r="J181" i="22" s="1"/>
  <c r="K177" i="22" s="1"/>
  <c r="K179" i="22" s="1"/>
  <c r="K181" i="22" s="1"/>
  <c r="L177" i="22" s="1"/>
  <c r="L179" i="22" s="1"/>
  <c r="L181" i="22" s="1"/>
  <c r="M177" i="22" s="1"/>
  <c r="M179" i="22" s="1"/>
  <c r="M181" i="22" s="1"/>
  <c r="N177" i="22" s="1"/>
  <c r="N179" i="22" s="1"/>
  <c r="N181" i="22" s="1"/>
  <c r="O177" i="22" s="1"/>
  <c r="O179" i="22" s="1"/>
  <c r="O181" i="22" s="1"/>
  <c r="P177" i="22" s="1"/>
  <c r="P179" i="22" s="1"/>
  <c r="P181" i="22" s="1"/>
  <c r="Q177" i="22" s="1"/>
  <c r="Q179" i="22" s="1"/>
  <c r="Q181" i="22" s="1"/>
  <c r="R177" i="22" s="1"/>
  <c r="R179" i="22" s="1"/>
  <c r="R181" i="22" s="1"/>
  <c r="S177" i="22" s="1"/>
  <c r="S179" i="22" s="1"/>
  <c r="S181" i="22" s="1"/>
  <c r="T177" i="22" s="1"/>
  <c r="T179" i="22" s="1"/>
  <c r="T181" i="22" s="1"/>
  <c r="U177" i="22" s="1"/>
  <c r="U179" i="22" s="1"/>
  <c r="U181" i="22" s="1"/>
  <c r="V177" i="22" s="1"/>
  <c r="V179" i="22" s="1"/>
  <c r="V181" i="22" s="1"/>
  <c r="W177" i="22" s="1"/>
  <c r="W179" i="22" s="1"/>
  <c r="W181" i="22" s="1"/>
  <c r="X177" i="22" s="1"/>
  <c r="X179" i="22" s="1"/>
  <c r="X181" i="22" s="1"/>
  <c r="Y177" i="22" s="1"/>
  <c r="Y179" i="22" s="1"/>
  <c r="Y181" i="22" s="1"/>
  <c r="Z177" i="22" s="1"/>
  <c r="Z179" i="22" s="1"/>
  <c r="Z181" i="22" s="1"/>
  <c r="AA177" i="22" s="1"/>
  <c r="AA179" i="22" s="1"/>
  <c r="AA181" i="22" s="1"/>
  <c r="AB177" i="22" s="1"/>
  <c r="AB179" i="22" s="1"/>
  <c r="AB181" i="22" s="1"/>
  <c r="E239" i="22"/>
  <c r="E91" i="24" s="1"/>
  <c r="N239" i="22"/>
  <c r="N91" i="24" s="1"/>
  <c r="W239" i="22"/>
  <c r="W91" i="24" s="1"/>
  <c r="Z113" i="22"/>
  <c r="V113" i="22"/>
  <c r="R113" i="22"/>
  <c r="X113" i="22"/>
  <c r="S113" i="22"/>
  <c r="U113" i="22"/>
  <c r="W113" i="22"/>
  <c r="Q113" i="22"/>
  <c r="AA113" i="22"/>
  <c r="P113" i="22"/>
  <c r="T113" i="22"/>
  <c r="Y113" i="22"/>
  <c r="R239" i="22"/>
  <c r="R91" i="24" s="1"/>
  <c r="U239" i="22"/>
  <c r="U91" i="24" s="1"/>
  <c r="Z239" i="22"/>
  <c r="Z91" i="24" s="1"/>
  <c r="O239" i="22"/>
  <c r="O91" i="24" s="1"/>
  <c r="D239" i="22"/>
  <c r="D91" i="24" s="1"/>
  <c r="T239" i="22"/>
  <c r="T91" i="24" s="1"/>
  <c r="AM109" i="22"/>
  <c r="AI109" i="22"/>
  <c r="AE109" i="22"/>
  <c r="AL109" i="22"/>
  <c r="AH109" i="22"/>
  <c r="AD109" i="22"/>
  <c r="AK109" i="22"/>
  <c r="AC109" i="22"/>
  <c r="AG109" i="22"/>
  <c r="AJ109" i="22"/>
  <c r="AF109" i="22"/>
  <c r="D167" i="22"/>
  <c r="E163" i="22" s="1"/>
  <c r="E165" i="22" s="1"/>
  <c r="E167" i="22" s="1"/>
  <c r="F163" i="22" s="1"/>
  <c r="F165" i="22" s="1"/>
  <c r="F167" i="22" s="1"/>
  <c r="G163" i="22" s="1"/>
  <c r="G165" i="22" s="1"/>
  <c r="G167" i="22" s="1"/>
  <c r="H163" i="22" s="1"/>
  <c r="H165" i="22" s="1"/>
  <c r="H167" i="22" s="1"/>
  <c r="I163" i="22" s="1"/>
  <c r="I165" i="22" s="1"/>
  <c r="I167" i="22" s="1"/>
  <c r="J163" i="22" s="1"/>
  <c r="J165" i="22" s="1"/>
  <c r="J167" i="22" s="1"/>
  <c r="K163" i="22" s="1"/>
  <c r="K165" i="22" s="1"/>
  <c r="K167" i="22" s="1"/>
  <c r="L163" i="22" s="1"/>
  <c r="L165" i="22" s="1"/>
  <c r="L167" i="22" s="1"/>
  <c r="M163" i="22" s="1"/>
  <c r="M165" i="22" s="1"/>
  <c r="M167" i="22" s="1"/>
  <c r="N163" i="22" s="1"/>
  <c r="N165" i="22" s="1"/>
  <c r="N167" i="22" s="1"/>
  <c r="O163" i="22" s="1"/>
  <c r="O165" i="22" s="1"/>
  <c r="O167" i="22" s="1"/>
  <c r="P163" i="22" s="1"/>
  <c r="P165" i="22" s="1"/>
  <c r="P167" i="22" s="1"/>
  <c r="Q163" i="22" s="1"/>
  <c r="Q165" i="22" s="1"/>
  <c r="Q167" i="22" s="1"/>
  <c r="R163" i="22" s="1"/>
  <c r="R165" i="22" s="1"/>
  <c r="R167" i="22" s="1"/>
  <c r="S163" i="22" s="1"/>
  <c r="S165" i="22" s="1"/>
  <c r="S167" i="22" s="1"/>
  <c r="T163" i="22" s="1"/>
  <c r="T165" i="22" s="1"/>
  <c r="T167" i="22" s="1"/>
  <c r="U163" i="22" s="1"/>
  <c r="U165" i="22" s="1"/>
  <c r="U167" i="22" s="1"/>
  <c r="V163" i="22" s="1"/>
  <c r="V165" i="22" s="1"/>
  <c r="V167" i="22" s="1"/>
  <c r="W163" i="22" s="1"/>
  <c r="W165" i="22" s="1"/>
  <c r="W167" i="22" s="1"/>
  <c r="X163" i="22" s="1"/>
  <c r="X165" i="22" s="1"/>
  <c r="X167" i="22" s="1"/>
  <c r="Y163" i="22" s="1"/>
  <c r="Y165" i="22" s="1"/>
  <c r="Y167" i="22" s="1"/>
  <c r="Z163" i="22" s="1"/>
  <c r="Z165" i="22" s="1"/>
  <c r="Z167" i="22" s="1"/>
  <c r="AA163" i="22" s="1"/>
  <c r="AA165" i="22" s="1"/>
  <c r="AA167" i="22" s="1"/>
  <c r="AB163" i="22" s="1"/>
  <c r="AB165" i="22" s="1"/>
  <c r="AB167" i="22" s="1"/>
  <c r="AJ115" i="22"/>
  <c r="AF115" i="22"/>
  <c r="AI115" i="22"/>
  <c r="AD115" i="22"/>
  <c r="AL115" i="22"/>
  <c r="AM115" i="22"/>
  <c r="AH115" i="22"/>
  <c r="AC115" i="22"/>
  <c r="AG115" i="22"/>
  <c r="AK115" i="22"/>
  <c r="AE115" i="22"/>
  <c r="AL113" i="22"/>
  <c r="AH113" i="22"/>
  <c r="AD113" i="22"/>
  <c r="AI113" i="22"/>
  <c r="AC113" i="22"/>
  <c r="AF113" i="22"/>
  <c r="AM113" i="22"/>
  <c r="AG113" i="22"/>
  <c r="AK113" i="22"/>
  <c r="AE113" i="22"/>
  <c r="AJ113" i="22"/>
  <c r="AE51" i="11"/>
  <c r="AH95" i="21"/>
  <c r="AE56" i="11"/>
  <c r="AH116" i="21"/>
  <c r="AD46" i="11"/>
  <c r="AH73" i="21" s="1"/>
  <c r="AG81" i="21"/>
  <c r="I123" i="21"/>
  <c r="I125" i="21" s="1"/>
  <c r="J117" i="21" s="1"/>
  <c r="I103" i="21"/>
  <c r="I100" i="21"/>
  <c r="I97" i="21"/>
  <c r="AM57" i="11"/>
  <c r="AN47" i="11"/>
  <c r="AH52" i="11"/>
  <c r="AL52" i="11" s="1"/>
  <c r="AM52" i="11"/>
  <c r="AN57" i="11"/>
  <c r="F96" i="11"/>
  <c r="F99" i="11" s="1"/>
  <c r="E100" i="11"/>
  <c r="AH57" i="11"/>
  <c r="AE57" i="11"/>
  <c r="AD52" i="11"/>
  <c r="AD57" i="11"/>
  <c r="AE52" i="11"/>
  <c r="AE47" i="11"/>
  <c r="AH47" i="11"/>
  <c r="AI47" i="11" s="1"/>
  <c r="AD47" i="11"/>
  <c r="AF47" i="11"/>
  <c r="AG47" i="11"/>
  <c r="AF52" i="11"/>
  <c r="AF57" i="11"/>
  <c r="Y78" i="21"/>
  <c r="U81" i="21"/>
  <c r="M78" i="21"/>
  <c r="AC78" i="21"/>
  <c r="Y81" i="21"/>
  <c r="Q78" i="21"/>
  <c r="M81" i="21"/>
  <c r="AC81" i="21"/>
  <c r="U78" i="21"/>
  <c r="Q81" i="21"/>
  <c r="L89" i="14"/>
  <c r="L91" i="14" s="1"/>
  <c r="L92" i="14" s="1"/>
  <c r="C98" i="11" s="1"/>
  <c r="AF81" i="21"/>
  <c r="AB81" i="21"/>
  <c r="X81" i="21"/>
  <c r="T81" i="21"/>
  <c r="P81" i="21"/>
  <c r="L81" i="21"/>
  <c r="AB78" i="21"/>
  <c r="X78" i="21"/>
  <c r="T78" i="21"/>
  <c r="P78" i="21"/>
  <c r="L78" i="21"/>
  <c r="J78" i="21"/>
  <c r="N78" i="21"/>
  <c r="R78" i="21"/>
  <c r="V78" i="21"/>
  <c r="Z78" i="21"/>
  <c r="AD78" i="21"/>
  <c r="J81" i="21"/>
  <c r="N81" i="21"/>
  <c r="R81" i="21"/>
  <c r="V81" i="21"/>
  <c r="Z81" i="21"/>
  <c r="AD81" i="21"/>
  <c r="K78" i="21"/>
  <c r="O78" i="21"/>
  <c r="S78" i="21"/>
  <c r="W78" i="21"/>
  <c r="AA78" i="21"/>
  <c r="AE78" i="21"/>
  <c r="K81" i="21"/>
  <c r="O81" i="21"/>
  <c r="S81" i="21"/>
  <c r="W81" i="21"/>
  <c r="AA81" i="21"/>
  <c r="AE81" i="21"/>
  <c r="F226" i="22" l="1"/>
  <c r="F228" i="22" s="1"/>
  <c r="F230" i="22" s="1"/>
  <c r="E31" i="8"/>
  <c r="F219" i="22"/>
  <c r="F221" i="22" s="1"/>
  <c r="F223" i="22" s="1"/>
  <c r="E30" i="8"/>
  <c r="F212" i="22"/>
  <c r="F214" i="22" s="1"/>
  <c r="F216" i="22" s="1"/>
  <c r="E29" i="8"/>
  <c r="F233" i="22"/>
  <c r="F235" i="22" s="1"/>
  <c r="F237" i="22" s="1"/>
  <c r="E32" i="8"/>
  <c r="J195" i="21"/>
  <c r="I207" i="21"/>
  <c r="I208" i="21" s="1"/>
  <c r="I202" i="21"/>
  <c r="F100" i="11"/>
  <c r="F101" i="11" s="1"/>
  <c r="J196" i="21"/>
  <c r="AC205" i="22"/>
  <c r="AC207" i="22" s="1"/>
  <c r="AC209" i="22" s="1"/>
  <c r="AC198" i="22"/>
  <c r="AC200" i="22" s="1"/>
  <c r="AC202" i="22" s="1"/>
  <c r="AC191" i="22"/>
  <c r="AC193" i="22" s="1"/>
  <c r="AC195" i="22" s="1"/>
  <c r="AC184" i="22"/>
  <c r="AC186" i="22" s="1"/>
  <c r="AC188" i="22" s="1"/>
  <c r="AC177" i="22"/>
  <c r="AC179" i="22" s="1"/>
  <c r="AC181" i="22" s="1"/>
  <c r="AC170" i="22"/>
  <c r="AC172" i="22" s="1"/>
  <c r="AC174" i="22" s="1"/>
  <c r="AG245" i="22"/>
  <c r="AC163" i="22"/>
  <c r="AC165" i="22" s="1"/>
  <c r="AC167" i="22" s="1"/>
  <c r="AG121" i="22"/>
  <c r="AC156" i="22"/>
  <c r="AC158" i="22" s="1"/>
  <c r="AC160" i="22" s="1"/>
  <c r="AB146" i="22"/>
  <c r="AE245" i="22"/>
  <c r="AE91" i="24"/>
  <c r="AL245" i="22"/>
  <c r="AL91" i="24"/>
  <c r="AD245" i="22"/>
  <c r="AD91" i="24"/>
  <c r="AM245" i="22"/>
  <c r="AM91" i="24"/>
  <c r="AF245" i="22"/>
  <c r="AF91" i="24"/>
  <c r="AK245" i="22"/>
  <c r="AK91" i="24"/>
  <c r="AH245" i="22"/>
  <c r="AH91" i="24"/>
  <c r="AC245" i="22"/>
  <c r="AC91" i="24"/>
  <c r="AJ245" i="22"/>
  <c r="AJ91" i="24"/>
  <c r="AI245" i="22"/>
  <c r="AI91" i="24"/>
  <c r="AB245" i="22"/>
  <c r="AB91" i="24"/>
  <c r="F121" i="22"/>
  <c r="F245" i="22"/>
  <c r="Z121" i="22"/>
  <c r="Z245" i="22"/>
  <c r="W121" i="22"/>
  <c r="W245" i="22"/>
  <c r="AE121" i="22"/>
  <c r="N121" i="22"/>
  <c r="N245" i="22"/>
  <c r="Q121" i="22"/>
  <c r="Q245" i="22"/>
  <c r="AL121" i="22"/>
  <c r="I121" i="22"/>
  <c r="I245" i="22"/>
  <c r="T121" i="22"/>
  <c r="T245" i="22"/>
  <c r="J121" i="22"/>
  <c r="J245" i="22"/>
  <c r="H121" i="22"/>
  <c r="H245" i="22"/>
  <c r="D121" i="22"/>
  <c r="D245" i="22"/>
  <c r="Y121" i="22"/>
  <c r="Y245" i="22"/>
  <c r="AA121" i="22"/>
  <c r="AA245" i="22"/>
  <c r="M121" i="22"/>
  <c r="M245" i="22"/>
  <c r="G121" i="22"/>
  <c r="G245" i="22"/>
  <c r="AI121" i="22"/>
  <c r="U121" i="22"/>
  <c r="U245" i="22"/>
  <c r="X121" i="22"/>
  <c r="X245" i="22"/>
  <c r="K121" i="22"/>
  <c r="K245" i="22"/>
  <c r="AJ121" i="22"/>
  <c r="O121" i="22"/>
  <c r="O245" i="22"/>
  <c r="R121" i="22"/>
  <c r="R245" i="22"/>
  <c r="E121" i="22"/>
  <c r="E245" i="22"/>
  <c r="S121" i="22"/>
  <c r="S245" i="22"/>
  <c r="P121" i="22"/>
  <c r="P245" i="22"/>
  <c r="V121" i="22"/>
  <c r="V245" i="22"/>
  <c r="L121" i="22"/>
  <c r="L245" i="22"/>
  <c r="F87" i="24"/>
  <c r="F53" i="24"/>
  <c r="G51" i="24"/>
  <c r="F102" i="22"/>
  <c r="AB151" i="22"/>
  <c r="AB153" i="22" s="1"/>
  <c r="G100" i="22"/>
  <c r="G135" i="22" s="1"/>
  <c r="AE46" i="11"/>
  <c r="AI73" i="21" s="1"/>
  <c r="AF51" i="11"/>
  <c r="AI95" i="21"/>
  <c r="AH100" i="21" s="1"/>
  <c r="AH124" i="21"/>
  <c r="AG121" i="21"/>
  <c r="AF56" i="11"/>
  <c r="AI116" i="21"/>
  <c r="AH103" i="21"/>
  <c r="AG100" i="21"/>
  <c r="J127" i="21"/>
  <c r="J128" i="21" s="1"/>
  <c r="J118" i="21"/>
  <c r="J94" i="21"/>
  <c r="I101" i="21"/>
  <c r="I102" i="21" s="1"/>
  <c r="I104" i="21" s="1"/>
  <c r="J96" i="21" s="1"/>
  <c r="J106" i="21" s="1"/>
  <c r="J107" i="21" s="1"/>
  <c r="G96" i="11"/>
  <c r="G99" i="11" s="1"/>
  <c r="AJ52" i="11"/>
  <c r="AI52" i="11"/>
  <c r="AK52" i="11"/>
  <c r="AK47" i="11"/>
  <c r="AJ47" i="11"/>
  <c r="AK57" i="11"/>
  <c r="AJ57" i="11"/>
  <c r="AI57" i="11"/>
  <c r="AL57" i="11"/>
  <c r="E101" i="11"/>
  <c r="AL47" i="11"/>
  <c r="I78" i="21"/>
  <c r="I81" i="21"/>
  <c r="I75" i="21"/>
  <c r="G219" i="22" l="1"/>
  <c r="G221" i="22" s="1"/>
  <c r="G223" i="22" s="1"/>
  <c r="F30" i="8"/>
  <c r="G233" i="22"/>
  <c r="G235" i="22" s="1"/>
  <c r="G237" i="22" s="1"/>
  <c r="F32" i="8"/>
  <c r="G212" i="22"/>
  <c r="G214" i="22" s="1"/>
  <c r="G216" i="22" s="1"/>
  <c r="F29" i="8"/>
  <c r="G226" i="22"/>
  <c r="G228" i="22" s="1"/>
  <c r="G230" i="22" s="1"/>
  <c r="F31" i="8"/>
  <c r="G100" i="11"/>
  <c r="G101" i="11" s="1"/>
  <c r="K196" i="21"/>
  <c r="J201" i="21" s="1"/>
  <c r="J204" i="21"/>
  <c r="I201" i="21"/>
  <c r="I203" i="21" s="1"/>
  <c r="I205" i="21" s="1"/>
  <c r="J197" i="21" s="1"/>
  <c r="J198" i="21" s="1"/>
  <c r="AD205" i="22"/>
  <c r="AD207" i="22" s="1"/>
  <c r="AD209" i="22" s="1"/>
  <c r="AD198" i="22"/>
  <c r="AD200" i="22" s="1"/>
  <c r="AD202" i="22" s="1"/>
  <c r="AD191" i="22"/>
  <c r="AD193" i="22" s="1"/>
  <c r="AD195" i="22" s="1"/>
  <c r="AD184" i="22"/>
  <c r="AD186" i="22" s="1"/>
  <c r="AD188" i="22" s="1"/>
  <c r="AD177" i="22"/>
  <c r="AD179" i="22" s="1"/>
  <c r="AD181" i="22" s="1"/>
  <c r="AD170" i="22"/>
  <c r="AD172" i="22" s="1"/>
  <c r="AD174" i="22" s="1"/>
  <c r="AD163" i="22"/>
  <c r="AD165" i="22" s="1"/>
  <c r="AD167" i="22" s="1"/>
  <c r="AD156" i="22"/>
  <c r="AD158" i="22" s="1"/>
  <c r="AD160" i="22" s="1"/>
  <c r="AC142" i="22"/>
  <c r="AC144" i="22" s="1"/>
  <c r="AC146" i="22" s="1"/>
  <c r="AC149" i="22"/>
  <c r="AC151" i="22" s="1"/>
  <c r="AC153" i="22" s="1"/>
  <c r="H51" i="24"/>
  <c r="G87" i="24"/>
  <c r="G53" i="24"/>
  <c r="G102" i="22"/>
  <c r="H100" i="22"/>
  <c r="I100" i="22" s="1"/>
  <c r="AG56" i="11"/>
  <c r="AJ116" i="21"/>
  <c r="AI121" i="21" s="1"/>
  <c r="AI103" i="21"/>
  <c r="AI124" i="21"/>
  <c r="AF46" i="11"/>
  <c r="AJ73" i="21" s="1"/>
  <c r="AH78" i="21"/>
  <c r="AH121" i="21"/>
  <c r="AG51" i="11"/>
  <c r="AJ95" i="21"/>
  <c r="AI100" i="21" s="1"/>
  <c r="AH81" i="21"/>
  <c r="AG78" i="21"/>
  <c r="J122" i="21"/>
  <c r="J123" i="21" s="1"/>
  <c r="J125" i="21" s="1"/>
  <c r="K117" i="21" s="1"/>
  <c r="K127" i="21" s="1"/>
  <c r="K128" i="21" s="1"/>
  <c r="K115" i="21"/>
  <c r="J97" i="21"/>
  <c r="H96" i="11"/>
  <c r="H99" i="11" s="1"/>
  <c r="J72" i="21"/>
  <c r="I79" i="21"/>
  <c r="I80" i="21" s="1"/>
  <c r="I82" i="21" s="1"/>
  <c r="J74" i="21" s="1"/>
  <c r="H226" i="22" l="1"/>
  <c r="H228" i="22" s="1"/>
  <c r="H230" i="22" s="1"/>
  <c r="G31" i="8"/>
  <c r="H233" i="22"/>
  <c r="H235" i="22" s="1"/>
  <c r="H237" i="22" s="1"/>
  <c r="G32" i="8"/>
  <c r="H212" i="22"/>
  <c r="H214" i="22" s="1"/>
  <c r="H216" i="22" s="1"/>
  <c r="G29" i="8"/>
  <c r="H219" i="22"/>
  <c r="H221" i="22" s="1"/>
  <c r="H223" i="22" s="1"/>
  <c r="G30" i="8"/>
  <c r="H100" i="11"/>
  <c r="H101" i="11" s="1"/>
  <c r="L196" i="21"/>
  <c r="K201" i="21" s="1"/>
  <c r="J207" i="21"/>
  <c r="J208" i="21" s="1"/>
  <c r="K195" i="21"/>
  <c r="J202" i="21"/>
  <c r="J203" i="21" s="1"/>
  <c r="J205" i="21" s="1"/>
  <c r="K197" i="21" s="1"/>
  <c r="K204" i="21"/>
  <c r="AE205" i="22"/>
  <c r="AE207" i="22" s="1"/>
  <c r="AE209" i="22" s="1"/>
  <c r="AE198" i="22"/>
  <c r="AE200" i="22" s="1"/>
  <c r="AE202" i="22" s="1"/>
  <c r="AE191" i="22"/>
  <c r="AE193" i="22" s="1"/>
  <c r="AE195" i="22" s="1"/>
  <c r="AE184" i="22"/>
  <c r="AE186" i="22" s="1"/>
  <c r="AE188" i="22" s="1"/>
  <c r="AE177" i="22"/>
  <c r="AE179" i="22" s="1"/>
  <c r="AE181" i="22" s="1"/>
  <c r="AE170" i="22"/>
  <c r="AE172" i="22" s="1"/>
  <c r="AE174" i="22" s="1"/>
  <c r="AE163" i="22"/>
  <c r="AE165" i="22" s="1"/>
  <c r="AE167" i="22" s="1"/>
  <c r="AE156" i="22"/>
  <c r="AE158" i="22" s="1"/>
  <c r="AE160" i="22" s="1"/>
  <c r="AD142" i="22"/>
  <c r="AD144" i="22" s="1"/>
  <c r="AD146" i="22" s="1"/>
  <c r="AD149" i="22"/>
  <c r="AD151" i="22" s="1"/>
  <c r="AD153" i="22" s="1"/>
  <c r="I51" i="24"/>
  <c r="H53" i="24"/>
  <c r="H87" i="24"/>
  <c r="H102" i="22"/>
  <c r="H135" i="22"/>
  <c r="I135" i="22"/>
  <c r="J100" i="22"/>
  <c r="I102" i="22"/>
  <c r="AH56" i="11"/>
  <c r="AK116" i="21"/>
  <c r="AJ121" i="21" s="1"/>
  <c r="AI81" i="21"/>
  <c r="AJ103" i="21"/>
  <c r="AG46" i="11"/>
  <c r="AK73" i="21" s="1"/>
  <c r="AH51" i="11"/>
  <c r="AK95" i="21"/>
  <c r="AJ124" i="21"/>
  <c r="K118" i="21"/>
  <c r="J101" i="21"/>
  <c r="J102" i="21" s="1"/>
  <c r="J104" i="21" s="1"/>
  <c r="K96" i="21" s="1"/>
  <c r="K106" i="21" s="1"/>
  <c r="K107" i="21" s="1"/>
  <c r="K94" i="21"/>
  <c r="I96" i="11"/>
  <c r="I99" i="11" s="1"/>
  <c r="J75" i="21"/>
  <c r="I219" i="22" l="1"/>
  <c r="I221" i="22" s="1"/>
  <c r="I223" i="22" s="1"/>
  <c r="H30" i="8"/>
  <c r="I233" i="22"/>
  <c r="I235" i="22" s="1"/>
  <c r="I237" i="22" s="1"/>
  <c r="H32" i="8"/>
  <c r="I212" i="22"/>
  <c r="I214" i="22" s="1"/>
  <c r="I216" i="22" s="1"/>
  <c r="H29" i="8"/>
  <c r="I226" i="22"/>
  <c r="I228" i="22" s="1"/>
  <c r="I230" i="22" s="1"/>
  <c r="H31" i="8"/>
  <c r="I100" i="11"/>
  <c r="I101" i="11" s="1"/>
  <c r="M196" i="21"/>
  <c r="L201" i="21" s="1"/>
  <c r="L204" i="21"/>
  <c r="K198" i="21"/>
  <c r="AF205" i="22"/>
  <c r="AF207" i="22" s="1"/>
  <c r="AF209" i="22" s="1"/>
  <c r="AF198" i="22"/>
  <c r="AF200" i="22" s="1"/>
  <c r="AF202" i="22" s="1"/>
  <c r="AF191" i="22"/>
  <c r="AF193" i="22" s="1"/>
  <c r="AF195" i="22" s="1"/>
  <c r="AF184" i="22"/>
  <c r="AF186" i="22" s="1"/>
  <c r="AF188" i="22" s="1"/>
  <c r="AF177" i="22"/>
  <c r="AF179" i="22" s="1"/>
  <c r="AF181" i="22" s="1"/>
  <c r="AF170" i="22"/>
  <c r="AF172" i="22" s="1"/>
  <c r="AF174" i="22" s="1"/>
  <c r="AF163" i="22"/>
  <c r="AF165" i="22" s="1"/>
  <c r="AF167" i="22" s="1"/>
  <c r="AF156" i="22"/>
  <c r="AF158" i="22" s="1"/>
  <c r="AF160" i="22" s="1"/>
  <c r="AE142" i="22"/>
  <c r="AE144" i="22" s="1"/>
  <c r="AE146" i="22" s="1"/>
  <c r="AE149" i="22"/>
  <c r="AE151" i="22" s="1"/>
  <c r="AE153" i="22" s="1"/>
  <c r="I87" i="24"/>
  <c r="I53" i="24"/>
  <c r="J51" i="24"/>
  <c r="J135" i="22"/>
  <c r="K100" i="22"/>
  <c r="J102" i="22"/>
  <c r="AL95" i="21"/>
  <c r="AK100" i="21" s="1"/>
  <c r="AK51" i="11"/>
  <c r="AI51" i="11"/>
  <c r="AM95" i="21" s="1"/>
  <c r="AJ51" i="11"/>
  <c r="AN95" i="21" s="1"/>
  <c r="AL116" i="21"/>
  <c r="AI56" i="11"/>
  <c r="AM116" i="21" s="1"/>
  <c r="AK56" i="11"/>
  <c r="AJ56" i="11"/>
  <c r="AN116" i="21" s="1"/>
  <c r="AJ81" i="21"/>
  <c r="AI78" i="21"/>
  <c r="AH46" i="11"/>
  <c r="AL73" i="21" s="1"/>
  <c r="AK103" i="21"/>
  <c r="AJ100" i="21"/>
  <c r="AK124" i="21"/>
  <c r="K122" i="21"/>
  <c r="K123" i="21" s="1"/>
  <c r="K125" i="21" s="1"/>
  <c r="L117" i="21" s="1"/>
  <c r="L127" i="21" s="1"/>
  <c r="L128" i="21" s="1"/>
  <c r="L115" i="21"/>
  <c r="K97" i="21"/>
  <c r="J96" i="11"/>
  <c r="J99" i="11" s="1"/>
  <c r="J84" i="21"/>
  <c r="J85" i="21" s="1"/>
  <c r="J79" i="21"/>
  <c r="J80" i="21" s="1"/>
  <c r="K72" i="21"/>
  <c r="J226" i="22" l="1"/>
  <c r="J228" i="22" s="1"/>
  <c r="J230" i="22" s="1"/>
  <c r="I31" i="8"/>
  <c r="J233" i="22"/>
  <c r="J235" i="22" s="1"/>
  <c r="J237" i="22" s="1"/>
  <c r="I32" i="8"/>
  <c r="J212" i="22"/>
  <c r="J214" i="22" s="1"/>
  <c r="J216" i="22" s="1"/>
  <c r="I29" i="8"/>
  <c r="J219" i="22"/>
  <c r="J221" i="22" s="1"/>
  <c r="J223" i="22" s="1"/>
  <c r="I30" i="8"/>
  <c r="J100" i="11"/>
  <c r="J101" i="11" s="1"/>
  <c r="N196" i="21"/>
  <c r="M201" i="21" s="1"/>
  <c r="M204" i="21"/>
  <c r="K207" i="21"/>
  <c r="K208" i="21" s="1"/>
  <c r="K202" i="21"/>
  <c r="K203" i="21" s="1"/>
  <c r="K205" i="21" s="1"/>
  <c r="L197" i="21" s="1"/>
  <c r="L195" i="21"/>
  <c r="AG205" i="22"/>
  <c r="AG207" i="22" s="1"/>
  <c r="AG209" i="22" s="1"/>
  <c r="AG198" i="22"/>
  <c r="AG200" i="22" s="1"/>
  <c r="AG202" i="22" s="1"/>
  <c r="AG191" i="22"/>
  <c r="AG193" i="22" s="1"/>
  <c r="AG195" i="22" s="1"/>
  <c r="AG184" i="22"/>
  <c r="AG186" i="22" s="1"/>
  <c r="AG188" i="22" s="1"/>
  <c r="AG177" i="22"/>
  <c r="AG179" i="22" s="1"/>
  <c r="AG181" i="22" s="1"/>
  <c r="AG170" i="22"/>
  <c r="AG172" i="22" s="1"/>
  <c r="AG174" i="22" s="1"/>
  <c r="AG163" i="22"/>
  <c r="AG165" i="22" s="1"/>
  <c r="AG167" i="22" s="1"/>
  <c r="AG156" i="22"/>
  <c r="AG158" i="22" s="1"/>
  <c r="AG160" i="22" s="1"/>
  <c r="AF142" i="22"/>
  <c r="AF144" i="22" s="1"/>
  <c r="AF146" i="22" s="1"/>
  <c r="AF149" i="22"/>
  <c r="AF151" i="22" s="1"/>
  <c r="AF153" i="22" s="1"/>
  <c r="J87" i="24"/>
  <c r="K51" i="24"/>
  <c r="J53" i="24"/>
  <c r="K135" i="22"/>
  <c r="L100" i="22"/>
  <c r="K102" i="22"/>
  <c r="AK81" i="21"/>
  <c r="AL124" i="21"/>
  <c r="AL121" i="21"/>
  <c r="AL103" i="21"/>
  <c r="AL100" i="21"/>
  <c r="AI46" i="11"/>
  <c r="AM73" i="21" s="1"/>
  <c r="AN124" i="21"/>
  <c r="AN103" i="21"/>
  <c r="AL56" i="11"/>
  <c r="AO116" i="21"/>
  <c r="AM103" i="21"/>
  <c r="AM100" i="21"/>
  <c r="AK121" i="21"/>
  <c r="AJ78" i="21"/>
  <c r="AM124" i="21"/>
  <c r="AM121" i="21"/>
  <c r="AL51" i="11"/>
  <c r="AO95" i="21"/>
  <c r="AN100" i="21" s="1"/>
  <c r="L118" i="21"/>
  <c r="K101" i="21"/>
  <c r="K102" i="21" s="1"/>
  <c r="K104" i="21" s="1"/>
  <c r="L96" i="21" s="1"/>
  <c r="L106" i="21" s="1"/>
  <c r="L107" i="21" s="1"/>
  <c r="L94" i="21"/>
  <c r="K96" i="11"/>
  <c r="K99" i="11" s="1"/>
  <c r="J82" i="21"/>
  <c r="K74" i="21" s="1"/>
  <c r="L198" i="21" l="1"/>
  <c r="M195" i="21" s="1"/>
  <c r="K219" i="22"/>
  <c r="K221" i="22" s="1"/>
  <c r="K223" i="22" s="1"/>
  <c r="J30" i="8"/>
  <c r="K233" i="22"/>
  <c r="K235" i="22" s="1"/>
  <c r="K237" i="22" s="1"/>
  <c r="J32" i="8"/>
  <c r="K212" i="22"/>
  <c r="K214" i="22" s="1"/>
  <c r="K216" i="22" s="1"/>
  <c r="J29" i="8"/>
  <c r="K226" i="22"/>
  <c r="K228" i="22" s="1"/>
  <c r="K230" i="22" s="1"/>
  <c r="J31" i="8"/>
  <c r="K100" i="11"/>
  <c r="K101" i="11" s="1"/>
  <c r="O196" i="21"/>
  <c r="N201" i="21" s="1"/>
  <c r="N204" i="21"/>
  <c r="L207" i="21"/>
  <c r="L208" i="21" s="1"/>
  <c r="AH205" i="22"/>
  <c r="AH207" i="22" s="1"/>
  <c r="AH209" i="22" s="1"/>
  <c r="AH198" i="22"/>
  <c r="AH200" i="22" s="1"/>
  <c r="AH202" i="22" s="1"/>
  <c r="AH191" i="22"/>
  <c r="AH193" i="22" s="1"/>
  <c r="AH195" i="22" s="1"/>
  <c r="AH184" i="22"/>
  <c r="AH186" i="22" s="1"/>
  <c r="AH188" i="22" s="1"/>
  <c r="AH177" i="22"/>
  <c r="AH179" i="22" s="1"/>
  <c r="AH181" i="22" s="1"/>
  <c r="AH170" i="22"/>
  <c r="AH172" i="22" s="1"/>
  <c r="AH174" i="22" s="1"/>
  <c r="AH163" i="22"/>
  <c r="AH165" i="22" s="1"/>
  <c r="AH167" i="22" s="1"/>
  <c r="AH156" i="22"/>
  <c r="AH158" i="22" s="1"/>
  <c r="AH160" i="22" s="1"/>
  <c r="AG142" i="22"/>
  <c r="AG144" i="22" s="1"/>
  <c r="AG146" i="22" s="1"/>
  <c r="AG149" i="22"/>
  <c r="AG151" i="22" s="1"/>
  <c r="AG153" i="22" s="1"/>
  <c r="K87" i="24"/>
  <c r="L51" i="24"/>
  <c r="K53" i="24"/>
  <c r="L102" i="22"/>
  <c r="L135" i="22"/>
  <c r="M100" i="22"/>
  <c r="AP95" i="21"/>
  <c r="AO100" i="21" s="1"/>
  <c r="AN51" i="11"/>
  <c r="AR95" i="21" s="1"/>
  <c r="AM51" i="11"/>
  <c r="AQ95" i="21" s="1"/>
  <c r="AP116" i="21"/>
  <c r="AO121" i="21" s="1"/>
  <c r="AM56" i="11"/>
  <c r="AQ116" i="21" s="1"/>
  <c r="AN56" i="11"/>
  <c r="AR116" i="21" s="1"/>
  <c r="AL81" i="21"/>
  <c r="AJ46" i="11"/>
  <c r="AN73" i="21" s="1"/>
  <c r="AL78" i="21"/>
  <c r="AO103" i="21"/>
  <c r="AO124" i="21"/>
  <c r="AN121" i="21"/>
  <c r="AK78" i="21"/>
  <c r="L122" i="21"/>
  <c r="L123" i="21" s="1"/>
  <c r="L125" i="21" s="1"/>
  <c r="M117" i="21" s="1"/>
  <c r="M127" i="21" s="1"/>
  <c r="M128" i="21" s="1"/>
  <c r="M115" i="21"/>
  <c r="L97" i="21"/>
  <c r="M94" i="21" s="1"/>
  <c r="L96" i="11"/>
  <c r="L99" i="11" s="1"/>
  <c r="K84" i="21"/>
  <c r="K85" i="21" s="1"/>
  <c r="K75" i="21"/>
  <c r="K79" i="21" s="1"/>
  <c r="K80" i="21" s="1"/>
  <c r="L202" i="21" l="1"/>
  <c r="L203" i="21" s="1"/>
  <c r="L205" i="21" s="1"/>
  <c r="M197" i="21" s="1"/>
  <c r="M198" i="21" s="1"/>
  <c r="L226" i="22"/>
  <c r="L228" i="22" s="1"/>
  <c r="L230" i="22" s="1"/>
  <c r="K31" i="8"/>
  <c r="L233" i="22"/>
  <c r="L235" i="22" s="1"/>
  <c r="L237" i="22" s="1"/>
  <c r="K32" i="8"/>
  <c r="L212" i="22"/>
  <c r="L214" i="22" s="1"/>
  <c r="L216" i="22" s="1"/>
  <c r="K29" i="8"/>
  <c r="L219" i="22"/>
  <c r="L221" i="22" s="1"/>
  <c r="L223" i="22" s="1"/>
  <c r="K30" i="8"/>
  <c r="O204" i="21"/>
  <c r="L100" i="11"/>
  <c r="L101" i="11" s="1"/>
  <c r="P196" i="21"/>
  <c r="O201" i="21" s="1"/>
  <c r="AI205" i="22"/>
  <c r="AI207" i="22" s="1"/>
  <c r="AI209" i="22" s="1"/>
  <c r="AI198" i="22"/>
  <c r="AI200" i="22" s="1"/>
  <c r="AI202" i="22" s="1"/>
  <c r="AI191" i="22"/>
  <c r="AI193" i="22" s="1"/>
  <c r="AI195" i="22" s="1"/>
  <c r="AI184" i="22"/>
  <c r="AI186" i="22" s="1"/>
  <c r="AI188" i="22" s="1"/>
  <c r="AI177" i="22"/>
  <c r="AI179" i="22" s="1"/>
  <c r="AI181" i="22" s="1"/>
  <c r="AI170" i="22"/>
  <c r="AI172" i="22" s="1"/>
  <c r="AI174" i="22" s="1"/>
  <c r="AI163" i="22"/>
  <c r="AI165" i="22" s="1"/>
  <c r="AI167" i="22" s="1"/>
  <c r="AI156" i="22"/>
  <c r="AI158" i="22" s="1"/>
  <c r="AI160" i="22" s="1"/>
  <c r="AH142" i="22"/>
  <c r="AH144" i="22" s="1"/>
  <c r="AH146" i="22" s="1"/>
  <c r="AH149" i="22"/>
  <c r="AH151" i="22" s="1"/>
  <c r="AH153" i="22" s="1"/>
  <c r="L87" i="24"/>
  <c r="M51" i="24"/>
  <c r="L53" i="24"/>
  <c r="M96" i="11"/>
  <c r="M99" i="11" s="1"/>
  <c r="M135" i="22"/>
  <c r="M102" i="22"/>
  <c r="N100" i="22"/>
  <c r="AP124" i="21"/>
  <c r="AP121" i="21"/>
  <c r="AQ103" i="21"/>
  <c r="AQ100" i="21"/>
  <c r="AM81" i="21"/>
  <c r="AR124" i="21"/>
  <c r="AR121" i="21"/>
  <c r="AR103" i="21"/>
  <c r="AR100" i="21"/>
  <c r="AK46" i="11"/>
  <c r="AO73" i="21" s="1"/>
  <c r="AQ124" i="21"/>
  <c r="AQ121" i="21"/>
  <c r="AP103" i="21"/>
  <c r="AP100" i="21"/>
  <c r="L101" i="21"/>
  <c r="L102" i="21" s="1"/>
  <c r="L104" i="21" s="1"/>
  <c r="M96" i="21" s="1"/>
  <c r="M106" i="21" s="1"/>
  <c r="M107" i="21" s="1"/>
  <c r="M118" i="21"/>
  <c r="L72" i="21"/>
  <c r="K82" i="21"/>
  <c r="L74" i="21" s="1"/>
  <c r="M233" i="22" l="1"/>
  <c r="M235" i="22" s="1"/>
  <c r="M237" i="22" s="1"/>
  <c r="L32" i="8"/>
  <c r="M219" i="22"/>
  <c r="M221" i="22" s="1"/>
  <c r="M223" i="22" s="1"/>
  <c r="L30" i="8"/>
  <c r="M212" i="22"/>
  <c r="M214" i="22" s="1"/>
  <c r="M216" i="22" s="1"/>
  <c r="L29" i="8"/>
  <c r="M226" i="22"/>
  <c r="M228" i="22" s="1"/>
  <c r="M230" i="22" s="1"/>
  <c r="L31" i="8"/>
  <c r="M100" i="11"/>
  <c r="M101" i="11" s="1"/>
  <c r="Q196" i="21"/>
  <c r="P201" i="21" s="1"/>
  <c r="P204" i="21"/>
  <c r="M207" i="21"/>
  <c r="M208" i="21" s="1"/>
  <c r="M202" i="21"/>
  <c r="M203" i="21" s="1"/>
  <c r="M205" i="21" s="1"/>
  <c r="N197" i="21" s="1"/>
  <c r="N195" i="21"/>
  <c r="AJ205" i="22"/>
  <c r="AJ207" i="22" s="1"/>
  <c r="AJ209" i="22" s="1"/>
  <c r="AJ198" i="22"/>
  <c r="AJ200" i="22" s="1"/>
  <c r="AJ202" i="22" s="1"/>
  <c r="AJ191" i="22"/>
  <c r="AJ193" i="22" s="1"/>
  <c r="AJ195" i="22" s="1"/>
  <c r="AJ184" i="22"/>
  <c r="AJ186" i="22" s="1"/>
  <c r="AJ188" i="22" s="1"/>
  <c r="AJ177" i="22"/>
  <c r="AJ179" i="22" s="1"/>
  <c r="AJ181" i="22" s="1"/>
  <c r="AJ170" i="22"/>
  <c r="AJ172" i="22" s="1"/>
  <c r="AJ174" i="22" s="1"/>
  <c r="AJ163" i="22"/>
  <c r="AJ165" i="22" s="1"/>
  <c r="AJ167" i="22" s="1"/>
  <c r="AJ156" i="22"/>
  <c r="AJ158" i="22" s="1"/>
  <c r="AJ160" i="22" s="1"/>
  <c r="AI142" i="22"/>
  <c r="AI144" i="22" s="1"/>
  <c r="AI146" i="22" s="1"/>
  <c r="AI149" i="22"/>
  <c r="AI151" i="22" s="1"/>
  <c r="AI153" i="22" s="1"/>
  <c r="M87" i="24"/>
  <c r="M53" i="24"/>
  <c r="N51" i="24"/>
  <c r="N96" i="11"/>
  <c r="N99" i="11" s="1"/>
  <c r="N135" i="22"/>
  <c r="O100" i="22"/>
  <c r="N102" i="22"/>
  <c r="AN81" i="21"/>
  <c r="AL46" i="11"/>
  <c r="AP73" i="21" s="1"/>
  <c r="AN78" i="21"/>
  <c r="AM78" i="21"/>
  <c r="M97" i="21"/>
  <c r="M101" i="21" s="1"/>
  <c r="M102" i="21" s="1"/>
  <c r="M104" i="21" s="1"/>
  <c r="N96" i="21" s="1"/>
  <c r="N106" i="21" s="1"/>
  <c r="N107" i="21" s="1"/>
  <c r="N115" i="21"/>
  <c r="M122" i="21"/>
  <c r="M123" i="21" s="1"/>
  <c r="M125" i="21" s="1"/>
  <c r="N117" i="21" s="1"/>
  <c r="N127" i="21" s="1"/>
  <c r="N128" i="21" s="1"/>
  <c r="L84" i="21"/>
  <c r="L85" i="21" s="1"/>
  <c r="L75" i="21"/>
  <c r="L79" i="21" s="1"/>
  <c r="L80" i="21" s="1"/>
  <c r="N226" i="22" l="1"/>
  <c r="N228" i="22" s="1"/>
  <c r="N230" i="22" s="1"/>
  <c r="M31" i="8"/>
  <c r="N219" i="22"/>
  <c r="N221" i="22" s="1"/>
  <c r="N223" i="22" s="1"/>
  <c r="M30" i="8"/>
  <c r="N212" i="22"/>
  <c r="N214" i="22" s="1"/>
  <c r="N216" i="22" s="1"/>
  <c r="M29" i="8"/>
  <c r="N233" i="22"/>
  <c r="N235" i="22" s="1"/>
  <c r="N237" i="22" s="1"/>
  <c r="M32" i="8"/>
  <c r="N198" i="21"/>
  <c r="N202" i="21" s="1"/>
  <c r="N203" i="21" s="1"/>
  <c r="N205" i="21" s="1"/>
  <c r="O197" i="21" s="1"/>
  <c r="N100" i="11"/>
  <c r="N101" i="11" s="1"/>
  <c r="R196" i="21"/>
  <c r="Q201" i="21" s="1"/>
  <c r="Q204" i="21"/>
  <c r="AK205" i="22"/>
  <c r="AK207" i="22" s="1"/>
  <c r="AK209" i="22" s="1"/>
  <c r="AK198" i="22"/>
  <c r="AK200" i="22" s="1"/>
  <c r="AK202" i="22" s="1"/>
  <c r="AK191" i="22"/>
  <c r="AK193" i="22" s="1"/>
  <c r="AK195" i="22" s="1"/>
  <c r="AK184" i="22"/>
  <c r="AK186" i="22" s="1"/>
  <c r="AK188" i="22" s="1"/>
  <c r="AK177" i="22"/>
  <c r="AK179" i="22" s="1"/>
  <c r="AK181" i="22" s="1"/>
  <c r="AK170" i="22"/>
  <c r="AK172" i="22" s="1"/>
  <c r="AK174" i="22" s="1"/>
  <c r="AK163" i="22"/>
  <c r="AK165" i="22" s="1"/>
  <c r="AK167" i="22" s="1"/>
  <c r="AK156" i="22"/>
  <c r="AK158" i="22" s="1"/>
  <c r="AK160" i="22" s="1"/>
  <c r="AJ142" i="22"/>
  <c r="AJ144" i="22" s="1"/>
  <c r="AJ146" i="22" s="1"/>
  <c r="AJ149" i="22"/>
  <c r="AJ151" i="22" s="1"/>
  <c r="AJ153" i="22" s="1"/>
  <c r="O96" i="11"/>
  <c r="O99" i="11" s="1"/>
  <c r="N87" i="24"/>
  <c r="N53" i="24"/>
  <c r="O51" i="24"/>
  <c r="O135" i="22"/>
  <c r="P100" i="22"/>
  <c r="O102" i="22"/>
  <c r="AO81" i="21"/>
  <c r="N94" i="21"/>
  <c r="N97" i="21" s="1"/>
  <c r="N101" i="21" s="1"/>
  <c r="N102" i="21" s="1"/>
  <c r="N104" i="21" s="1"/>
  <c r="O96" i="21" s="1"/>
  <c r="O106" i="21" s="1"/>
  <c r="O107" i="21" s="1"/>
  <c r="AO78" i="21"/>
  <c r="AM46" i="11"/>
  <c r="AQ73" i="21" s="1"/>
  <c r="AN46" i="11"/>
  <c r="AR73" i="21" s="1"/>
  <c r="N118" i="21"/>
  <c r="M72" i="21"/>
  <c r="L82" i="21"/>
  <c r="M74" i="21" s="1"/>
  <c r="M84" i="21" s="1"/>
  <c r="M85" i="21" s="1"/>
  <c r="O195" i="21" l="1"/>
  <c r="O198" i="21" s="1"/>
  <c r="N207" i="21"/>
  <c r="N208" i="21" s="1"/>
  <c r="O233" i="22"/>
  <c r="O235" i="22" s="1"/>
  <c r="O237" i="22" s="1"/>
  <c r="N32" i="8"/>
  <c r="O219" i="22"/>
  <c r="O221" i="22" s="1"/>
  <c r="O223" i="22" s="1"/>
  <c r="N30" i="8"/>
  <c r="O212" i="22"/>
  <c r="O214" i="22" s="1"/>
  <c r="O216" i="22" s="1"/>
  <c r="N29" i="8"/>
  <c r="O226" i="22"/>
  <c r="O228" i="22" s="1"/>
  <c r="O230" i="22" s="1"/>
  <c r="N31" i="8"/>
  <c r="O100" i="11"/>
  <c r="O101" i="11" s="1"/>
  <c r="S196" i="21"/>
  <c r="R201" i="21" s="1"/>
  <c r="R204" i="21"/>
  <c r="AL205" i="22"/>
  <c r="AL207" i="22" s="1"/>
  <c r="AL209" i="22" s="1"/>
  <c r="AL198" i="22"/>
  <c r="AL200" i="22" s="1"/>
  <c r="AL202" i="22" s="1"/>
  <c r="AL191" i="22"/>
  <c r="AL193" i="22" s="1"/>
  <c r="AL195" i="22" s="1"/>
  <c r="AL184" i="22"/>
  <c r="AL186" i="22" s="1"/>
  <c r="AL188" i="22" s="1"/>
  <c r="AL177" i="22"/>
  <c r="AL179" i="22" s="1"/>
  <c r="AL181" i="22" s="1"/>
  <c r="AL170" i="22"/>
  <c r="AL172" i="22" s="1"/>
  <c r="AL174" i="22" s="1"/>
  <c r="AL163" i="22"/>
  <c r="AL165" i="22" s="1"/>
  <c r="AL167" i="22" s="1"/>
  <c r="AL156" i="22"/>
  <c r="AL158" i="22" s="1"/>
  <c r="AL160" i="22" s="1"/>
  <c r="AK142" i="22"/>
  <c r="AK144" i="22" s="1"/>
  <c r="AK146" i="22" s="1"/>
  <c r="AK149" i="22"/>
  <c r="AK151" i="22" s="1"/>
  <c r="AK153" i="22" s="1"/>
  <c r="P96" i="11"/>
  <c r="P99" i="11" s="1"/>
  <c r="P51" i="24"/>
  <c r="O53" i="24"/>
  <c r="O87" i="24"/>
  <c r="P102" i="22"/>
  <c r="Q100" i="22"/>
  <c r="P135" i="22"/>
  <c r="AP81" i="21"/>
  <c r="AP78" i="21"/>
  <c r="AR81" i="21"/>
  <c r="AR78" i="21"/>
  <c r="AQ81" i="21"/>
  <c r="AQ78" i="21"/>
  <c r="O94" i="21"/>
  <c r="O97" i="21" s="1"/>
  <c r="N122" i="21"/>
  <c r="N123" i="21" s="1"/>
  <c r="N125" i="21" s="1"/>
  <c r="O117" i="21" s="1"/>
  <c r="O127" i="21" s="1"/>
  <c r="O128" i="21" s="1"/>
  <c r="O115" i="21"/>
  <c r="M75" i="21"/>
  <c r="N72" i="21" s="1"/>
  <c r="O207" i="21" l="1"/>
  <c r="O208" i="21" s="1"/>
  <c r="P195" i="21"/>
  <c r="O202" i="21"/>
  <c r="O203" i="21" s="1"/>
  <c r="O205" i="21" s="1"/>
  <c r="P197" i="21" s="1"/>
  <c r="P198" i="21" s="1"/>
  <c r="P226" i="22"/>
  <c r="P228" i="22" s="1"/>
  <c r="P230" i="22" s="1"/>
  <c r="O31" i="8"/>
  <c r="P219" i="22"/>
  <c r="P221" i="22" s="1"/>
  <c r="P223" i="22" s="1"/>
  <c r="O30" i="8"/>
  <c r="P212" i="22"/>
  <c r="P214" i="22" s="1"/>
  <c r="P216" i="22" s="1"/>
  <c r="O29" i="8"/>
  <c r="P233" i="22"/>
  <c r="P235" i="22" s="1"/>
  <c r="P237" i="22" s="1"/>
  <c r="O32" i="8"/>
  <c r="P100" i="11"/>
  <c r="P101" i="11" s="1"/>
  <c r="T196" i="21"/>
  <c r="S201" i="21" s="1"/>
  <c r="S204" i="21"/>
  <c r="AM205" i="22"/>
  <c r="AM207" i="22" s="1"/>
  <c r="AM209" i="22" s="1"/>
  <c r="AM198" i="22"/>
  <c r="AM200" i="22" s="1"/>
  <c r="AM202" i="22" s="1"/>
  <c r="AM191" i="22"/>
  <c r="AM193" i="22" s="1"/>
  <c r="AM195" i="22" s="1"/>
  <c r="AM184" i="22"/>
  <c r="AM186" i="22" s="1"/>
  <c r="AM188" i="22" s="1"/>
  <c r="AM177" i="22"/>
  <c r="AM179" i="22" s="1"/>
  <c r="AM181" i="22" s="1"/>
  <c r="AM170" i="22"/>
  <c r="AM172" i="22" s="1"/>
  <c r="AM174" i="22" s="1"/>
  <c r="AM163" i="22"/>
  <c r="AM165" i="22" s="1"/>
  <c r="AM167" i="22" s="1"/>
  <c r="AM156" i="22"/>
  <c r="AM158" i="22" s="1"/>
  <c r="AM160" i="22" s="1"/>
  <c r="AL142" i="22"/>
  <c r="AL144" i="22" s="1"/>
  <c r="AL146" i="22" s="1"/>
  <c r="AL149" i="22"/>
  <c r="AL151" i="22" s="1"/>
  <c r="AL153" i="22" s="1"/>
  <c r="Q96" i="11"/>
  <c r="Q99" i="11" s="1"/>
  <c r="Q51" i="24"/>
  <c r="P53" i="24"/>
  <c r="P87" i="24"/>
  <c r="Q135" i="22"/>
  <c r="Q102" i="22"/>
  <c r="R100" i="22"/>
  <c r="O118" i="21"/>
  <c r="O122" i="21" s="1"/>
  <c r="O123" i="21" s="1"/>
  <c r="O125" i="21" s="1"/>
  <c r="P117" i="21" s="1"/>
  <c r="P127" i="21" s="1"/>
  <c r="P128" i="21" s="1"/>
  <c r="O101" i="21"/>
  <c r="O102" i="21" s="1"/>
  <c r="O104" i="21" s="1"/>
  <c r="P96" i="21" s="1"/>
  <c r="P106" i="21" s="1"/>
  <c r="P107" i="21" s="1"/>
  <c r="P94" i="21"/>
  <c r="M79" i="21"/>
  <c r="M80" i="21" s="1"/>
  <c r="M82" i="21" s="1"/>
  <c r="N74" i="21" s="1"/>
  <c r="Q219" i="22" l="1"/>
  <c r="Q221" i="22" s="1"/>
  <c r="Q223" i="22" s="1"/>
  <c r="P30" i="8"/>
  <c r="Q233" i="22"/>
  <c r="Q235" i="22" s="1"/>
  <c r="Q237" i="22" s="1"/>
  <c r="P32" i="8"/>
  <c r="Q212" i="22"/>
  <c r="Q214" i="22" s="1"/>
  <c r="Q216" i="22" s="1"/>
  <c r="P29" i="8"/>
  <c r="Q226" i="22"/>
  <c r="Q228" i="22" s="1"/>
  <c r="Q230" i="22" s="1"/>
  <c r="P31" i="8"/>
  <c r="Q100" i="11"/>
  <c r="Q101" i="11" s="1"/>
  <c r="U196" i="21"/>
  <c r="T204" i="21"/>
  <c r="Q195" i="21"/>
  <c r="P207" i="21"/>
  <c r="P208" i="21" s="1"/>
  <c r="P202" i="21"/>
  <c r="P203" i="21" s="1"/>
  <c r="P205" i="21" s="1"/>
  <c r="Q197" i="21" s="1"/>
  <c r="AM142" i="22"/>
  <c r="AM144" i="22" s="1"/>
  <c r="AM146" i="22" s="1"/>
  <c r="R96" i="11"/>
  <c r="R99" i="11" s="1"/>
  <c r="AM149" i="22"/>
  <c r="AM151" i="22" s="1"/>
  <c r="AM153" i="22" s="1"/>
  <c r="Q87" i="24"/>
  <c r="Q53" i="24"/>
  <c r="R51" i="24"/>
  <c r="R135" i="22"/>
  <c r="S100" i="22"/>
  <c r="R102" i="22"/>
  <c r="P115" i="21"/>
  <c r="P118" i="21" s="1"/>
  <c r="Q115" i="21" s="1"/>
  <c r="P97" i="21"/>
  <c r="P101" i="21" s="1"/>
  <c r="P102" i="21" s="1"/>
  <c r="P104" i="21" s="1"/>
  <c r="Q96" i="21" s="1"/>
  <c r="Q106" i="21" s="1"/>
  <c r="Q107" i="21" s="1"/>
  <c r="N84" i="21"/>
  <c r="N85" i="21" s="1"/>
  <c r="N75" i="21"/>
  <c r="O72" i="21" s="1"/>
  <c r="R226" i="22" l="1"/>
  <c r="R228" i="22" s="1"/>
  <c r="R230" i="22" s="1"/>
  <c r="Q31" i="8"/>
  <c r="R233" i="22"/>
  <c r="R235" i="22" s="1"/>
  <c r="R237" i="22" s="1"/>
  <c r="Q32" i="8"/>
  <c r="R212" i="22"/>
  <c r="R214" i="22" s="1"/>
  <c r="R216" i="22" s="1"/>
  <c r="Q29" i="8"/>
  <c r="R219" i="22"/>
  <c r="R221" i="22" s="1"/>
  <c r="R223" i="22" s="1"/>
  <c r="Q30" i="8"/>
  <c r="Q198" i="21"/>
  <c r="R195" i="21" s="1"/>
  <c r="U204" i="21"/>
  <c r="R100" i="11"/>
  <c r="R101" i="11" s="1"/>
  <c r="V196" i="21"/>
  <c r="T201" i="21"/>
  <c r="S96" i="11"/>
  <c r="S99" i="11" s="1"/>
  <c r="R87" i="24"/>
  <c r="S51" i="24"/>
  <c r="R53" i="24"/>
  <c r="S135" i="22"/>
  <c r="T100" i="22"/>
  <c r="S102" i="22"/>
  <c r="Q94" i="21"/>
  <c r="Q97" i="21" s="1"/>
  <c r="R94" i="21" s="1"/>
  <c r="P122" i="21"/>
  <c r="P123" i="21" s="1"/>
  <c r="P125" i="21" s="1"/>
  <c r="Q117" i="21" s="1"/>
  <c r="Q127" i="21" s="1"/>
  <c r="Q128" i="21" s="1"/>
  <c r="N79" i="21"/>
  <c r="N80" i="21" s="1"/>
  <c r="N82" i="21" s="1"/>
  <c r="O74" i="21" s="1"/>
  <c r="S219" i="22" l="1"/>
  <c r="S221" i="22" s="1"/>
  <c r="S223" i="22" s="1"/>
  <c r="R30" i="8"/>
  <c r="S233" i="22"/>
  <c r="S235" i="22" s="1"/>
  <c r="S237" i="22" s="1"/>
  <c r="R32" i="8"/>
  <c r="S212" i="22"/>
  <c r="S214" i="22" s="1"/>
  <c r="S216" i="22" s="1"/>
  <c r="R29" i="8"/>
  <c r="S226" i="22"/>
  <c r="S228" i="22" s="1"/>
  <c r="S230" i="22" s="1"/>
  <c r="R31" i="8"/>
  <c r="Q202" i="21"/>
  <c r="Q203" i="21" s="1"/>
  <c r="Q205" i="21" s="1"/>
  <c r="R197" i="21" s="1"/>
  <c r="R198" i="21" s="1"/>
  <c r="R202" i="21" s="1"/>
  <c r="R203" i="21" s="1"/>
  <c r="R205" i="21" s="1"/>
  <c r="S197" i="21" s="1"/>
  <c r="Q207" i="21"/>
  <c r="Q208" i="21" s="1"/>
  <c r="V204" i="21"/>
  <c r="S100" i="11"/>
  <c r="S101" i="11" s="1"/>
  <c r="W196" i="21"/>
  <c r="V201" i="21" s="1"/>
  <c r="U201" i="21"/>
  <c r="T96" i="11"/>
  <c r="T99" i="11" s="1"/>
  <c r="S87" i="24"/>
  <c r="T51" i="24"/>
  <c r="S53" i="24"/>
  <c r="T102" i="22"/>
  <c r="T135" i="22"/>
  <c r="U100" i="22"/>
  <c r="Q118" i="21"/>
  <c r="R115" i="21" s="1"/>
  <c r="Q101" i="21"/>
  <c r="Q102" i="21" s="1"/>
  <c r="Q104" i="21" s="1"/>
  <c r="R96" i="21" s="1"/>
  <c r="R106" i="21" s="1"/>
  <c r="R107" i="21" s="1"/>
  <c r="O84" i="21"/>
  <c r="O85" i="21" s="1"/>
  <c r="O75" i="21"/>
  <c r="O79" i="21" s="1"/>
  <c r="O80" i="21" s="1"/>
  <c r="AC48" i="11"/>
  <c r="T226" i="22" l="1"/>
  <c r="T228" i="22" s="1"/>
  <c r="T230" i="22" s="1"/>
  <c r="S31" i="8"/>
  <c r="T233" i="22"/>
  <c r="T235" i="22" s="1"/>
  <c r="T237" i="22" s="1"/>
  <c r="S32" i="8"/>
  <c r="T212" i="22"/>
  <c r="T214" i="22" s="1"/>
  <c r="T216" i="22" s="1"/>
  <c r="S29" i="8"/>
  <c r="T219" i="22"/>
  <c r="T221" i="22" s="1"/>
  <c r="T223" i="22" s="1"/>
  <c r="S30" i="8"/>
  <c r="R207" i="21"/>
  <c r="R208" i="21" s="1"/>
  <c r="S195" i="21"/>
  <c r="S198" i="21" s="1"/>
  <c r="W204" i="21"/>
  <c r="T100" i="11"/>
  <c r="T101" i="11" s="1"/>
  <c r="X196" i="21"/>
  <c r="W201" i="21" s="1"/>
  <c r="U96" i="11"/>
  <c r="U99" i="11" s="1"/>
  <c r="T87" i="24"/>
  <c r="U51" i="24"/>
  <c r="T53" i="24"/>
  <c r="U135" i="22"/>
  <c r="U102" i="22"/>
  <c r="V100" i="22"/>
  <c r="Q122" i="21"/>
  <c r="Q123" i="21" s="1"/>
  <c r="Q125" i="21" s="1"/>
  <c r="R117" i="21" s="1"/>
  <c r="R127" i="21" s="1"/>
  <c r="R128" i="21" s="1"/>
  <c r="R97" i="21"/>
  <c r="R101" i="21" s="1"/>
  <c r="R102" i="21" s="1"/>
  <c r="R104" i="21" s="1"/>
  <c r="S96" i="21" s="1"/>
  <c r="S106" i="21" s="1"/>
  <c r="S107" i="21" s="1"/>
  <c r="P72" i="21"/>
  <c r="O82" i="21"/>
  <c r="P74" i="21" s="1"/>
  <c r="AD48" i="11"/>
  <c r="U219" i="22" l="1"/>
  <c r="U221" i="22" s="1"/>
  <c r="U223" i="22" s="1"/>
  <c r="T30" i="8"/>
  <c r="U233" i="22"/>
  <c r="U235" i="22" s="1"/>
  <c r="U237" i="22" s="1"/>
  <c r="T32" i="8"/>
  <c r="U212" i="22"/>
  <c r="U214" i="22" s="1"/>
  <c r="U216" i="22" s="1"/>
  <c r="T29" i="8"/>
  <c r="U226" i="22"/>
  <c r="U228" i="22" s="1"/>
  <c r="U230" i="22" s="1"/>
  <c r="T31" i="8"/>
  <c r="T195" i="21"/>
  <c r="S202" i="21"/>
  <c r="S203" i="21" s="1"/>
  <c r="S205" i="21" s="1"/>
  <c r="T197" i="21" s="1"/>
  <c r="S207" i="21"/>
  <c r="S208" i="21" s="1"/>
  <c r="U100" i="11"/>
  <c r="U101" i="11" s="1"/>
  <c r="Y196" i="21"/>
  <c r="X201" i="21" s="1"/>
  <c r="X204" i="21"/>
  <c r="V96" i="11"/>
  <c r="V99" i="11" s="1"/>
  <c r="U87" i="24"/>
  <c r="U53" i="24"/>
  <c r="V51" i="24"/>
  <c r="V135" i="22"/>
  <c r="W100" i="22"/>
  <c r="V102" i="22"/>
  <c r="R118" i="21"/>
  <c r="R122" i="21" s="1"/>
  <c r="R123" i="21" s="1"/>
  <c r="R125" i="21" s="1"/>
  <c r="S117" i="21" s="1"/>
  <c r="S127" i="21" s="1"/>
  <c r="S128" i="21" s="1"/>
  <c r="S94" i="21"/>
  <c r="S97" i="21" s="1"/>
  <c r="P84" i="21"/>
  <c r="P85" i="21" s="1"/>
  <c r="P75" i="21"/>
  <c r="P79" i="21" s="1"/>
  <c r="P80" i="21" s="1"/>
  <c r="AE48" i="11"/>
  <c r="V226" i="22" l="1"/>
  <c r="V228" i="22" s="1"/>
  <c r="V230" i="22" s="1"/>
  <c r="U31" i="8"/>
  <c r="V233" i="22"/>
  <c r="V235" i="22" s="1"/>
  <c r="V237" i="22" s="1"/>
  <c r="U32" i="8"/>
  <c r="V212" i="22"/>
  <c r="V214" i="22" s="1"/>
  <c r="V216" i="22" s="1"/>
  <c r="U29" i="8"/>
  <c r="V219" i="22"/>
  <c r="V221" i="22" s="1"/>
  <c r="V223" i="22" s="1"/>
  <c r="U30" i="8"/>
  <c r="T198" i="21"/>
  <c r="V100" i="11"/>
  <c r="V101" i="11" s="1"/>
  <c r="Z196" i="21"/>
  <c r="Y204" i="21"/>
  <c r="W96" i="11"/>
  <c r="W99" i="11" s="1"/>
  <c r="V87" i="24"/>
  <c r="V53" i="24"/>
  <c r="W51" i="24"/>
  <c r="W135" i="22"/>
  <c r="X100" i="22"/>
  <c r="W102" i="22"/>
  <c r="S115" i="21"/>
  <c r="S118" i="21" s="1"/>
  <c r="S101" i="21"/>
  <c r="S102" i="21" s="1"/>
  <c r="S104" i="21" s="1"/>
  <c r="T96" i="21" s="1"/>
  <c r="T106" i="21" s="1"/>
  <c r="T107" i="21" s="1"/>
  <c r="T94" i="21"/>
  <c r="Q72" i="21"/>
  <c r="P82" i="21"/>
  <c r="Q74" i="21" s="1"/>
  <c r="AF48" i="11"/>
  <c r="W219" i="22" l="1"/>
  <c r="W221" i="22" s="1"/>
  <c r="W223" i="22" s="1"/>
  <c r="V30" i="8"/>
  <c r="W233" i="22"/>
  <c r="W235" i="22" s="1"/>
  <c r="W237" i="22" s="1"/>
  <c r="V32" i="8"/>
  <c r="W212" i="22"/>
  <c r="W214" i="22" s="1"/>
  <c r="W216" i="22" s="1"/>
  <c r="V29" i="8"/>
  <c r="W226" i="22"/>
  <c r="W228" i="22" s="1"/>
  <c r="W230" i="22" s="1"/>
  <c r="V31" i="8"/>
  <c r="T207" i="21"/>
  <c r="T208" i="21" s="1"/>
  <c r="T202" i="21"/>
  <c r="T203" i="21" s="1"/>
  <c r="T205" i="21" s="1"/>
  <c r="U197" i="21" s="1"/>
  <c r="U195" i="21"/>
  <c r="Z204" i="21"/>
  <c r="W100" i="11"/>
  <c r="W101" i="11" s="1"/>
  <c r="AA196" i="21"/>
  <c r="Y201" i="21"/>
  <c r="X96" i="11"/>
  <c r="X99" i="11" s="1"/>
  <c r="X51" i="24"/>
  <c r="W87" i="24"/>
  <c r="W53" i="24"/>
  <c r="X102" i="22"/>
  <c r="Y100" i="22"/>
  <c r="X135" i="22"/>
  <c r="S122" i="21"/>
  <c r="S123" i="21" s="1"/>
  <c r="S125" i="21" s="1"/>
  <c r="T117" i="21" s="1"/>
  <c r="T127" i="21" s="1"/>
  <c r="T128" i="21" s="1"/>
  <c r="T115" i="21"/>
  <c r="T97" i="21"/>
  <c r="T101" i="21" s="1"/>
  <c r="T102" i="21" s="1"/>
  <c r="T104" i="21" s="1"/>
  <c r="U96" i="21" s="1"/>
  <c r="U106" i="21" s="1"/>
  <c r="U107" i="21" s="1"/>
  <c r="Q84" i="21"/>
  <c r="Q85" i="21" s="1"/>
  <c r="Q75" i="21"/>
  <c r="Q79" i="21" s="1"/>
  <c r="Q80" i="21" s="1"/>
  <c r="AG48" i="11"/>
  <c r="X226" i="22" l="1"/>
  <c r="X228" i="22" s="1"/>
  <c r="X230" i="22" s="1"/>
  <c r="W31" i="8"/>
  <c r="X233" i="22"/>
  <c r="X235" i="22" s="1"/>
  <c r="X237" i="22" s="1"/>
  <c r="W32" i="8"/>
  <c r="X212" i="22"/>
  <c r="X214" i="22" s="1"/>
  <c r="X216" i="22" s="1"/>
  <c r="W29" i="8"/>
  <c r="X219" i="22"/>
  <c r="X221" i="22" s="1"/>
  <c r="X223" i="22" s="1"/>
  <c r="W30" i="8"/>
  <c r="U198" i="21"/>
  <c r="U207" i="21" s="1"/>
  <c r="U208" i="21" s="1"/>
  <c r="AA204" i="21"/>
  <c r="Z201" i="21"/>
  <c r="X100" i="11"/>
  <c r="X101" i="11" s="1"/>
  <c r="AB196" i="21"/>
  <c r="AA201" i="21" s="1"/>
  <c r="Y96" i="11"/>
  <c r="Y99" i="11" s="1"/>
  <c r="Y51" i="24"/>
  <c r="X53" i="24"/>
  <c r="X87" i="24"/>
  <c r="Y135" i="22"/>
  <c r="Z100" i="22"/>
  <c r="Y102" i="22"/>
  <c r="U94" i="21"/>
  <c r="U97" i="21" s="1"/>
  <c r="U101" i="21" s="1"/>
  <c r="U102" i="21" s="1"/>
  <c r="U104" i="21" s="1"/>
  <c r="V96" i="21" s="1"/>
  <c r="V106" i="21" s="1"/>
  <c r="V107" i="21" s="1"/>
  <c r="T118" i="21"/>
  <c r="R72" i="21"/>
  <c r="Q82" i="21"/>
  <c r="R74" i="21" s="1"/>
  <c r="AH48" i="11"/>
  <c r="AI48" i="11"/>
  <c r="AJ48" i="11"/>
  <c r="Y219" i="22" l="1"/>
  <c r="Y221" i="22" s="1"/>
  <c r="Y223" i="22" s="1"/>
  <c r="X30" i="8"/>
  <c r="Y233" i="22"/>
  <c r="Y235" i="22" s="1"/>
  <c r="Y237" i="22" s="1"/>
  <c r="X32" i="8"/>
  <c r="Y212" i="22"/>
  <c r="Y214" i="22" s="1"/>
  <c r="Y216" i="22" s="1"/>
  <c r="X29" i="8"/>
  <c r="Y226" i="22"/>
  <c r="Y228" i="22" s="1"/>
  <c r="Y230" i="22" s="1"/>
  <c r="X31" i="8"/>
  <c r="U202" i="21"/>
  <c r="U203" i="21" s="1"/>
  <c r="U205" i="21" s="1"/>
  <c r="V197" i="21" s="1"/>
  <c r="V195" i="21"/>
  <c r="Y100" i="11"/>
  <c r="Y101" i="11" s="1"/>
  <c r="AC196" i="21"/>
  <c r="AB201" i="21" s="1"/>
  <c r="AB204" i="21"/>
  <c r="Z96" i="11"/>
  <c r="Z99" i="11" s="1"/>
  <c r="Y87" i="24"/>
  <c r="Y53" i="24"/>
  <c r="Z51" i="24"/>
  <c r="Z135" i="22"/>
  <c r="AA100" i="22"/>
  <c r="Z102" i="22"/>
  <c r="T122" i="21"/>
  <c r="T123" i="21" s="1"/>
  <c r="T125" i="21" s="1"/>
  <c r="U117" i="21" s="1"/>
  <c r="U127" i="21" s="1"/>
  <c r="U128" i="21" s="1"/>
  <c r="U115" i="21"/>
  <c r="V94" i="21"/>
  <c r="V97" i="21" s="1"/>
  <c r="R84" i="21"/>
  <c r="R85" i="21" s="1"/>
  <c r="R75" i="21"/>
  <c r="R79" i="21" s="1"/>
  <c r="R80" i="21" s="1"/>
  <c r="AK48" i="11"/>
  <c r="Z226" i="22" l="1"/>
  <c r="Z228" i="22" s="1"/>
  <c r="Z230" i="22" s="1"/>
  <c r="Y31" i="8"/>
  <c r="Z233" i="22"/>
  <c r="Z235" i="22" s="1"/>
  <c r="Z237" i="22" s="1"/>
  <c r="Y32" i="8"/>
  <c r="Z212" i="22"/>
  <c r="Z214" i="22" s="1"/>
  <c r="Z216" i="22" s="1"/>
  <c r="Y29" i="8"/>
  <c r="Z219" i="22"/>
  <c r="Z221" i="22" s="1"/>
  <c r="Z223" i="22" s="1"/>
  <c r="Y30" i="8"/>
  <c r="V198" i="21"/>
  <c r="V207" i="21" s="1"/>
  <c r="V208" i="21" s="1"/>
  <c r="Z100" i="11"/>
  <c r="Z101" i="11" s="1"/>
  <c r="AD196" i="21"/>
  <c r="AC201" i="21" s="1"/>
  <c r="AC204" i="21"/>
  <c r="AA96" i="11"/>
  <c r="AA99" i="11" s="1"/>
  <c r="Z87" i="24"/>
  <c r="AA51" i="24"/>
  <c r="Z53" i="24"/>
  <c r="AA135" i="22"/>
  <c r="AB100" i="22"/>
  <c r="AA102" i="22"/>
  <c r="U118" i="21"/>
  <c r="W94" i="21"/>
  <c r="V101" i="21"/>
  <c r="V102" i="21" s="1"/>
  <c r="V104" i="21" s="1"/>
  <c r="W96" i="21" s="1"/>
  <c r="W106" i="21" s="1"/>
  <c r="W107" i="21" s="1"/>
  <c r="S72" i="21"/>
  <c r="R82" i="21"/>
  <c r="S74" i="21" s="1"/>
  <c r="AM48" i="11"/>
  <c r="AN48" i="11"/>
  <c r="AL48" i="11"/>
  <c r="AA233" i="22" l="1"/>
  <c r="AA235" i="22" s="1"/>
  <c r="AA237" i="22" s="1"/>
  <c r="Z32" i="8"/>
  <c r="AA219" i="22"/>
  <c r="AA221" i="22" s="1"/>
  <c r="AA223" i="22" s="1"/>
  <c r="Z30" i="8"/>
  <c r="AA212" i="22"/>
  <c r="AA214" i="22" s="1"/>
  <c r="AA216" i="22" s="1"/>
  <c r="Z29" i="8"/>
  <c r="AA226" i="22"/>
  <c r="AA228" i="22" s="1"/>
  <c r="AA230" i="22" s="1"/>
  <c r="Z31" i="8"/>
  <c r="W195" i="21"/>
  <c r="V202" i="21"/>
  <c r="V203" i="21" s="1"/>
  <c r="V205" i="21" s="1"/>
  <c r="W197" i="21" s="1"/>
  <c r="AD204" i="21"/>
  <c r="AA100" i="11"/>
  <c r="AA101" i="11" s="1"/>
  <c r="AE196" i="21"/>
  <c r="AD201" i="21" s="1"/>
  <c r="AB96" i="11"/>
  <c r="AB99" i="11" s="1"/>
  <c r="AA87" i="24"/>
  <c r="AB51" i="24"/>
  <c r="AA53" i="24"/>
  <c r="AB102" i="22"/>
  <c r="AB135" i="22"/>
  <c r="AC100" i="22"/>
  <c r="V115" i="21"/>
  <c r="U122" i="21"/>
  <c r="U123" i="21" s="1"/>
  <c r="U125" i="21" s="1"/>
  <c r="V117" i="21" s="1"/>
  <c r="V127" i="21" s="1"/>
  <c r="V128" i="21" s="1"/>
  <c r="W97" i="21"/>
  <c r="S84" i="21"/>
  <c r="S85" i="21" s="1"/>
  <c r="S75" i="21"/>
  <c r="S79" i="21" s="1"/>
  <c r="S80" i="21" s="1"/>
  <c r="W198" i="21" l="1"/>
  <c r="W207" i="21" s="1"/>
  <c r="W208" i="21" s="1"/>
  <c r="AB226" i="22"/>
  <c r="AB228" i="22" s="1"/>
  <c r="AB230" i="22" s="1"/>
  <c r="AA31" i="8"/>
  <c r="AB219" i="22"/>
  <c r="AB221" i="22" s="1"/>
  <c r="AB223" i="22" s="1"/>
  <c r="AA30" i="8"/>
  <c r="AB212" i="22"/>
  <c r="AB214" i="22" s="1"/>
  <c r="AB216" i="22" s="1"/>
  <c r="AA29" i="8"/>
  <c r="AB233" i="22"/>
  <c r="AB235" i="22" s="1"/>
  <c r="AA32" i="8"/>
  <c r="W202" i="21"/>
  <c r="W203" i="21" s="1"/>
  <c r="W205" i="21" s="1"/>
  <c r="X197" i="21" s="1"/>
  <c r="AE204" i="21"/>
  <c r="AB100" i="11"/>
  <c r="AB101" i="11" s="1"/>
  <c r="AF196" i="21"/>
  <c r="AE201" i="21" s="1"/>
  <c r="AC96" i="11"/>
  <c r="AC99" i="11" s="1"/>
  <c r="AB87" i="24"/>
  <c r="AC51" i="24"/>
  <c r="AB53" i="24"/>
  <c r="AC135" i="22"/>
  <c r="AC102" i="22"/>
  <c r="AD100" i="22"/>
  <c r="V118" i="21"/>
  <c r="W101" i="21"/>
  <c r="W102" i="21" s="1"/>
  <c r="W104" i="21" s="1"/>
  <c r="X96" i="21" s="1"/>
  <c r="X106" i="21" s="1"/>
  <c r="X107" i="21" s="1"/>
  <c r="X94" i="21"/>
  <c r="T72" i="21"/>
  <c r="S82" i="21"/>
  <c r="T74" i="21" s="1"/>
  <c r="X198" i="21" l="1"/>
  <c r="X207" i="21" s="1"/>
  <c r="X208" i="21" s="1"/>
  <c r="X195" i="21"/>
  <c r="AB237" i="22"/>
  <c r="AB32" i="8" s="1"/>
  <c r="AB30" i="8"/>
  <c r="AC219" i="22"/>
  <c r="AC221" i="22" s="1"/>
  <c r="AC223" i="22" s="1"/>
  <c r="AC212" i="22"/>
  <c r="AC214" i="22" s="1"/>
  <c r="AC216" i="22" s="1"/>
  <c r="AB29" i="8"/>
  <c r="AB31" i="8"/>
  <c r="AC226" i="22"/>
  <c r="AC228" i="22" s="1"/>
  <c r="AC230" i="22" s="1"/>
  <c r="X202" i="21"/>
  <c r="X203" i="21" s="1"/>
  <c r="X205" i="21" s="1"/>
  <c r="Y197" i="21" s="1"/>
  <c r="AC100" i="11"/>
  <c r="AC101" i="11" s="1"/>
  <c r="AG196" i="21"/>
  <c r="AF204" i="21"/>
  <c r="AD96" i="11"/>
  <c r="AD99" i="11" s="1"/>
  <c r="AE96" i="11" s="1"/>
  <c r="AE99" i="11" s="1"/>
  <c r="AC87" i="24"/>
  <c r="AC53" i="24"/>
  <c r="AD51" i="24"/>
  <c r="AD135" i="22"/>
  <c r="AE100" i="22"/>
  <c r="AD102" i="22"/>
  <c r="X97" i="21"/>
  <c r="X101" i="21" s="1"/>
  <c r="X102" i="21" s="1"/>
  <c r="X104" i="21" s="1"/>
  <c r="Y96" i="21" s="1"/>
  <c r="Y106" i="21" s="1"/>
  <c r="Y107" i="21" s="1"/>
  <c r="V122" i="21"/>
  <c r="V123" i="21" s="1"/>
  <c r="V125" i="21" s="1"/>
  <c r="W117" i="21" s="1"/>
  <c r="W127" i="21" s="1"/>
  <c r="W128" i="21" s="1"/>
  <c r="W115" i="21"/>
  <c r="T84" i="21"/>
  <c r="T85" i="21" s="1"/>
  <c r="T75" i="21"/>
  <c r="Y195" i="21" l="1"/>
  <c r="Y198" i="21" s="1"/>
  <c r="AD226" i="22"/>
  <c r="AD228" i="22" s="1"/>
  <c r="AD230" i="22" s="1"/>
  <c r="AC31" i="8"/>
  <c r="AD219" i="22"/>
  <c r="AD221" i="22" s="1"/>
  <c r="AD223" i="22" s="1"/>
  <c r="AC30" i="8"/>
  <c r="AC29" i="8"/>
  <c r="AD212" i="22"/>
  <c r="AD214" i="22" s="1"/>
  <c r="AD216" i="22" s="1"/>
  <c r="AC233" i="22"/>
  <c r="AC235" i="22" s="1"/>
  <c r="AC237" i="22" s="1"/>
  <c r="AG204" i="21"/>
  <c r="AE100" i="11"/>
  <c r="AE101" i="11" s="1"/>
  <c r="AI196" i="21"/>
  <c r="AD100" i="11"/>
  <c r="AD101" i="11" s="1"/>
  <c r="AH196" i="21"/>
  <c r="AF201" i="21"/>
  <c r="AD87" i="24"/>
  <c r="AD53" i="24"/>
  <c r="AE51" i="24"/>
  <c r="AE135" i="22"/>
  <c r="AF100" i="22"/>
  <c r="AE102" i="22"/>
  <c r="Y94" i="21"/>
  <c r="Y97" i="21" s="1"/>
  <c r="Z94" i="21" s="1"/>
  <c r="W118" i="21"/>
  <c r="T79" i="21"/>
  <c r="T80" i="21" s="1"/>
  <c r="U72" i="21"/>
  <c r="AF96" i="11"/>
  <c r="AF99" i="11" s="1"/>
  <c r="Z195" i="21" l="1"/>
  <c r="Y207" i="21"/>
  <c r="Y208" i="21" s="1"/>
  <c r="Y202" i="21"/>
  <c r="Y203" i="21" s="1"/>
  <c r="Y205" i="21" s="1"/>
  <c r="Z197" i="21" s="1"/>
  <c r="AD233" i="22"/>
  <c r="AD235" i="22" s="1"/>
  <c r="AD237" i="22" s="1"/>
  <c r="AC32" i="8"/>
  <c r="AE219" i="22"/>
  <c r="AE221" i="22" s="1"/>
  <c r="AE223" i="22" s="1"/>
  <c r="AD30" i="8"/>
  <c r="AE212" i="22"/>
  <c r="AE214" i="22" s="1"/>
  <c r="AE216" i="22" s="1"/>
  <c r="AD29" i="8"/>
  <c r="AE226" i="22"/>
  <c r="AE228" i="22" s="1"/>
  <c r="AE230" i="22" s="1"/>
  <c r="AD31" i="8"/>
  <c r="AF100" i="11"/>
  <c r="AF101" i="11" s="1"/>
  <c r="AJ196" i="21"/>
  <c r="AI201" i="21" s="1"/>
  <c r="AH204" i="21"/>
  <c r="AH201" i="21"/>
  <c r="AG201" i="21"/>
  <c r="AI204" i="21"/>
  <c r="AF51" i="24"/>
  <c r="AE53" i="24"/>
  <c r="AE87" i="24"/>
  <c r="AF102" i="22"/>
  <c r="AF135" i="22"/>
  <c r="AG100" i="22"/>
  <c r="W122" i="21"/>
  <c r="W123" i="21" s="1"/>
  <c r="W125" i="21" s="1"/>
  <c r="X117" i="21" s="1"/>
  <c r="X127" i="21" s="1"/>
  <c r="X128" i="21" s="1"/>
  <c r="X115" i="21"/>
  <c r="Y101" i="21"/>
  <c r="Y102" i="21" s="1"/>
  <c r="Y104" i="21" s="1"/>
  <c r="Z96" i="21" s="1"/>
  <c r="Z106" i="21" s="1"/>
  <c r="Z107" i="21" s="1"/>
  <c r="T82" i="21"/>
  <c r="U74" i="21" s="1"/>
  <c r="U75" i="21" s="1"/>
  <c r="AG96" i="11"/>
  <c r="AG99" i="11" s="1"/>
  <c r="Z198" i="21" l="1"/>
  <c r="AF219" i="22"/>
  <c r="AF221" i="22" s="1"/>
  <c r="AF223" i="22" s="1"/>
  <c r="AE30" i="8"/>
  <c r="AE31" i="8"/>
  <c r="AF226" i="22"/>
  <c r="AF228" i="22" s="1"/>
  <c r="AF230" i="22" s="1"/>
  <c r="AE29" i="8"/>
  <c r="AF212" i="22"/>
  <c r="AF214" i="22" s="1"/>
  <c r="AF216" i="22" s="1"/>
  <c r="AE233" i="22"/>
  <c r="AE235" i="22" s="1"/>
  <c r="AE237" i="22" s="1"/>
  <c r="AD32" i="8"/>
  <c r="AG100" i="11"/>
  <c r="AG101" i="11" s="1"/>
  <c r="AK196" i="21"/>
  <c r="AJ204" i="21"/>
  <c r="AG51" i="24"/>
  <c r="AF53" i="24"/>
  <c r="AF87" i="24"/>
  <c r="AG135" i="22"/>
  <c r="AG102" i="22"/>
  <c r="AH100" i="22"/>
  <c r="Z97" i="21"/>
  <c r="Z101" i="21" s="1"/>
  <c r="Z102" i="21" s="1"/>
  <c r="Z104" i="21" s="1"/>
  <c r="AA96" i="21" s="1"/>
  <c r="AA106" i="21" s="1"/>
  <c r="AA107" i="21" s="1"/>
  <c r="X118" i="21"/>
  <c r="V72" i="21"/>
  <c r="U79" i="21"/>
  <c r="U80" i="21" s="1"/>
  <c r="AH96" i="11"/>
  <c r="AH99" i="11" s="1"/>
  <c r="Z207" i="21" l="1"/>
  <c r="Z208" i="21" s="1"/>
  <c r="Z202" i="21"/>
  <c r="Z203" i="21" s="1"/>
  <c r="Z205" i="21" s="1"/>
  <c r="AA197" i="21" s="1"/>
  <c r="AA195" i="21"/>
  <c r="AG226" i="22"/>
  <c r="AG228" i="22" s="1"/>
  <c r="AG230" i="22" s="1"/>
  <c r="AF31" i="8"/>
  <c r="AF233" i="22"/>
  <c r="AF235" i="22" s="1"/>
  <c r="AF237" i="22" s="1"/>
  <c r="AE32" i="8"/>
  <c r="AG212" i="22"/>
  <c r="AG214" i="22" s="1"/>
  <c r="AG216" i="22" s="1"/>
  <c r="AF29" i="8"/>
  <c r="AF30" i="8"/>
  <c r="AG219" i="22"/>
  <c r="AG221" i="22" s="1"/>
  <c r="AG223" i="22" s="1"/>
  <c r="AK204" i="21"/>
  <c r="AJ201" i="21"/>
  <c r="AH100" i="11"/>
  <c r="AH101" i="11" s="1"/>
  <c r="AL196" i="21"/>
  <c r="AK201" i="21" s="1"/>
  <c r="AG87" i="24"/>
  <c r="AG53" i="24"/>
  <c r="AH51" i="24"/>
  <c r="AH135" i="22"/>
  <c r="AI100" i="22"/>
  <c r="AH102" i="22"/>
  <c r="AA94" i="21"/>
  <c r="AA97" i="21" s="1"/>
  <c r="X122" i="21"/>
  <c r="X123" i="21" s="1"/>
  <c r="X125" i="21" s="1"/>
  <c r="Y117" i="21" s="1"/>
  <c r="Y127" i="21" s="1"/>
  <c r="Y128" i="21" s="1"/>
  <c r="Y115" i="21"/>
  <c r="U82" i="21"/>
  <c r="V74" i="21" s="1"/>
  <c r="V75" i="21" s="1"/>
  <c r="AI96" i="11"/>
  <c r="AI99" i="11" s="1"/>
  <c r="AA198" i="21" l="1"/>
  <c r="AH219" i="22"/>
  <c r="AH221" i="22" s="1"/>
  <c r="AH223" i="22" s="1"/>
  <c r="AG30" i="8"/>
  <c r="AG233" i="22"/>
  <c r="AG235" i="22" s="1"/>
  <c r="AG237" i="22" s="1"/>
  <c r="AF32" i="8"/>
  <c r="AH212" i="22"/>
  <c r="AH214" i="22" s="1"/>
  <c r="AH216" i="22" s="1"/>
  <c r="AG29" i="8"/>
  <c r="AG31" i="8"/>
  <c r="AH226" i="22"/>
  <c r="AH228" i="22" s="1"/>
  <c r="AH230" i="22" s="1"/>
  <c r="AI100" i="11"/>
  <c r="AI101" i="11" s="1"/>
  <c r="AM196" i="21"/>
  <c r="AL201" i="21" s="1"/>
  <c r="AL204" i="21"/>
  <c r="AH87" i="24"/>
  <c r="AI51" i="24"/>
  <c r="AH53" i="24"/>
  <c r="AI135" i="22"/>
  <c r="AJ100" i="22"/>
  <c r="AI102" i="22"/>
  <c r="Y118" i="21"/>
  <c r="AA101" i="21"/>
  <c r="AA102" i="21" s="1"/>
  <c r="AA104" i="21" s="1"/>
  <c r="AB96" i="21" s="1"/>
  <c r="AB106" i="21" s="1"/>
  <c r="AB107" i="21" s="1"/>
  <c r="AB94" i="21"/>
  <c r="W72" i="21"/>
  <c r="V79" i="21"/>
  <c r="V80" i="21" s="1"/>
  <c r="AJ96" i="11"/>
  <c r="AJ99" i="11" s="1"/>
  <c r="AA207" i="21" l="1"/>
  <c r="AA208" i="21" s="1"/>
  <c r="AA202" i="21"/>
  <c r="AA203" i="21" s="1"/>
  <c r="AA205" i="21" s="1"/>
  <c r="AB197" i="21" s="1"/>
  <c r="AB195" i="21"/>
  <c r="AI226" i="22"/>
  <c r="AI228" i="22" s="1"/>
  <c r="AI230" i="22" s="1"/>
  <c r="AH31" i="8"/>
  <c r="AH233" i="22"/>
  <c r="AH235" i="22" s="1"/>
  <c r="AH237" i="22" s="1"/>
  <c r="AG32" i="8"/>
  <c r="AI212" i="22"/>
  <c r="AI214" i="22" s="1"/>
  <c r="AI216" i="22" s="1"/>
  <c r="AH29" i="8"/>
  <c r="AI219" i="22"/>
  <c r="AI221" i="22" s="1"/>
  <c r="AI223" i="22" s="1"/>
  <c r="AH30" i="8"/>
  <c r="AJ100" i="11"/>
  <c r="AJ101" i="11" s="1"/>
  <c r="AN196" i="21"/>
  <c r="AM201" i="21" s="1"/>
  <c r="AM204" i="21"/>
  <c r="AI53" i="24"/>
  <c r="AI87" i="24"/>
  <c r="AJ51" i="24"/>
  <c r="AJ102" i="22"/>
  <c r="AJ135" i="22"/>
  <c r="AK100" i="22"/>
  <c r="Y122" i="21"/>
  <c r="Y123" i="21" s="1"/>
  <c r="Y125" i="21" s="1"/>
  <c r="Z117" i="21" s="1"/>
  <c r="Z127" i="21" s="1"/>
  <c r="Z128" i="21" s="1"/>
  <c r="Z115" i="21"/>
  <c r="AB97" i="21"/>
  <c r="AB101" i="21" s="1"/>
  <c r="AB102" i="21" s="1"/>
  <c r="AB104" i="21" s="1"/>
  <c r="AC96" i="21" s="1"/>
  <c r="AC106" i="21" s="1"/>
  <c r="AC107" i="21" s="1"/>
  <c r="V82" i="21"/>
  <c r="W74" i="21" s="1"/>
  <c r="W75" i="21" s="1"/>
  <c r="AK96" i="11"/>
  <c r="AK99" i="11" s="1"/>
  <c r="AB198" i="21" l="1"/>
  <c r="AJ219" i="22"/>
  <c r="AJ221" i="22" s="1"/>
  <c r="AJ223" i="22" s="1"/>
  <c r="AI30" i="8"/>
  <c r="AH32" i="8"/>
  <c r="AI233" i="22"/>
  <c r="AI235" i="22" s="1"/>
  <c r="AI237" i="22" s="1"/>
  <c r="AJ212" i="22"/>
  <c r="AJ214" i="22" s="1"/>
  <c r="AJ216" i="22" s="1"/>
  <c r="AI29" i="8"/>
  <c r="AJ226" i="22"/>
  <c r="AJ228" i="22" s="1"/>
  <c r="AJ230" i="22" s="1"/>
  <c r="AI31" i="8"/>
  <c r="AK100" i="11"/>
  <c r="AK101" i="11" s="1"/>
  <c r="AO196" i="21"/>
  <c r="AN201" i="21" s="1"/>
  <c r="AN204" i="21"/>
  <c r="AJ87" i="24"/>
  <c r="AK51" i="24"/>
  <c r="AJ53" i="24"/>
  <c r="AK135" i="22"/>
  <c r="AK102" i="22"/>
  <c r="AL100" i="22"/>
  <c r="Z118" i="21"/>
  <c r="Z122" i="21" s="1"/>
  <c r="Z123" i="21" s="1"/>
  <c r="Z125" i="21" s="1"/>
  <c r="AA117" i="21" s="1"/>
  <c r="AA127" i="21" s="1"/>
  <c r="AA128" i="21" s="1"/>
  <c r="AC94" i="21"/>
  <c r="AC97" i="21" s="1"/>
  <c r="AD94" i="21" s="1"/>
  <c r="X72" i="21"/>
  <c r="W79" i="21"/>
  <c r="W80" i="21" s="1"/>
  <c r="AL96" i="11"/>
  <c r="AL99" i="11" s="1"/>
  <c r="AC195" i="21" l="1"/>
  <c r="AB202" i="21"/>
  <c r="AB203" i="21" s="1"/>
  <c r="AB205" i="21" s="1"/>
  <c r="AC197" i="21" s="1"/>
  <c r="AB207" i="21"/>
  <c r="AB208" i="21" s="1"/>
  <c r="AJ233" i="22"/>
  <c r="AJ235" i="22" s="1"/>
  <c r="AJ237" i="22" s="1"/>
  <c r="AI32" i="8"/>
  <c r="AK226" i="22"/>
  <c r="AK228" i="22" s="1"/>
  <c r="AK230" i="22" s="1"/>
  <c r="AJ31" i="8"/>
  <c r="AK212" i="22"/>
  <c r="AK214" i="22" s="1"/>
  <c r="AK216" i="22" s="1"/>
  <c r="AJ29" i="8"/>
  <c r="AJ30" i="8"/>
  <c r="AK219" i="22"/>
  <c r="AK221" i="22" s="1"/>
  <c r="AK223" i="22" s="1"/>
  <c r="AL100" i="11"/>
  <c r="AL101" i="11" s="1"/>
  <c r="AP196" i="21"/>
  <c r="AO204" i="21"/>
  <c r="AK87" i="24"/>
  <c r="AK53" i="24"/>
  <c r="AL51" i="24"/>
  <c r="AL135" i="22"/>
  <c r="AM100" i="22"/>
  <c r="AL102" i="22"/>
  <c r="AC101" i="21"/>
  <c r="AC102" i="21" s="1"/>
  <c r="AC104" i="21" s="1"/>
  <c r="AD96" i="21" s="1"/>
  <c r="AD106" i="21" s="1"/>
  <c r="AD107" i="21" s="1"/>
  <c r="AA115" i="21"/>
  <c r="AA118" i="21" s="1"/>
  <c r="W82" i="21"/>
  <c r="X74" i="21" s="1"/>
  <c r="X75" i="21" s="1"/>
  <c r="AM96" i="11"/>
  <c r="AM99" i="11" s="1"/>
  <c r="AC198" i="21" l="1"/>
  <c r="AK30" i="8"/>
  <c r="AL219" i="22"/>
  <c r="AL221" i="22" s="1"/>
  <c r="AL223" i="22" s="1"/>
  <c r="AL226" i="22"/>
  <c r="AL228" i="22" s="1"/>
  <c r="AL230" i="22" s="1"/>
  <c r="AK31" i="8"/>
  <c r="AL212" i="22"/>
  <c r="AL214" i="22" s="1"/>
  <c r="AL216" i="22" s="1"/>
  <c r="AK29" i="8"/>
  <c r="AJ32" i="8"/>
  <c r="AK233" i="22"/>
  <c r="AK235" i="22" s="1"/>
  <c r="AK237" i="22" s="1"/>
  <c r="AP204" i="21"/>
  <c r="AM100" i="11"/>
  <c r="AM101" i="11" s="1"/>
  <c r="AQ196" i="21"/>
  <c r="AP201" i="21" s="1"/>
  <c r="AO201" i="21"/>
  <c r="AL87" i="24"/>
  <c r="AL53" i="24"/>
  <c r="AM51" i="24"/>
  <c r="AM135" i="22"/>
  <c r="AM102" i="22"/>
  <c r="AD97" i="21"/>
  <c r="AD101" i="21" s="1"/>
  <c r="AD102" i="21" s="1"/>
  <c r="AD104" i="21" s="1"/>
  <c r="AE96" i="21" s="1"/>
  <c r="AE106" i="21" s="1"/>
  <c r="AE107" i="21" s="1"/>
  <c r="AA122" i="21"/>
  <c r="AA123" i="21" s="1"/>
  <c r="AA125" i="21" s="1"/>
  <c r="AB117" i="21" s="1"/>
  <c r="AB127" i="21" s="1"/>
  <c r="AB128" i="21" s="1"/>
  <c r="AB115" i="21"/>
  <c r="X79" i="21"/>
  <c r="X80" i="21" s="1"/>
  <c r="Y72" i="21"/>
  <c r="AN96" i="11"/>
  <c r="AN99" i="11" s="1"/>
  <c r="AC202" i="21" l="1"/>
  <c r="AC203" i="21" s="1"/>
  <c r="AC205" i="21" s="1"/>
  <c r="AD197" i="21" s="1"/>
  <c r="AD198" i="21" s="1"/>
  <c r="AD195" i="21"/>
  <c r="AC207" i="21"/>
  <c r="AC208" i="21" s="1"/>
  <c r="AL233" i="22"/>
  <c r="AL235" i="22" s="1"/>
  <c r="AL237" i="22" s="1"/>
  <c r="AK32" i="8"/>
  <c r="AM219" i="22"/>
  <c r="AM221" i="22" s="1"/>
  <c r="AM223" i="22" s="1"/>
  <c r="AM30" i="8" s="1"/>
  <c r="AL30" i="8"/>
  <c r="AM226" i="22"/>
  <c r="AM228" i="22" s="1"/>
  <c r="AM230" i="22" s="1"/>
  <c r="AM31" i="8" s="1"/>
  <c r="AL31" i="8"/>
  <c r="AL29" i="8"/>
  <c r="AM212" i="22"/>
  <c r="AM214" i="22" s="1"/>
  <c r="AM216" i="22" s="1"/>
  <c r="AM29" i="8" s="1"/>
  <c r="AN100" i="11"/>
  <c r="AN101" i="11" s="1"/>
  <c r="AR196" i="21"/>
  <c r="AQ204" i="21"/>
  <c r="AM53" i="24"/>
  <c r="AM87" i="24"/>
  <c r="AE94" i="21"/>
  <c r="AE97" i="21" s="1"/>
  <c r="AB118" i="21"/>
  <c r="X82" i="21"/>
  <c r="Y74" i="21" s="1"/>
  <c r="Y75" i="21" s="1"/>
  <c r="AE195" i="21" l="1"/>
  <c r="AE198" i="21" s="1"/>
  <c r="AE207" i="21" s="1"/>
  <c r="AE208" i="21" s="1"/>
  <c r="AD207" i="21"/>
  <c r="AD208" i="21" s="1"/>
  <c r="AD202" i="21"/>
  <c r="AD203" i="21" s="1"/>
  <c r="AD205" i="21" s="1"/>
  <c r="AE197" i="21" s="1"/>
  <c r="AL32" i="8"/>
  <c r="AM233" i="22"/>
  <c r="AM235" i="22" s="1"/>
  <c r="AM237" i="22" s="1"/>
  <c r="AM32" i="8" s="1"/>
  <c r="AR204" i="21"/>
  <c r="AR201" i="21"/>
  <c r="AQ201" i="21"/>
  <c r="AB122" i="21"/>
  <c r="AB123" i="21" s="1"/>
  <c r="AB125" i="21" s="1"/>
  <c r="AC117" i="21" s="1"/>
  <c r="AC127" i="21" s="1"/>
  <c r="AC128" i="21" s="1"/>
  <c r="AC115" i="21"/>
  <c r="AE101" i="21"/>
  <c r="AE102" i="21" s="1"/>
  <c r="AE104" i="21" s="1"/>
  <c r="AF96" i="21" s="1"/>
  <c r="AF106" i="21" s="1"/>
  <c r="AF107" i="21" s="1"/>
  <c r="AF94" i="21"/>
  <c r="Z72" i="21"/>
  <c r="Y79" i="21"/>
  <c r="Y80" i="21" s="1"/>
  <c r="P224" i="20"/>
  <c r="B222" i="20"/>
  <c r="P217" i="20"/>
  <c r="D217" i="20"/>
  <c r="B215" i="20"/>
  <c r="AI212" i="20"/>
  <c r="AF212" i="20"/>
  <c r="S212" i="20"/>
  <c r="D211" i="20"/>
  <c r="B208" i="20"/>
  <c r="B201" i="20"/>
  <c r="AA198" i="20"/>
  <c r="E198" i="20"/>
  <c r="AB196" i="20"/>
  <c r="B194" i="20"/>
  <c r="AA191" i="20"/>
  <c r="R191" i="20"/>
  <c r="K191" i="20"/>
  <c r="B187" i="20"/>
  <c r="N184" i="20"/>
  <c r="I184" i="20"/>
  <c r="F184" i="20"/>
  <c r="B180" i="20"/>
  <c r="AB175" i="20"/>
  <c r="D175" i="20"/>
  <c r="B173" i="20"/>
  <c r="AL170" i="20"/>
  <c r="AA170" i="20"/>
  <c r="P170" i="20"/>
  <c r="F170" i="20"/>
  <c r="B166" i="20"/>
  <c r="H163" i="20"/>
  <c r="B159" i="20"/>
  <c r="AM157" i="20"/>
  <c r="AL157" i="20"/>
  <c r="AK157" i="20"/>
  <c r="AJ157" i="20"/>
  <c r="AI157" i="20"/>
  <c r="AH157" i="20"/>
  <c r="AG157" i="20"/>
  <c r="AF157" i="20"/>
  <c r="AE157" i="20"/>
  <c r="AD157" i="20"/>
  <c r="AC157" i="20"/>
  <c r="AB157" i="20"/>
  <c r="AA157" i="20"/>
  <c r="Z157" i="20"/>
  <c r="Y157" i="20"/>
  <c r="X157" i="20"/>
  <c r="W157" i="20"/>
  <c r="V157" i="20"/>
  <c r="U157" i="20"/>
  <c r="T157" i="20"/>
  <c r="S157" i="20"/>
  <c r="R157" i="20"/>
  <c r="Q157" i="20"/>
  <c r="P157" i="20"/>
  <c r="O157" i="20"/>
  <c r="N157" i="20"/>
  <c r="M157" i="20"/>
  <c r="L157" i="20"/>
  <c r="K157" i="20"/>
  <c r="J157" i="20"/>
  <c r="I157" i="20"/>
  <c r="H157" i="20"/>
  <c r="G157" i="20"/>
  <c r="F157" i="20"/>
  <c r="E157" i="20"/>
  <c r="D157" i="20"/>
  <c r="C153" i="20"/>
  <c r="AM136" i="20"/>
  <c r="AL136" i="20"/>
  <c r="AK136" i="20"/>
  <c r="AJ136" i="20"/>
  <c r="AI136" i="20"/>
  <c r="AH136" i="20"/>
  <c r="AG136" i="20"/>
  <c r="AF136" i="20"/>
  <c r="AE136" i="20"/>
  <c r="AD136" i="20"/>
  <c r="AC136" i="20"/>
  <c r="AB136" i="20"/>
  <c r="AA136" i="20"/>
  <c r="Z136" i="20"/>
  <c r="Y136" i="20"/>
  <c r="X136" i="20"/>
  <c r="W136" i="20"/>
  <c r="V136" i="20"/>
  <c r="U136" i="20"/>
  <c r="T136" i="20"/>
  <c r="S136" i="20"/>
  <c r="R136" i="20"/>
  <c r="Q136" i="20"/>
  <c r="P136" i="20"/>
  <c r="O136" i="20"/>
  <c r="N136" i="20"/>
  <c r="M136" i="20"/>
  <c r="L136" i="20"/>
  <c r="K136" i="20"/>
  <c r="J136" i="20"/>
  <c r="I136" i="20"/>
  <c r="H136" i="20"/>
  <c r="F90" i="20" s="1"/>
  <c r="G136" i="20"/>
  <c r="F136" i="20"/>
  <c r="E136" i="20"/>
  <c r="D136" i="20"/>
  <c r="M128" i="20"/>
  <c r="L128" i="20"/>
  <c r="H128" i="20"/>
  <c r="E128" i="20"/>
  <c r="D128" i="20"/>
  <c r="B128" i="20"/>
  <c r="M127" i="20"/>
  <c r="J127" i="20"/>
  <c r="E127" i="20"/>
  <c r="B127" i="20"/>
  <c r="Z126" i="20"/>
  <c r="R126" i="20"/>
  <c r="J126" i="20"/>
  <c r="B126" i="20"/>
  <c r="O125" i="20"/>
  <c r="G125" i="20"/>
  <c r="B125" i="20"/>
  <c r="B124" i="20"/>
  <c r="V123" i="20"/>
  <c r="N123" i="20"/>
  <c r="I123" i="20"/>
  <c r="F123" i="20"/>
  <c r="B123" i="20"/>
  <c r="O122" i="20"/>
  <c r="N122" i="20"/>
  <c r="J122" i="20"/>
  <c r="G122" i="20"/>
  <c r="F122" i="20"/>
  <c r="B122" i="20"/>
  <c r="AA121" i="20"/>
  <c r="T121" i="20"/>
  <c r="S121" i="20"/>
  <c r="K121" i="20"/>
  <c r="B121" i="20"/>
  <c r="B120" i="20"/>
  <c r="D111" i="20"/>
  <c r="M96" i="20"/>
  <c r="E90" i="20"/>
  <c r="D90" i="20"/>
  <c r="F88" i="20"/>
  <c r="E88" i="20"/>
  <c r="D88" i="20"/>
  <c r="I75" i="20"/>
  <c r="H75" i="20"/>
  <c r="G75" i="20"/>
  <c r="D224" i="20" s="1"/>
  <c r="I74" i="20"/>
  <c r="H74" i="20"/>
  <c r="G74" i="20"/>
  <c r="I73" i="20"/>
  <c r="H73" i="20"/>
  <c r="P210" i="20" s="1"/>
  <c r="G73" i="20"/>
  <c r="D210" i="20" s="1"/>
  <c r="I72" i="20"/>
  <c r="AB203" i="20" s="1"/>
  <c r="H72" i="20"/>
  <c r="P203" i="20" s="1"/>
  <c r="G72" i="20"/>
  <c r="D203" i="20" s="1"/>
  <c r="I71" i="20"/>
  <c r="H71" i="20"/>
  <c r="P196" i="20" s="1"/>
  <c r="G71" i="20"/>
  <c r="I70" i="20"/>
  <c r="H70" i="20"/>
  <c r="P189" i="20" s="1"/>
  <c r="G70" i="20"/>
  <c r="D189" i="20" s="1"/>
  <c r="I69" i="20"/>
  <c r="AB182" i="20" s="1"/>
  <c r="H69" i="20"/>
  <c r="P182" i="20" s="1"/>
  <c r="G69" i="20"/>
  <c r="D182" i="20" s="1"/>
  <c r="I68" i="20"/>
  <c r="H68" i="20"/>
  <c r="P175" i="20" s="1"/>
  <c r="G68" i="20"/>
  <c r="G76" i="20" s="1"/>
  <c r="D237" i="20" s="1"/>
  <c r="I67" i="20"/>
  <c r="H67" i="20"/>
  <c r="G67" i="20"/>
  <c r="D168" i="20" s="1"/>
  <c r="I66" i="20"/>
  <c r="H66" i="20"/>
  <c r="P161" i="20" s="1"/>
  <c r="G66" i="20"/>
  <c r="D161" i="20" s="1"/>
  <c r="X163" i="20" s="1"/>
  <c r="I61" i="20"/>
  <c r="H61" i="20"/>
  <c r="I60" i="20"/>
  <c r="J60" i="20" s="1"/>
  <c r="C60" i="20"/>
  <c r="I59" i="20"/>
  <c r="J59" i="20" s="1"/>
  <c r="D59" i="20"/>
  <c r="E59" i="20" s="1"/>
  <c r="I58" i="20"/>
  <c r="J58" i="20" s="1"/>
  <c r="J61" i="20" s="1"/>
  <c r="AB128" i="20" s="1"/>
  <c r="D58" i="20"/>
  <c r="D60" i="20" s="1"/>
  <c r="Z127" i="20" s="1"/>
  <c r="C53" i="20"/>
  <c r="E52" i="20"/>
  <c r="D52" i="20"/>
  <c r="D51" i="20"/>
  <c r="E51" i="20" s="1"/>
  <c r="E50" i="20"/>
  <c r="D50" i="20"/>
  <c r="I49" i="20"/>
  <c r="H49" i="20"/>
  <c r="D49" i="20"/>
  <c r="E49" i="20" s="1"/>
  <c r="D48" i="20"/>
  <c r="E48" i="20" s="1"/>
  <c r="I47" i="20"/>
  <c r="J47" i="20" s="1"/>
  <c r="D47" i="20"/>
  <c r="E47" i="20" s="1"/>
  <c r="I46" i="20"/>
  <c r="J46" i="20" s="1"/>
  <c r="D46" i="20"/>
  <c r="E46" i="20" s="1"/>
  <c r="I45" i="20"/>
  <c r="J45" i="20" s="1"/>
  <c r="D45" i="20"/>
  <c r="E45" i="20" s="1"/>
  <c r="D44" i="20"/>
  <c r="E44" i="20" s="1"/>
  <c r="I43" i="20"/>
  <c r="D57" i="20" s="1"/>
  <c r="I57" i="20" s="1"/>
  <c r="I39" i="20"/>
  <c r="H39" i="20"/>
  <c r="J38" i="20"/>
  <c r="J39" i="20" s="1"/>
  <c r="I38" i="20"/>
  <c r="I36" i="20"/>
  <c r="D43" i="20" s="1"/>
  <c r="H36" i="20"/>
  <c r="C43" i="20" s="1"/>
  <c r="H43" i="20" s="1"/>
  <c r="C57" i="20" s="1"/>
  <c r="H57" i="20" s="1"/>
  <c r="D36" i="20"/>
  <c r="C36" i="20"/>
  <c r="H32" i="20"/>
  <c r="D32" i="20"/>
  <c r="V122" i="20" s="1"/>
  <c r="C32" i="20"/>
  <c r="I31" i="20"/>
  <c r="J31" i="20" s="1"/>
  <c r="J30" i="20"/>
  <c r="I30" i="20"/>
  <c r="D30" i="20"/>
  <c r="E30" i="20" s="1"/>
  <c r="J29" i="20"/>
  <c r="J32" i="20" s="1"/>
  <c r="I29" i="20"/>
  <c r="D29" i="20"/>
  <c r="E29" i="20" s="1"/>
  <c r="J28" i="20"/>
  <c r="I28" i="20"/>
  <c r="I32" i="20" s="1"/>
  <c r="D28" i="20"/>
  <c r="E28" i="20" s="1"/>
  <c r="J27" i="20"/>
  <c r="E36" i="20" s="1"/>
  <c r="J36" i="20" s="1"/>
  <c r="E43" i="20" s="1"/>
  <c r="J43" i="20" s="1"/>
  <c r="E57" i="20" s="1"/>
  <c r="J57" i="20" s="1"/>
  <c r="I27" i="20"/>
  <c r="H27" i="20"/>
  <c r="I21" i="20"/>
  <c r="H21" i="20"/>
  <c r="G21" i="20"/>
  <c r="C21" i="20"/>
  <c r="I20" i="20"/>
  <c r="H20" i="20"/>
  <c r="G20" i="20"/>
  <c r="C19" i="20"/>
  <c r="I18" i="20"/>
  <c r="H18" i="20"/>
  <c r="G18" i="20"/>
  <c r="I17" i="20"/>
  <c r="H17" i="20"/>
  <c r="G17" i="20"/>
  <c r="I16" i="20"/>
  <c r="H16" i="20"/>
  <c r="G16" i="20"/>
  <c r="I15" i="20"/>
  <c r="H15" i="20"/>
  <c r="G15" i="20"/>
  <c r="I14" i="20"/>
  <c r="H14" i="20"/>
  <c r="G14" i="20"/>
  <c r="I13" i="20"/>
  <c r="H13" i="20"/>
  <c r="G13" i="20"/>
  <c r="I12" i="20"/>
  <c r="H12" i="20"/>
  <c r="G12" i="20"/>
  <c r="I11" i="20"/>
  <c r="H11" i="20"/>
  <c r="G11" i="20"/>
  <c r="G22" i="20" s="1"/>
  <c r="H120" i="20" s="1"/>
  <c r="A1" i="20"/>
  <c r="F142" i="9"/>
  <c r="I59" i="1"/>
  <c r="B18" i="8"/>
  <c r="AF195" i="21" l="1"/>
  <c r="AF198" i="21" s="1"/>
  <c r="AE202" i="21"/>
  <c r="AE203" i="21" s="1"/>
  <c r="AE205" i="21" s="1"/>
  <c r="AF197" i="21" s="1"/>
  <c r="AB197" i="1"/>
  <c r="AB135" i="9"/>
  <c r="AC118" i="21"/>
  <c r="AF97" i="21"/>
  <c r="AF101" i="21" s="1"/>
  <c r="AF102" i="21" s="1"/>
  <c r="AF104" i="21" s="1"/>
  <c r="AG106" i="21" s="1"/>
  <c r="AG107" i="21" s="1"/>
  <c r="Y82" i="21"/>
  <c r="Z74" i="21" s="1"/>
  <c r="Z75" i="21" s="1"/>
  <c r="AJ123" i="20"/>
  <c r="AF123" i="20"/>
  <c r="AB123" i="20"/>
  <c r="AM123" i="20"/>
  <c r="AI123" i="20"/>
  <c r="AE123" i="20"/>
  <c r="AK123" i="20"/>
  <c r="AC123" i="20"/>
  <c r="AH123" i="20"/>
  <c r="AG123" i="20"/>
  <c r="AL123" i="20"/>
  <c r="AD123" i="20"/>
  <c r="AL121" i="20"/>
  <c r="AH121" i="20"/>
  <c r="AD121" i="20"/>
  <c r="AK121" i="20"/>
  <c r="AG121" i="20"/>
  <c r="AC121" i="20"/>
  <c r="AF121" i="20"/>
  <c r="AM121" i="20"/>
  <c r="AE121" i="20"/>
  <c r="AJ121" i="20"/>
  <c r="AB121" i="20"/>
  <c r="AA128" i="20"/>
  <c r="W128" i="20"/>
  <c r="S128" i="20"/>
  <c r="Z128" i="20"/>
  <c r="V128" i="20"/>
  <c r="R128" i="20"/>
  <c r="Y128" i="20"/>
  <c r="Q128" i="20"/>
  <c r="X128" i="20"/>
  <c r="P128" i="20"/>
  <c r="U128" i="20"/>
  <c r="R127" i="20"/>
  <c r="P163" i="20"/>
  <c r="X123" i="20"/>
  <c r="T123" i="20"/>
  <c r="P123" i="20"/>
  <c r="AA123" i="20"/>
  <c r="W123" i="20"/>
  <c r="S123" i="20"/>
  <c r="U123" i="20"/>
  <c r="Z123" i="20"/>
  <c r="R123" i="20"/>
  <c r="Y123" i="20"/>
  <c r="Q123" i="20"/>
  <c r="M126" i="20"/>
  <c r="I126" i="20"/>
  <c r="E126" i="20"/>
  <c r="L126" i="20"/>
  <c r="H126" i="20"/>
  <c r="D126" i="20"/>
  <c r="O126" i="20"/>
  <c r="G126" i="20"/>
  <c r="N126" i="20"/>
  <c r="F126" i="20"/>
  <c r="K126" i="20"/>
  <c r="D153" i="20"/>
  <c r="E111" i="20"/>
  <c r="Y122" i="20"/>
  <c r="U122" i="20"/>
  <c r="Q122" i="20"/>
  <c r="X122" i="20"/>
  <c r="T122" i="20"/>
  <c r="P122" i="20"/>
  <c r="AA122" i="20"/>
  <c r="S122" i="20"/>
  <c r="Z122" i="20"/>
  <c r="R122" i="20"/>
  <c r="W122" i="20"/>
  <c r="X127" i="20"/>
  <c r="T127" i="20"/>
  <c r="P127" i="20"/>
  <c r="AA127" i="20"/>
  <c r="W127" i="20"/>
  <c r="S127" i="20"/>
  <c r="Y127" i="20"/>
  <c r="Q127" i="20"/>
  <c r="V127" i="20"/>
  <c r="U127" i="20"/>
  <c r="AL177" i="20"/>
  <c r="AH177" i="20"/>
  <c r="AD177" i="20"/>
  <c r="Z177" i="20"/>
  <c r="V177" i="20"/>
  <c r="R177" i="20"/>
  <c r="N177" i="20"/>
  <c r="J177" i="20"/>
  <c r="F177" i="20"/>
  <c r="AM177" i="20"/>
  <c r="AG177" i="20"/>
  <c r="AB177" i="20"/>
  <c r="W177" i="20"/>
  <c r="Q177" i="20"/>
  <c r="L177" i="20"/>
  <c r="G177" i="20"/>
  <c r="AK177" i="20"/>
  <c r="AF177" i="20"/>
  <c r="AA177" i="20"/>
  <c r="U177" i="20"/>
  <c r="P177" i="20"/>
  <c r="K177" i="20"/>
  <c r="E177" i="20"/>
  <c r="D176" i="20"/>
  <c r="AJ177" i="20"/>
  <c r="Y177" i="20"/>
  <c r="O177" i="20"/>
  <c r="D177" i="20"/>
  <c r="AI177" i="20"/>
  <c r="X177" i="20"/>
  <c r="M177" i="20"/>
  <c r="AE177" i="20"/>
  <c r="T177" i="20"/>
  <c r="I177" i="20"/>
  <c r="AC177" i="20"/>
  <c r="S177" i="20"/>
  <c r="H177" i="20"/>
  <c r="O120" i="20"/>
  <c r="K120" i="20"/>
  <c r="K129" i="20" s="1"/>
  <c r="G120" i="20"/>
  <c r="N120" i="20"/>
  <c r="J120" i="20"/>
  <c r="F120" i="20"/>
  <c r="F129" i="20" s="1"/>
  <c r="M120" i="20"/>
  <c r="E120" i="20"/>
  <c r="L120" i="20"/>
  <c r="D120" i="20"/>
  <c r="I120" i="20"/>
  <c r="I19" i="20"/>
  <c r="H19" i="20"/>
  <c r="H22" i="20" s="1"/>
  <c r="G19" i="20"/>
  <c r="E32" i="20"/>
  <c r="E53" i="20"/>
  <c r="AM128" i="20"/>
  <c r="AI128" i="20"/>
  <c r="AE128" i="20"/>
  <c r="AL128" i="20"/>
  <c r="AH128" i="20"/>
  <c r="AD128" i="20"/>
  <c r="AG128" i="20"/>
  <c r="AF128" i="20"/>
  <c r="AK128" i="20"/>
  <c r="AC128" i="20"/>
  <c r="AM163" i="20"/>
  <c r="AI163" i="20"/>
  <c r="AE163" i="20"/>
  <c r="AA163" i="20"/>
  <c r="W163" i="20"/>
  <c r="S163" i="20"/>
  <c r="O163" i="20"/>
  <c r="K163" i="20"/>
  <c r="G163" i="20"/>
  <c r="AL163" i="20"/>
  <c r="AH163" i="20"/>
  <c r="AD163" i="20"/>
  <c r="Z163" i="20"/>
  <c r="V163" i="20"/>
  <c r="R163" i="20"/>
  <c r="N163" i="20"/>
  <c r="J163" i="20"/>
  <c r="F163" i="20"/>
  <c r="AK163" i="20"/>
  <c r="AC163" i="20"/>
  <c r="U163" i="20"/>
  <c r="M163" i="20"/>
  <c r="E163" i="20"/>
  <c r="AJ163" i="20"/>
  <c r="AJ230" i="20" s="1"/>
  <c r="AJ133" i="20" s="1"/>
  <c r="AB163" i="20"/>
  <c r="T163" i="20"/>
  <c r="L163" i="20"/>
  <c r="D163" i="20"/>
  <c r="AG163" i="20"/>
  <c r="Y163" i="20"/>
  <c r="Q163" i="20"/>
  <c r="I163" i="20"/>
  <c r="T128" i="20"/>
  <c r="I22" i="20"/>
  <c r="J49" i="20"/>
  <c r="AB161" i="20"/>
  <c r="I76" i="20"/>
  <c r="AB237" i="20" s="1"/>
  <c r="AD184" i="20"/>
  <c r="Y184" i="20"/>
  <c r="AL184" i="20"/>
  <c r="V184" i="20"/>
  <c r="AB189" i="20"/>
  <c r="AH191" i="20"/>
  <c r="AJ205" i="20"/>
  <c r="AF205" i="20"/>
  <c r="AB205" i="20"/>
  <c r="X205" i="20"/>
  <c r="T205" i="20"/>
  <c r="P205" i="20"/>
  <c r="L205" i="20"/>
  <c r="H205" i="20"/>
  <c r="D205" i="20"/>
  <c r="D204" i="20"/>
  <c r="D206" i="20" s="1"/>
  <c r="E202" i="20" s="1"/>
  <c r="E204" i="20" s="1"/>
  <c r="AM205" i="20"/>
  <c r="AI205" i="20"/>
  <c r="AE205" i="20"/>
  <c r="AA205" i="20"/>
  <c r="W205" i="20"/>
  <c r="S205" i="20"/>
  <c r="O205" i="20"/>
  <c r="K205" i="20"/>
  <c r="G205" i="20"/>
  <c r="AH205" i="20"/>
  <c r="Z205" i="20"/>
  <c r="R205" i="20"/>
  <c r="J205" i="20"/>
  <c r="AG205" i="20"/>
  <c r="Y205" i="20"/>
  <c r="Q205" i="20"/>
  <c r="I205" i="20"/>
  <c r="AD205" i="20"/>
  <c r="N205" i="20"/>
  <c r="AC205" i="20"/>
  <c r="M205" i="20"/>
  <c r="AL205" i="20"/>
  <c r="F205" i="20"/>
  <c r="AK205" i="20"/>
  <c r="E205" i="20"/>
  <c r="V205" i="20"/>
  <c r="U205" i="20"/>
  <c r="D113" i="20"/>
  <c r="AI121" i="20"/>
  <c r="AJ128" i="20"/>
  <c r="D162" i="20"/>
  <c r="AF163" i="20"/>
  <c r="AM219" i="20"/>
  <c r="AI219" i="20"/>
  <c r="AE219" i="20"/>
  <c r="AA219" i="20"/>
  <c r="W219" i="20"/>
  <c r="S219" i="20"/>
  <c r="O219" i="20"/>
  <c r="K219" i="20"/>
  <c r="G219" i="20"/>
  <c r="AJ219" i="20"/>
  <c r="AD219" i="20"/>
  <c r="Y219" i="20"/>
  <c r="T219" i="20"/>
  <c r="N219" i="20"/>
  <c r="I219" i="20"/>
  <c r="D219" i="20"/>
  <c r="D218" i="20"/>
  <c r="D220" i="20" s="1"/>
  <c r="E216" i="20" s="1"/>
  <c r="E218" i="20" s="1"/>
  <c r="E220" i="20" s="1"/>
  <c r="F216" i="20" s="1"/>
  <c r="F218" i="20" s="1"/>
  <c r="F220" i="20" s="1"/>
  <c r="G216" i="20" s="1"/>
  <c r="G218" i="20" s="1"/>
  <c r="G220" i="20" s="1"/>
  <c r="H216" i="20" s="1"/>
  <c r="H218" i="20" s="1"/>
  <c r="H220" i="20" s="1"/>
  <c r="I216" i="20" s="1"/>
  <c r="I218" i="20" s="1"/>
  <c r="I220" i="20" s="1"/>
  <c r="J216" i="20" s="1"/>
  <c r="J218" i="20" s="1"/>
  <c r="J220" i="20" s="1"/>
  <c r="K216" i="20" s="1"/>
  <c r="K218" i="20" s="1"/>
  <c r="K220" i="20" s="1"/>
  <c r="L216" i="20" s="1"/>
  <c r="L218" i="20" s="1"/>
  <c r="L220" i="20" s="1"/>
  <c r="M216" i="20" s="1"/>
  <c r="M218" i="20" s="1"/>
  <c r="M220" i="20" s="1"/>
  <c r="N216" i="20" s="1"/>
  <c r="N218" i="20" s="1"/>
  <c r="N220" i="20" s="1"/>
  <c r="O216" i="20" s="1"/>
  <c r="O218" i="20" s="1"/>
  <c r="O220" i="20" s="1"/>
  <c r="P216" i="20" s="1"/>
  <c r="P218" i="20" s="1"/>
  <c r="P220" i="20" s="1"/>
  <c r="Q216" i="20" s="1"/>
  <c r="Q218" i="20" s="1"/>
  <c r="Q220" i="20" s="1"/>
  <c r="R216" i="20" s="1"/>
  <c r="R218" i="20" s="1"/>
  <c r="R220" i="20" s="1"/>
  <c r="S216" i="20" s="1"/>
  <c r="S218" i="20" s="1"/>
  <c r="S220" i="20" s="1"/>
  <c r="T216" i="20" s="1"/>
  <c r="T218" i="20" s="1"/>
  <c r="T220" i="20" s="1"/>
  <c r="U216" i="20" s="1"/>
  <c r="U218" i="20" s="1"/>
  <c r="U220" i="20" s="1"/>
  <c r="V216" i="20" s="1"/>
  <c r="V218" i="20" s="1"/>
  <c r="V220" i="20" s="1"/>
  <c r="W216" i="20" s="1"/>
  <c r="W218" i="20" s="1"/>
  <c r="W220" i="20" s="1"/>
  <c r="X216" i="20" s="1"/>
  <c r="X218" i="20" s="1"/>
  <c r="X220" i="20" s="1"/>
  <c r="Y216" i="20" s="1"/>
  <c r="Y218" i="20" s="1"/>
  <c r="Y220" i="20" s="1"/>
  <c r="Z216" i="20" s="1"/>
  <c r="Z218" i="20" s="1"/>
  <c r="Z220" i="20" s="1"/>
  <c r="AA216" i="20" s="1"/>
  <c r="AA218" i="20" s="1"/>
  <c r="AA220" i="20" s="1"/>
  <c r="AB216" i="20" s="1"/>
  <c r="AB218" i="20" s="1"/>
  <c r="AB220" i="20" s="1"/>
  <c r="AC216" i="20" s="1"/>
  <c r="AC218" i="20" s="1"/>
  <c r="AC220" i="20" s="1"/>
  <c r="AD216" i="20" s="1"/>
  <c r="AD218" i="20" s="1"/>
  <c r="AD220" i="20" s="1"/>
  <c r="AE216" i="20" s="1"/>
  <c r="AE218" i="20" s="1"/>
  <c r="AE220" i="20" s="1"/>
  <c r="AF216" i="20" s="1"/>
  <c r="AF218" i="20" s="1"/>
  <c r="AF220" i="20" s="1"/>
  <c r="AG216" i="20" s="1"/>
  <c r="AG218" i="20" s="1"/>
  <c r="AG220" i="20" s="1"/>
  <c r="AH216" i="20" s="1"/>
  <c r="AH218" i="20" s="1"/>
  <c r="AH220" i="20" s="1"/>
  <c r="AI216" i="20" s="1"/>
  <c r="AI218" i="20" s="1"/>
  <c r="AI220" i="20" s="1"/>
  <c r="AJ216" i="20" s="1"/>
  <c r="AJ218" i="20" s="1"/>
  <c r="AJ220" i="20" s="1"/>
  <c r="AK216" i="20" s="1"/>
  <c r="AK218" i="20" s="1"/>
  <c r="AK220" i="20" s="1"/>
  <c r="AL216" i="20" s="1"/>
  <c r="AL218" i="20" s="1"/>
  <c r="AL220" i="20" s="1"/>
  <c r="AM216" i="20" s="1"/>
  <c r="AM218" i="20" s="1"/>
  <c r="AM220" i="20" s="1"/>
  <c r="AH219" i="20"/>
  <c r="AC219" i="20"/>
  <c r="X219" i="20"/>
  <c r="R219" i="20"/>
  <c r="M219" i="20"/>
  <c r="H219" i="20"/>
  <c r="AL219" i="20"/>
  <c r="AB219" i="20"/>
  <c r="Q219" i="20"/>
  <c r="F219" i="20"/>
  <c r="AK219" i="20"/>
  <c r="Z219" i="20"/>
  <c r="P219" i="20"/>
  <c r="E219" i="20"/>
  <c r="AF219" i="20"/>
  <c r="J219" i="20"/>
  <c r="V219" i="20"/>
  <c r="AG219" i="20"/>
  <c r="N121" i="20"/>
  <c r="J121" i="20"/>
  <c r="F121" i="20"/>
  <c r="M121" i="20"/>
  <c r="I121" i="20"/>
  <c r="E121" i="20"/>
  <c r="Y126" i="20"/>
  <c r="U126" i="20"/>
  <c r="Q126" i="20"/>
  <c r="X126" i="20"/>
  <c r="T126" i="20"/>
  <c r="P126" i="20"/>
  <c r="N125" i="20"/>
  <c r="J125" i="20"/>
  <c r="F125" i="20"/>
  <c r="M125" i="20"/>
  <c r="I125" i="20"/>
  <c r="E125" i="20"/>
  <c r="AK170" i="20"/>
  <c r="AG170" i="20"/>
  <c r="AC170" i="20"/>
  <c r="Y170" i="20"/>
  <c r="U170" i="20"/>
  <c r="Q170" i="20"/>
  <c r="M170" i="20"/>
  <c r="I170" i="20"/>
  <c r="E170" i="20"/>
  <c r="AJ170" i="20"/>
  <c r="AE170" i="20"/>
  <c r="Z170" i="20"/>
  <c r="T170" i="20"/>
  <c r="O170" i="20"/>
  <c r="J170" i="20"/>
  <c r="D170" i="20"/>
  <c r="AI170" i="20"/>
  <c r="AD170" i="20"/>
  <c r="X170" i="20"/>
  <c r="X230" i="20" s="1"/>
  <c r="X133" i="20" s="1"/>
  <c r="S170" i="20"/>
  <c r="N170" i="20"/>
  <c r="H170" i="20"/>
  <c r="H230" i="20" s="1"/>
  <c r="H133" i="20" s="1"/>
  <c r="AL198" i="20"/>
  <c r="AH198" i="20"/>
  <c r="AD198" i="20"/>
  <c r="Z198" i="20"/>
  <c r="V198" i="20"/>
  <c r="R198" i="20"/>
  <c r="N198" i="20"/>
  <c r="J198" i="20"/>
  <c r="F198" i="20"/>
  <c r="AI198" i="20"/>
  <c r="AC198" i="20"/>
  <c r="X198" i="20"/>
  <c r="S198" i="20"/>
  <c r="M198" i="20"/>
  <c r="H198" i="20"/>
  <c r="D196" i="20"/>
  <c r="D197" i="20" s="1"/>
  <c r="D199" i="20" s="1"/>
  <c r="E195" i="20" s="1"/>
  <c r="E197" i="20" s="1"/>
  <c r="E199" i="20" s="1"/>
  <c r="F195" i="20" s="1"/>
  <c r="F197" i="20" s="1"/>
  <c r="AM198" i="20"/>
  <c r="AG198" i="20"/>
  <c r="AB198" i="20"/>
  <c r="W198" i="20"/>
  <c r="Q198" i="20"/>
  <c r="L198" i="20"/>
  <c r="G198" i="20"/>
  <c r="AJ198" i="20"/>
  <c r="Y198" i="20"/>
  <c r="O198" i="20"/>
  <c r="D198" i="20"/>
  <c r="AF198" i="20"/>
  <c r="U198" i="20"/>
  <c r="K198" i="20"/>
  <c r="AL226" i="20"/>
  <c r="AH226" i="20"/>
  <c r="AD226" i="20"/>
  <c r="Z226" i="20"/>
  <c r="V226" i="20"/>
  <c r="R226" i="20"/>
  <c r="N226" i="20"/>
  <c r="J226" i="20"/>
  <c r="F226" i="20"/>
  <c r="AK226" i="20"/>
  <c r="AF226" i="20"/>
  <c r="AA226" i="20"/>
  <c r="U226" i="20"/>
  <c r="P226" i="20"/>
  <c r="K226" i="20"/>
  <c r="E226" i="20"/>
  <c r="AJ226" i="20"/>
  <c r="AE226" i="20"/>
  <c r="Y226" i="20"/>
  <c r="T226" i="20"/>
  <c r="O226" i="20"/>
  <c r="I226" i="20"/>
  <c r="D226" i="20"/>
  <c r="AC226" i="20"/>
  <c r="S226" i="20"/>
  <c r="H226" i="20"/>
  <c r="AM226" i="20"/>
  <c r="AB226" i="20"/>
  <c r="Q226" i="20"/>
  <c r="G226" i="20"/>
  <c r="X226" i="20"/>
  <c r="D225" i="20"/>
  <c r="D227" i="20" s="1"/>
  <c r="E223" i="20" s="1"/>
  <c r="E225" i="20" s="1"/>
  <c r="E227" i="20" s="1"/>
  <c r="F223" i="20" s="1"/>
  <c r="F225" i="20" s="1"/>
  <c r="F227" i="20" s="1"/>
  <c r="G223" i="20" s="1"/>
  <c r="G225" i="20" s="1"/>
  <c r="G227" i="20" s="1"/>
  <c r="H223" i="20" s="1"/>
  <c r="H225" i="20" s="1"/>
  <c r="H227" i="20" s="1"/>
  <c r="I223" i="20" s="1"/>
  <c r="I225" i="20" s="1"/>
  <c r="I227" i="20" s="1"/>
  <c r="J223" i="20" s="1"/>
  <c r="J225" i="20" s="1"/>
  <c r="J227" i="20" s="1"/>
  <c r="K223" i="20" s="1"/>
  <c r="K225" i="20" s="1"/>
  <c r="K227" i="20" s="1"/>
  <c r="L223" i="20" s="1"/>
  <c r="L225" i="20" s="1"/>
  <c r="L227" i="20" s="1"/>
  <c r="M223" i="20" s="1"/>
  <c r="M225" i="20" s="1"/>
  <c r="M227" i="20" s="1"/>
  <c r="N223" i="20" s="1"/>
  <c r="N225" i="20" s="1"/>
  <c r="N227" i="20" s="1"/>
  <c r="O223" i="20" s="1"/>
  <c r="O225" i="20" s="1"/>
  <c r="O227" i="20" s="1"/>
  <c r="P223" i="20" s="1"/>
  <c r="P225" i="20" s="1"/>
  <c r="P227" i="20" s="1"/>
  <c r="Q223" i="20" s="1"/>
  <c r="Q225" i="20" s="1"/>
  <c r="Q227" i="20" s="1"/>
  <c r="R223" i="20" s="1"/>
  <c r="R225" i="20" s="1"/>
  <c r="R227" i="20" s="1"/>
  <c r="S223" i="20" s="1"/>
  <c r="S225" i="20" s="1"/>
  <c r="S227" i="20" s="1"/>
  <c r="T223" i="20" s="1"/>
  <c r="T225" i="20" s="1"/>
  <c r="T227" i="20" s="1"/>
  <c r="U223" i="20" s="1"/>
  <c r="U225" i="20" s="1"/>
  <c r="U227" i="20" s="1"/>
  <c r="V223" i="20" s="1"/>
  <c r="V225" i="20" s="1"/>
  <c r="V227" i="20" s="1"/>
  <c r="W223" i="20" s="1"/>
  <c r="W225" i="20" s="1"/>
  <c r="W227" i="20" s="1"/>
  <c r="X223" i="20" s="1"/>
  <c r="X225" i="20" s="1"/>
  <c r="X227" i="20" s="1"/>
  <c r="Y223" i="20" s="1"/>
  <c r="Y225" i="20" s="1"/>
  <c r="Y227" i="20" s="1"/>
  <c r="Z223" i="20" s="1"/>
  <c r="Z225" i="20" s="1"/>
  <c r="Z227" i="20" s="1"/>
  <c r="AA223" i="20" s="1"/>
  <c r="AA225" i="20" s="1"/>
  <c r="AA227" i="20" s="1"/>
  <c r="AB223" i="20" s="1"/>
  <c r="AB225" i="20" s="1"/>
  <c r="AB227" i="20" s="1"/>
  <c r="AC223" i="20" s="1"/>
  <c r="AC225" i="20" s="1"/>
  <c r="AC227" i="20" s="1"/>
  <c r="AD223" i="20" s="1"/>
  <c r="AD225" i="20" s="1"/>
  <c r="AD227" i="20" s="1"/>
  <c r="AE223" i="20" s="1"/>
  <c r="AE225" i="20" s="1"/>
  <c r="AE227" i="20" s="1"/>
  <c r="AF223" i="20" s="1"/>
  <c r="AF225" i="20" s="1"/>
  <c r="AF227" i="20" s="1"/>
  <c r="AG223" i="20" s="1"/>
  <c r="AG225" i="20" s="1"/>
  <c r="W226" i="20"/>
  <c r="M226" i="20"/>
  <c r="L226" i="20"/>
  <c r="H76" i="20"/>
  <c r="P237" i="20" s="1"/>
  <c r="D121" i="20"/>
  <c r="L121" i="20"/>
  <c r="H125" i="20"/>
  <c r="S126" i="20"/>
  <c r="AA126" i="20"/>
  <c r="G170" i="20"/>
  <c r="R170" i="20"/>
  <c r="AB170" i="20"/>
  <c r="AM170" i="20"/>
  <c r="I198" i="20"/>
  <c r="AE198" i="20"/>
  <c r="L123" i="20"/>
  <c r="H123" i="20"/>
  <c r="D123" i="20"/>
  <c r="O123" i="20"/>
  <c r="K123" i="20"/>
  <c r="G123" i="20"/>
  <c r="Z121" i="20"/>
  <c r="V121" i="20"/>
  <c r="R121" i="20"/>
  <c r="Y121" i="20"/>
  <c r="U121" i="20"/>
  <c r="Q121" i="20"/>
  <c r="D53" i="20"/>
  <c r="L127" i="20"/>
  <c r="H127" i="20"/>
  <c r="D127" i="20"/>
  <c r="O127" i="20"/>
  <c r="K127" i="20"/>
  <c r="G127" i="20"/>
  <c r="AK191" i="20"/>
  <c r="AG191" i="20"/>
  <c r="AC191" i="20"/>
  <c r="Y191" i="20"/>
  <c r="U191" i="20"/>
  <c r="Q191" i="20"/>
  <c r="M191" i="20"/>
  <c r="I191" i="20"/>
  <c r="E191" i="20"/>
  <c r="AJ191" i="20"/>
  <c r="AF191" i="20"/>
  <c r="AB191" i="20"/>
  <c r="X191" i="20"/>
  <c r="T191" i="20"/>
  <c r="P191" i="20"/>
  <c r="L191" i="20"/>
  <c r="H191" i="20"/>
  <c r="D191" i="20"/>
  <c r="D190" i="20"/>
  <c r="D192" i="20" s="1"/>
  <c r="E188" i="20" s="1"/>
  <c r="E190" i="20" s="1"/>
  <c r="E192" i="20" s="1"/>
  <c r="F188" i="20" s="1"/>
  <c r="F190" i="20" s="1"/>
  <c r="F192" i="20" s="1"/>
  <c r="G188" i="20" s="1"/>
  <c r="G190" i="20" s="1"/>
  <c r="AM191" i="20"/>
  <c r="AE191" i="20"/>
  <c r="W191" i="20"/>
  <c r="O191" i="20"/>
  <c r="G191" i="20"/>
  <c r="AL191" i="20"/>
  <c r="AD191" i="20"/>
  <c r="V191" i="20"/>
  <c r="N191" i="20"/>
  <c r="F191" i="20"/>
  <c r="G121" i="20"/>
  <c r="O121" i="20"/>
  <c r="W121" i="20"/>
  <c r="J123" i="20"/>
  <c r="K125" i="20"/>
  <c r="V126" i="20"/>
  <c r="F127" i="20"/>
  <c r="N127" i="20"/>
  <c r="D169" i="20"/>
  <c r="K170" i="20"/>
  <c r="V170" i="20"/>
  <c r="AF170" i="20"/>
  <c r="S191" i="20"/>
  <c r="AI191" i="20"/>
  <c r="P198" i="20"/>
  <c r="AK198" i="20"/>
  <c r="L219" i="20"/>
  <c r="AG226" i="20"/>
  <c r="M122" i="20"/>
  <c r="I122" i="20"/>
  <c r="E122" i="20"/>
  <c r="L122" i="20"/>
  <c r="H122" i="20"/>
  <c r="D122" i="20"/>
  <c r="E58" i="20"/>
  <c r="E60" i="20" s="1"/>
  <c r="O128" i="20"/>
  <c r="K128" i="20"/>
  <c r="G128" i="20"/>
  <c r="N128" i="20"/>
  <c r="J128" i="20"/>
  <c r="F128" i="20"/>
  <c r="AJ184" i="20"/>
  <c r="AF184" i="20"/>
  <c r="AB184" i="20"/>
  <c r="X184" i="20"/>
  <c r="T184" i="20"/>
  <c r="P184" i="20"/>
  <c r="L184" i="20"/>
  <c r="H184" i="20"/>
  <c r="D184" i="20"/>
  <c r="D183" i="20"/>
  <c r="D185" i="20" s="1"/>
  <c r="E181" i="20" s="1"/>
  <c r="E183" i="20" s="1"/>
  <c r="E185" i="20" s="1"/>
  <c r="F181" i="20" s="1"/>
  <c r="F183" i="20" s="1"/>
  <c r="F185" i="20" s="1"/>
  <c r="G181" i="20" s="1"/>
  <c r="G183" i="20" s="1"/>
  <c r="AM184" i="20"/>
  <c r="AI184" i="20"/>
  <c r="AE184" i="20"/>
  <c r="AA184" i="20"/>
  <c r="W184" i="20"/>
  <c r="S184" i="20"/>
  <c r="O184" i="20"/>
  <c r="K184" i="20"/>
  <c r="G184" i="20"/>
  <c r="AK184" i="20"/>
  <c r="AC184" i="20"/>
  <c r="U184" i="20"/>
  <c r="M184" i="20"/>
  <c r="E184" i="20"/>
  <c r="AH184" i="20"/>
  <c r="Z184" i="20"/>
  <c r="R184" i="20"/>
  <c r="J184" i="20"/>
  <c r="AL212" i="20"/>
  <c r="AH212" i="20"/>
  <c r="AD212" i="20"/>
  <c r="Z212" i="20"/>
  <c r="V212" i="20"/>
  <c r="R212" i="20"/>
  <c r="N212" i="20"/>
  <c r="J212" i="20"/>
  <c r="F212" i="20"/>
  <c r="AK212" i="20"/>
  <c r="AG212" i="20"/>
  <c r="AC212" i="20"/>
  <c r="Y212" i="20"/>
  <c r="U212" i="20"/>
  <c r="Q212" i="20"/>
  <c r="M212" i="20"/>
  <c r="I212" i="20"/>
  <c r="E212" i="20"/>
  <c r="AM212" i="20"/>
  <c r="AE212" i="20"/>
  <c r="W212" i="20"/>
  <c r="O212" i="20"/>
  <c r="G212" i="20"/>
  <c r="AJ212" i="20"/>
  <c r="AB212" i="20"/>
  <c r="T212" i="20"/>
  <c r="L212" i="20"/>
  <c r="D212" i="20"/>
  <c r="D213" i="20" s="1"/>
  <c r="E209" i="20" s="1"/>
  <c r="E211" i="20" s="1"/>
  <c r="E213" i="20" s="1"/>
  <c r="F209" i="20" s="1"/>
  <c r="F211" i="20" s="1"/>
  <c r="F213" i="20" s="1"/>
  <c r="G209" i="20" s="1"/>
  <c r="G211" i="20" s="1"/>
  <c r="G213" i="20" s="1"/>
  <c r="H209" i="20" s="1"/>
  <c r="H211" i="20" s="1"/>
  <c r="H213" i="20" s="1"/>
  <c r="I209" i="20" s="1"/>
  <c r="I211" i="20" s="1"/>
  <c r="I213" i="20" s="1"/>
  <c r="J209" i="20" s="1"/>
  <c r="J211" i="20" s="1"/>
  <c r="J213" i="20" s="1"/>
  <c r="K209" i="20" s="1"/>
  <c r="K211" i="20" s="1"/>
  <c r="K213" i="20" s="1"/>
  <c r="L209" i="20" s="1"/>
  <c r="L211" i="20" s="1"/>
  <c r="L213" i="20" s="1"/>
  <c r="M209" i="20" s="1"/>
  <c r="M211" i="20" s="1"/>
  <c r="M213" i="20" s="1"/>
  <c r="N209" i="20" s="1"/>
  <c r="N211" i="20" s="1"/>
  <c r="N213" i="20" s="1"/>
  <c r="O209" i="20" s="1"/>
  <c r="O211" i="20" s="1"/>
  <c r="O213" i="20" s="1"/>
  <c r="P209" i="20" s="1"/>
  <c r="P211" i="20" s="1"/>
  <c r="P213" i="20" s="1"/>
  <c r="Q209" i="20" s="1"/>
  <c r="Q211" i="20" s="1"/>
  <c r="Q213" i="20" s="1"/>
  <c r="R209" i="20" s="1"/>
  <c r="R211" i="20" s="1"/>
  <c r="R213" i="20" s="1"/>
  <c r="S209" i="20" s="1"/>
  <c r="S211" i="20" s="1"/>
  <c r="S213" i="20" s="1"/>
  <c r="T209" i="20" s="1"/>
  <c r="T211" i="20" s="1"/>
  <c r="T213" i="20" s="1"/>
  <c r="U209" i="20" s="1"/>
  <c r="U211" i="20" s="1"/>
  <c r="U213" i="20" s="1"/>
  <c r="V209" i="20" s="1"/>
  <c r="V211" i="20" s="1"/>
  <c r="V213" i="20" s="1"/>
  <c r="W209" i="20" s="1"/>
  <c r="W211" i="20" s="1"/>
  <c r="W213" i="20" s="1"/>
  <c r="X209" i="20" s="1"/>
  <c r="X211" i="20" s="1"/>
  <c r="X213" i="20" s="1"/>
  <c r="Y209" i="20" s="1"/>
  <c r="Y211" i="20" s="1"/>
  <c r="Y213" i="20" s="1"/>
  <c r="Z209" i="20" s="1"/>
  <c r="Z211" i="20" s="1"/>
  <c r="Z213" i="20" s="1"/>
  <c r="AA209" i="20" s="1"/>
  <c r="AA211" i="20" s="1"/>
  <c r="AA213" i="20" s="1"/>
  <c r="AB209" i="20" s="1"/>
  <c r="AB211" i="20" s="1"/>
  <c r="AB213" i="20" s="1"/>
  <c r="AC209" i="20" s="1"/>
  <c r="AC211" i="20" s="1"/>
  <c r="AC213" i="20" s="1"/>
  <c r="AD209" i="20" s="1"/>
  <c r="AD211" i="20" s="1"/>
  <c r="AD213" i="20" s="1"/>
  <c r="AE209" i="20" s="1"/>
  <c r="AE211" i="20" s="1"/>
  <c r="AE213" i="20" s="1"/>
  <c r="AF209" i="20" s="1"/>
  <c r="AF211" i="20" s="1"/>
  <c r="AF213" i="20" s="1"/>
  <c r="AG209" i="20" s="1"/>
  <c r="AG211" i="20" s="1"/>
  <c r="AG213" i="20" s="1"/>
  <c r="AH209" i="20" s="1"/>
  <c r="AH211" i="20" s="1"/>
  <c r="AH213" i="20" s="1"/>
  <c r="AI209" i="20" s="1"/>
  <c r="AI211" i="20" s="1"/>
  <c r="AI213" i="20" s="1"/>
  <c r="AJ209" i="20" s="1"/>
  <c r="AJ211" i="20" s="1"/>
  <c r="AJ213" i="20" s="1"/>
  <c r="AK209" i="20" s="1"/>
  <c r="AK211" i="20" s="1"/>
  <c r="AK213" i="20" s="1"/>
  <c r="AL209" i="20" s="1"/>
  <c r="AL211" i="20" s="1"/>
  <c r="AL213" i="20" s="1"/>
  <c r="AM209" i="20" s="1"/>
  <c r="AM211" i="20" s="1"/>
  <c r="AM213" i="20" s="1"/>
  <c r="AA212" i="20"/>
  <c r="K212" i="20"/>
  <c r="X212" i="20"/>
  <c r="H212" i="20"/>
  <c r="H121" i="20"/>
  <c r="H129" i="20" s="1"/>
  <c r="P121" i="20"/>
  <c r="X121" i="20"/>
  <c r="K122" i="20"/>
  <c r="E123" i="20"/>
  <c r="M123" i="20"/>
  <c r="D125" i="20"/>
  <c r="L125" i="20"/>
  <c r="W126" i="20"/>
  <c r="I127" i="20"/>
  <c r="I128" i="20"/>
  <c r="L170" i="20"/>
  <c r="W170" i="20"/>
  <c r="AH170" i="20"/>
  <c r="Q184" i="20"/>
  <c r="AG184" i="20"/>
  <c r="J191" i="20"/>
  <c r="Z191" i="20"/>
  <c r="T198" i="20"/>
  <c r="P212" i="20"/>
  <c r="U219" i="20"/>
  <c r="AI226" i="20"/>
  <c r="AG195" i="21" l="1"/>
  <c r="AG198" i="21" s="1"/>
  <c r="AF202" i="21"/>
  <c r="AF203" i="21" s="1"/>
  <c r="AF205" i="21" s="1"/>
  <c r="AG197" i="21" s="1"/>
  <c r="AF207" i="21"/>
  <c r="AF208" i="21" s="1"/>
  <c r="AD115" i="21"/>
  <c r="AC122" i="21"/>
  <c r="AC123" i="21" s="1"/>
  <c r="AC125" i="21" s="1"/>
  <c r="AD117" i="21" s="1"/>
  <c r="AD127" i="21" s="1"/>
  <c r="AD128" i="21" s="1"/>
  <c r="AG97" i="21"/>
  <c r="AH94" i="21" s="1"/>
  <c r="Z79" i="21"/>
  <c r="Z80" i="21" s="1"/>
  <c r="AA72" i="21"/>
  <c r="AA120" i="20"/>
  <c r="W120" i="20"/>
  <c r="W129" i="20" s="1"/>
  <c r="S120" i="20"/>
  <c r="Z120" i="20"/>
  <c r="V120" i="20"/>
  <c r="V129" i="20" s="1"/>
  <c r="R120" i="20"/>
  <c r="R129" i="20" s="1"/>
  <c r="U120" i="20"/>
  <c r="T120" i="20"/>
  <c r="Y120" i="20"/>
  <c r="Q120" i="20"/>
  <c r="Q129" i="20" s="1"/>
  <c r="P120" i="20"/>
  <c r="X120" i="20"/>
  <c r="X236" i="20"/>
  <c r="H236" i="20"/>
  <c r="AG227" i="20"/>
  <c r="AH223" i="20" s="1"/>
  <c r="AH225" i="20" s="1"/>
  <c r="AH227" i="20" s="1"/>
  <c r="AI223" i="20" s="1"/>
  <c r="AI225" i="20" s="1"/>
  <c r="AI227" i="20" s="1"/>
  <c r="AJ223" i="20" s="1"/>
  <c r="AJ225" i="20" s="1"/>
  <c r="AJ227" i="20" s="1"/>
  <c r="AK223" i="20" s="1"/>
  <c r="AK225" i="20" s="1"/>
  <c r="AK227" i="20" s="1"/>
  <c r="AL223" i="20" s="1"/>
  <c r="AL225" i="20" s="1"/>
  <c r="AL227" i="20" s="1"/>
  <c r="AM223" i="20" s="1"/>
  <c r="AM225" i="20" s="1"/>
  <c r="AM227" i="20" s="1"/>
  <c r="AJ236" i="20"/>
  <c r="N230" i="20"/>
  <c r="N133" i="20" s="1"/>
  <c r="AD230" i="20"/>
  <c r="AD133" i="20" s="1"/>
  <c r="K230" i="20"/>
  <c r="K133" i="20" s="1"/>
  <c r="G185" i="20"/>
  <c r="H181" i="20" s="1"/>
  <c r="H183" i="20" s="1"/>
  <c r="H185" i="20" s="1"/>
  <c r="I181" i="20" s="1"/>
  <c r="I183" i="20" s="1"/>
  <c r="I185" i="20" s="1"/>
  <c r="J181" i="20" s="1"/>
  <c r="J183" i="20" s="1"/>
  <c r="J185" i="20" s="1"/>
  <c r="K181" i="20" s="1"/>
  <c r="K183" i="20" s="1"/>
  <c r="K185" i="20" s="1"/>
  <c r="L181" i="20" s="1"/>
  <c r="L183" i="20" s="1"/>
  <c r="L185" i="20" s="1"/>
  <c r="M181" i="20" s="1"/>
  <c r="M183" i="20" s="1"/>
  <c r="M185" i="20" s="1"/>
  <c r="N181" i="20" s="1"/>
  <c r="N183" i="20" s="1"/>
  <c r="N185" i="20" s="1"/>
  <c r="O181" i="20" s="1"/>
  <c r="O183" i="20" s="1"/>
  <c r="O185" i="20" s="1"/>
  <c r="P181" i="20" s="1"/>
  <c r="P183" i="20" s="1"/>
  <c r="P185" i="20" s="1"/>
  <c r="Q181" i="20" s="1"/>
  <c r="Q183" i="20" s="1"/>
  <c r="Q185" i="20" s="1"/>
  <c r="R181" i="20" s="1"/>
  <c r="R183" i="20" s="1"/>
  <c r="R185" i="20" s="1"/>
  <c r="S181" i="20" s="1"/>
  <c r="S183" i="20" s="1"/>
  <c r="S185" i="20" s="1"/>
  <c r="T181" i="20" s="1"/>
  <c r="T183" i="20" s="1"/>
  <c r="T185" i="20" s="1"/>
  <c r="U181" i="20" s="1"/>
  <c r="U183" i="20" s="1"/>
  <c r="U185" i="20" s="1"/>
  <c r="V181" i="20" s="1"/>
  <c r="V183" i="20" s="1"/>
  <c r="V185" i="20" s="1"/>
  <c r="W181" i="20" s="1"/>
  <c r="W183" i="20" s="1"/>
  <c r="W185" i="20" s="1"/>
  <c r="X181" i="20" s="1"/>
  <c r="X183" i="20" s="1"/>
  <c r="X185" i="20" s="1"/>
  <c r="Y181" i="20" s="1"/>
  <c r="Y183" i="20" s="1"/>
  <c r="Y185" i="20" s="1"/>
  <c r="Z181" i="20" s="1"/>
  <c r="Z183" i="20" s="1"/>
  <c r="Z185" i="20" s="1"/>
  <c r="AA181" i="20" s="1"/>
  <c r="AA183" i="20" s="1"/>
  <c r="AA185" i="20" s="1"/>
  <c r="AB181" i="20" s="1"/>
  <c r="AB183" i="20" s="1"/>
  <c r="AB185" i="20" s="1"/>
  <c r="AC181" i="20" s="1"/>
  <c r="AC183" i="20" s="1"/>
  <c r="AC185" i="20" s="1"/>
  <c r="AD181" i="20" s="1"/>
  <c r="AD183" i="20" s="1"/>
  <c r="AD185" i="20" s="1"/>
  <c r="AE181" i="20" s="1"/>
  <c r="AE183" i="20" s="1"/>
  <c r="AE185" i="20" s="1"/>
  <c r="AF181" i="20" s="1"/>
  <c r="AF183" i="20" s="1"/>
  <c r="AF185" i="20" s="1"/>
  <c r="AG181" i="20" s="1"/>
  <c r="AG183" i="20" s="1"/>
  <c r="AG185" i="20" s="1"/>
  <c r="AH181" i="20" s="1"/>
  <c r="AH183" i="20" s="1"/>
  <c r="AH185" i="20" s="1"/>
  <c r="AI181" i="20" s="1"/>
  <c r="AI183" i="20" s="1"/>
  <c r="AI185" i="20" s="1"/>
  <c r="AJ181" i="20" s="1"/>
  <c r="AJ183" i="20" s="1"/>
  <c r="AJ185" i="20" s="1"/>
  <c r="AK181" i="20" s="1"/>
  <c r="AK183" i="20" s="1"/>
  <c r="AK185" i="20" s="1"/>
  <c r="AL181" i="20" s="1"/>
  <c r="AL183" i="20" s="1"/>
  <c r="AL185" i="20" s="1"/>
  <c r="AM181" i="20" s="1"/>
  <c r="AM183" i="20" s="1"/>
  <c r="AM185" i="20" s="1"/>
  <c r="AJ127" i="20"/>
  <c r="AF127" i="20"/>
  <c r="AB127" i="20"/>
  <c r="AM127" i="20"/>
  <c r="AI127" i="20"/>
  <c r="AE127" i="20"/>
  <c r="AG127" i="20"/>
  <c r="AL127" i="20"/>
  <c r="AD127" i="20"/>
  <c r="AK127" i="20"/>
  <c r="AC127" i="20"/>
  <c r="AH127" i="20"/>
  <c r="D171" i="20"/>
  <c r="E167" i="20" s="1"/>
  <c r="E169" i="20" s="1"/>
  <c r="E171" i="20" s="1"/>
  <c r="F167" i="20" s="1"/>
  <c r="F169" i="20" s="1"/>
  <c r="F171" i="20" s="1"/>
  <c r="G167" i="20" s="1"/>
  <c r="G169" i="20" s="1"/>
  <c r="G171" i="20" s="1"/>
  <c r="H167" i="20" s="1"/>
  <c r="H169" i="20" s="1"/>
  <c r="H171" i="20" s="1"/>
  <c r="I167" i="20" s="1"/>
  <c r="I169" i="20" s="1"/>
  <c r="I171" i="20" s="1"/>
  <c r="J167" i="20" s="1"/>
  <c r="J169" i="20" s="1"/>
  <c r="J171" i="20" s="1"/>
  <c r="K167" i="20" s="1"/>
  <c r="K169" i="20" s="1"/>
  <c r="K171" i="20" s="1"/>
  <c r="L167" i="20" s="1"/>
  <c r="L169" i="20" s="1"/>
  <c r="L171" i="20" s="1"/>
  <c r="M167" i="20" s="1"/>
  <c r="M169" i="20" s="1"/>
  <c r="M171" i="20" s="1"/>
  <c r="N167" i="20" s="1"/>
  <c r="N169" i="20" s="1"/>
  <c r="N171" i="20" s="1"/>
  <c r="O167" i="20" s="1"/>
  <c r="O169" i="20" s="1"/>
  <c r="O171" i="20" s="1"/>
  <c r="P167" i="20" s="1"/>
  <c r="P169" i="20" s="1"/>
  <c r="P171" i="20" s="1"/>
  <c r="Q167" i="20" s="1"/>
  <c r="Q169" i="20" s="1"/>
  <c r="Q171" i="20" s="1"/>
  <c r="R167" i="20" s="1"/>
  <c r="R169" i="20" s="1"/>
  <c r="R171" i="20" s="1"/>
  <c r="S167" i="20" s="1"/>
  <c r="S169" i="20" s="1"/>
  <c r="S171" i="20" s="1"/>
  <c r="T167" i="20" s="1"/>
  <c r="T169" i="20" s="1"/>
  <c r="T171" i="20" s="1"/>
  <c r="U167" i="20" s="1"/>
  <c r="U169" i="20" s="1"/>
  <c r="U171" i="20" s="1"/>
  <c r="V167" i="20" s="1"/>
  <c r="V169" i="20" s="1"/>
  <c r="V171" i="20" s="1"/>
  <c r="W167" i="20" s="1"/>
  <c r="W169" i="20" s="1"/>
  <c r="W171" i="20" s="1"/>
  <c r="X167" i="20" s="1"/>
  <c r="X169" i="20" s="1"/>
  <c r="X171" i="20" s="1"/>
  <c r="Y167" i="20" s="1"/>
  <c r="Y169" i="20" s="1"/>
  <c r="Y171" i="20" s="1"/>
  <c r="Z167" i="20" s="1"/>
  <c r="Z169" i="20" s="1"/>
  <c r="Z171" i="20" s="1"/>
  <c r="AA167" i="20" s="1"/>
  <c r="AA169" i="20" s="1"/>
  <c r="AA171" i="20" s="1"/>
  <c r="AB167" i="20" s="1"/>
  <c r="AB169" i="20" s="1"/>
  <c r="AB171" i="20" s="1"/>
  <c r="AC167" i="20" s="1"/>
  <c r="AC169" i="20" s="1"/>
  <c r="AC171" i="20" s="1"/>
  <c r="AD167" i="20" s="1"/>
  <c r="AD169" i="20" s="1"/>
  <c r="AD171" i="20" s="1"/>
  <c r="AE167" i="20" s="1"/>
  <c r="AE169" i="20" s="1"/>
  <c r="AE171" i="20" s="1"/>
  <c r="AF167" i="20" s="1"/>
  <c r="AF169" i="20" s="1"/>
  <c r="AF171" i="20" s="1"/>
  <c r="AG167" i="20" s="1"/>
  <c r="AG169" i="20" s="1"/>
  <c r="AG171" i="20" s="1"/>
  <c r="AH167" i="20" s="1"/>
  <c r="AH169" i="20" s="1"/>
  <c r="AH171" i="20" s="1"/>
  <c r="AI167" i="20" s="1"/>
  <c r="AI169" i="20" s="1"/>
  <c r="AI171" i="20" s="1"/>
  <c r="AJ167" i="20" s="1"/>
  <c r="AJ169" i="20" s="1"/>
  <c r="AJ171" i="20" s="1"/>
  <c r="AK167" i="20" s="1"/>
  <c r="AK169" i="20" s="1"/>
  <c r="AK171" i="20" s="1"/>
  <c r="AL167" i="20" s="1"/>
  <c r="AL169" i="20" s="1"/>
  <c r="AL171" i="20" s="1"/>
  <c r="AM167" i="20" s="1"/>
  <c r="AM169" i="20" s="1"/>
  <c r="AM171" i="20" s="1"/>
  <c r="E153" i="20"/>
  <c r="F111" i="20"/>
  <c r="E113" i="20"/>
  <c r="P230" i="20"/>
  <c r="P133" i="20" s="1"/>
  <c r="Z125" i="20"/>
  <c r="V125" i="20"/>
  <c r="R125" i="20"/>
  <c r="Y125" i="20"/>
  <c r="U125" i="20"/>
  <c r="Q125" i="20"/>
  <c r="T125" i="20"/>
  <c r="AA125" i="20"/>
  <c r="S125" i="20"/>
  <c r="X125" i="20"/>
  <c r="P125" i="20"/>
  <c r="W125" i="20"/>
  <c r="F199" i="20"/>
  <c r="G195" i="20" s="1"/>
  <c r="G197" i="20" s="1"/>
  <c r="G199" i="20" s="1"/>
  <c r="H195" i="20" s="1"/>
  <c r="H197" i="20" s="1"/>
  <c r="H199" i="20" s="1"/>
  <c r="I195" i="20" s="1"/>
  <c r="I197" i="20" s="1"/>
  <c r="I199" i="20" s="1"/>
  <c r="J195" i="20" s="1"/>
  <c r="J197" i="20" s="1"/>
  <c r="J199" i="20" s="1"/>
  <c r="K195" i="20" s="1"/>
  <c r="K197" i="20" s="1"/>
  <c r="K199" i="20" s="1"/>
  <c r="L195" i="20" s="1"/>
  <c r="L197" i="20" s="1"/>
  <c r="L199" i="20" s="1"/>
  <c r="M195" i="20" s="1"/>
  <c r="M197" i="20" s="1"/>
  <c r="M199" i="20" s="1"/>
  <c r="N195" i="20" s="1"/>
  <c r="N197" i="20" s="1"/>
  <c r="N199" i="20" s="1"/>
  <c r="O195" i="20" s="1"/>
  <c r="O197" i="20" s="1"/>
  <c r="O199" i="20" s="1"/>
  <c r="P195" i="20" s="1"/>
  <c r="P197" i="20" s="1"/>
  <c r="P199" i="20" s="1"/>
  <c r="Q195" i="20" s="1"/>
  <c r="Q197" i="20" s="1"/>
  <c r="Q199" i="20" s="1"/>
  <c r="R195" i="20" s="1"/>
  <c r="R197" i="20" s="1"/>
  <c r="R199" i="20" s="1"/>
  <c r="S195" i="20" s="1"/>
  <c r="S197" i="20" s="1"/>
  <c r="S199" i="20" s="1"/>
  <c r="T195" i="20" s="1"/>
  <c r="T197" i="20" s="1"/>
  <c r="T199" i="20" s="1"/>
  <c r="U195" i="20" s="1"/>
  <c r="U197" i="20" s="1"/>
  <c r="U199" i="20" s="1"/>
  <c r="V195" i="20" s="1"/>
  <c r="V197" i="20" s="1"/>
  <c r="V199" i="20" s="1"/>
  <c r="W195" i="20" s="1"/>
  <c r="W197" i="20" s="1"/>
  <c r="W199" i="20" s="1"/>
  <c r="X195" i="20" s="1"/>
  <c r="X197" i="20" s="1"/>
  <c r="X199" i="20" s="1"/>
  <c r="Y195" i="20" s="1"/>
  <c r="Y197" i="20" s="1"/>
  <c r="Y199" i="20" s="1"/>
  <c r="Z195" i="20" s="1"/>
  <c r="Z197" i="20" s="1"/>
  <c r="Z199" i="20" s="1"/>
  <c r="AA195" i="20" s="1"/>
  <c r="AA197" i="20" s="1"/>
  <c r="AA199" i="20" s="1"/>
  <c r="AB195" i="20" s="1"/>
  <c r="AB197" i="20" s="1"/>
  <c r="AB199" i="20" s="1"/>
  <c r="AC195" i="20" s="1"/>
  <c r="AC197" i="20" s="1"/>
  <c r="AC199" i="20" s="1"/>
  <c r="AD195" i="20" s="1"/>
  <c r="AD197" i="20" s="1"/>
  <c r="AD199" i="20" s="1"/>
  <c r="AE195" i="20" s="1"/>
  <c r="AE197" i="20" s="1"/>
  <c r="AE199" i="20" s="1"/>
  <c r="AF195" i="20" s="1"/>
  <c r="AF197" i="20" s="1"/>
  <c r="AF199" i="20" s="1"/>
  <c r="AG195" i="20" s="1"/>
  <c r="AG197" i="20" s="1"/>
  <c r="AG199" i="20" s="1"/>
  <c r="AH195" i="20" s="1"/>
  <c r="AH197" i="20" s="1"/>
  <c r="AH199" i="20" s="1"/>
  <c r="AI195" i="20" s="1"/>
  <c r="AI197" i="20" s="1"/>
  <c r="AI199" i="20" s="1"/>
  <c r="AJ195" i="20" s="1"/>
  <c r="AJ197" i="20" s="1"/>
  <c r="AJ199" i="20" s="1"/>
  <c r="AK195" i="20" s="1"/>
  <c r="AK197" i="20" s="1"/>
  <c r="AK199" i="20" s="1"/>
  <c r="AL195" i="20" s="1"/>
  <c r="AL197" i="20" s="1"/>
  <c r="AL199" i="20" s="1"/>
  <c r="AM195" i="20" s="1"/>
  <c r="AM197" i="20" s="1"/>
  <c r="AM199" i="20" s="1"/>
  <c r="D164" i="20"/>
  <c r="E160" i="20" s="1"/>
  <c r="E162" i="20" s="1"/>
  <c r="E164" i="20" s="1"/>
  <c r="F160" i="20" s="1"/>
  <c r="F162" i="20" s="1"/>
  <c r="F164" i="20" s="1"/>
  <c r="G160" i="20" s="1"/>
  <c r="G162" i="20" s="1"/>
  <c r="G164" i="20" s="1"/>
  <c r="H160" i="20" s="1"/>
  <c r="H162" i="20" s="1"/>
  <c r="H164" i="20" s="1"/>
  <c r="I160" i="20" s="1"/>
  <c r="I162" i="20" s="1"/>
  <c r="I164" i="20" s="1"/>
  <c r="J160" i="20" s="1"/>
  <c r="J162" i="20" s="1"/>
  <c r="J164" i="20" s="1"/>
  <c r="K160" i="20" s="1"/>
  <c r="K162" i="20" s="1"/>
  <c r="K164" i="20" s="1"/>
  <c r="L160" i="20" s="1"/>
  <c r="L162" i="20" s="1"/>
  <c r="L164" i="20" s="1"/>
  <c r="M160" i="20" s="1"/>
  <c r="M162" i="20" s="1"/>
  <c r="M164" i="20" s="1"/>
  <c r="N160" i="20" s="1"/>
  <c r="N162" i="20" s="1"/>
  <c r="N164" i="20" s="1"/>
  <c r="O160" i="20" s="1"/>
  <c r="O162" i="20" s="1"/>
  <c r="O164" i="20" s="1"/>
  <c r="P160" i="20" s="1"/>
  <c r="P162" i="20" s="1"/>
  <c r="P164" i="20" s="1"/>
  <c r="Q160" i="20" s="1"/>
  <c r="Q162" i="20" s="1"/>
  <c r="Q164" i="20" s="1"/>
  <c r="R160" i="20" s="1"/>
  <c r="R162" i="20" s="1"/>
  <c r="R164" i="20" s="1"/>
  <c r="S160" i="20" s="1"/>
  <c r="S162" i="20" s="1"/>
  <c r="S164" i="20" s="1"/>
  <c r="T160" i="20" s="1"/>
  <c r="T162" i="20" s="1"/>
  <c r="T164" i="20" s="1"/>
  <c r="U160" i="20" s="1"/>
  <c r="U162" i="20" s="1"/>
  <c r="U164" i="20" s="1"/>
  <c r="V160" i="20" s="1"/>
  <c r="V162" i="20" s="1"/>
  <c r="V164" i="20" s="1"/>
  <c r="W160" i="20" s="1"/>
  <c r="W162" i="20" s="1"/>
  <c r="W164" i="20" s="1"/>
  <c r="X160" i="20" s="1"/>
  <c r="X162" i="20" s="1"/>
  <c r="X164" i="20" s="1"/>
  <c r="Y160" i="20" s="1"/>
  <c r="Y162" i="20" s="1"/>
  <c r="Y164" i="20" s="1"/>
  <c r="Z160" i="20" s="1"/>
  <c r="Z162" i="20" s="1"/>
  <c r="Z164" i="20" s="1"/>
  <c r="AA160" i="20" s="1"/>
  <c r="AA162" i="20" s="1"/>
  <c r="AA164" i="20" s="1"/>
  <c r="AB160" i="20" s="1"/>
  <c r="AB162" i="20" s="1"/>
  <c r="AB164" i="20" s="1"/>
  <c r="AC160" i="20" s="1"/>
  <c r="AC162" i="20" s="1"/>
  <c r="AC164" i="20" s="1"/>
  <c r="AD160" i="20" s="1"/>
  <c r="AD162" i="20" s="1"/>
  <c r="AD164" i="20" s="1"/>
  <c r="AE160" i="20" s="1"/>
  <c r="AE162" i="20" s="1"/>
  <c r="AE164" i="20" s="1"/>
  <c r="AF160" i="20" s="1"/>
  <c r="AF162" i="20" s="1"/>
  <c r="AF164" i="20" s="1"/>
  <c r="AG160" i="20" s="1"/>
  <c r="AG162" i="20" s="1"/>
  <c r="AG164" i="20" s="1"/>
  <c r="AH160" i="20" s="1"/>
  <c r="AH162" i="20" s="1"/>
  <c r="AH164" i="20" s="1"/>
  <c r="AI160" i="20" s="1"/>
  <c r="AI162" i="20" s="1"/>
  <c r="AI164" i="20" s="1"/>
  <c r="AJ160" i="20" s="1"/>
  <c r="AJ162" i="20" s="1"/>
  <c r="AJ164" i="20" s="1"/>
  <c r="AK160" i="20" s="1"/>
  <c r="AK162" i="20" s="1"/>
  <c r="AK164" i="20" s="1"/>
  <c r="AL160" i="20" s="1"/>
  <c r="AL162" i="20" s="1"/>
  <c r="AL164" i="20" s="1"/>
  <c r="AM160" i="20" s="1"/>
  <c r="AM162" i="20" s="1"/>
  <c r="AM164" i="20" s="1"/>
  <c r="Y230" i="20"/>
  <c r="Y133" i="20" s="1"/>
  <c r="T230" i="20"/>
  <c r="T133" i="20" s="1"/>
  <c r="M230" i="20"/>
  <c r="M133" i="20" s="1"/>
  <c r="F230" i="20"/>
  <c r="F133" i="20" s="1"/>
  <c r="V230" i="20"/>
  <c r="V133" i="20" s="1"/>
  <c r="AL230" i="20"/>
  <c r="AL133" i="20" s="1"/>
  <c r="S230" i="20"/>
  <c r="S133" i="20" s="1"/>
  <c r="AI230" i="20"/>
  <c r="AI133" i="20" s="1"/>
  <c r="AL125" i="20"/>
  <c r="AH125" i="20"/>
  <c r="AD125" i="20"/>
  <c r="AK125" i="20"/>
  <c r="AG125" i="20"/>
  <c r="AC125" i="20"/>
  <c r="AJ125" i="20"/>
  <c r="AB125" i="20"/>
  <c r="AI125" i="20"/>
  <c r="AF125" i="20"/>
  <c r="AE125" i="20"/>
  <c r="AM125" i="20"/>
  <c r="E129" i="20"/>
  <c r="N129" i="20"/>
  <c r="AM120" i="20"/>
  <c r="AI120" i="20"/>
  <c r="AE120" i="20"/>
  <c r="AL120" i="20"/>
  <c r="AL129" i="20" s="1"/>
  <c r="AH120" i="20"/>
  <c r="AH129" i="20" s="1"/>
  <c r="AD120" i="20"/>
  <c r="AK120" i="20"/>
  <c r="AC120" i="20"/>
  <c r="AJ120" i="20"/>
  <c r="AJ129" i="20" s="1"/>
  <c r="AB120" i="20"/>
  <c r="AG120" i="20"/>
  <c r="AF120" i="20"/>
  <c r="I230" i="20"/>
  <c r="I133" i="20" s="1"/>
  <c r="D230" i="20"/>
  <c r="D133" i="20" s="1"/>
  <c r="AC230" i="20"/>
  <c r="AC133" i="20" s="1"/>
  <c r="AA230" i="20"/>
  <c r="AA133" i="20" s="1"/>
  <c r="D129" i="20"/>
  <c r="G192" i="20"/>
  <c r="H188" i="20" s="1"/>
  <c r="H190" i="20" s="1"/>
  <c r="H192" i="20" s="1"/>
  <c r="I188" i="20" s="1"/>
  <c r="I190" i="20" s="1"/>
  <c r="I192" i="20" s="1"/>
  <c r="J188" i="20" s="1"/>
  <c r="J190" i="20" s="1"/>
  <c r="J192" i="20" s="1"/>
  <c r="K188" i="20" s="1"/>
  <c r="K190" i="20" s="1"/>
  <c r="K192" i="20" s="1"/>
  <c r="L188" i="20" s="1"/>
  <c r="L190" i="20" s="1"/>
  <c r="L192" i="20" s="1"/>
  <c r="M188" i="20" s="1"/>
  <c r="M190" i="20" s="1"/>
  <c r="M192" i="20" s="1"/>
  <c r="N188" i="20" s="1"/>
  <c r="N190" i="20" s="1"/>
  <c r="N192" i="20" s="1"/>
  <c r="O188" i="20" s="1"/>
  <c r="O190" i="20" s="1"/>
  <c r="O192" i="20" s="1"/>
  <c r="P188" i="20" s="1"/>
  <c r="P190" i="20" s="1"/>
  <c r="P192" i="20" s="1"/>
  <c r="Q188" i="20" s="1"/>
  <c r="Q190" i="20" s="1"/>
  <c r="Q192" i="20" s="1"/>
  <c r="R188" i="20" s="1"/>
  <c r="R190" i="20" s="1"/>
  <c r="R192" i="20" s="1"/>
  <c r="S188" i="20" s="1"/>
  <c r="S190" i="20" s="1"/>
  <c r="S192" i="20" s="1"/>
  <c r="T188" i="20" s="1"/>
  <c r="T190" i="20" s="1"/>
  <c r="T192" i="20" s="1"/>
  <c r="U188" i="20" s="1"/>
  <c r="U190" i="20" s="1"/>
  <c r="U192" i="20" s="1"/>
  <c r="V188" i="20" s="1"/>
  <c r="V190" i="20" s="1"/>
  <c r="V192" i="20" s="1"/>
  <c r="W188" i="20" s="1"/>
  <c r="W190" i="20" s="1"/>
  <c r="W192" i="20" s="1"/>
  <c r="X188" i="20" s="1"/>
  <c r="X190" i="20" s="1"/>
  <c r="X192" i="20" s="1"/>
  <c r="Y188" i="20" s="1"/>
  <c r="Y190" i="20" s="1"/>
  <c r="Y192" i="20" s="1"/>
  <c r="Z188" i="20" s="1"/>
  <c r="Z190" i="20" s="1"/>
  <c r="Z192" i="20" s="1"/>
  <c r="AA188" i="20" s="1"/>
  <c r="AA190" i="20" s="1"/>
  <c r="AA192" i="20" s="1"/>
  <c r="AB188" i="20" s="1"/>
  <c r="AB190" i="20" s="1"/>
  <c r="AB192" i="20" s="1"/>
  <c r="AC188" i="20" s="1"/>
  <c r="AC190" i="20" s="1"/>
  <c r="AC192" i="20" s="1"/>
  <c r="AD188" i="20" s="1"/>
  <c r="AD190" i="20" s="1"/>
  <c r="AD192" i="20" s="1"/>
  <c r="AE188" i="20" s="1"/>
  <c r="AE190" i="20" s="1"/>
  <c r="AE192" i="20" s="1"/>
  <c r="AF188" i="20" s="1"/>
  <c r="AF190" i="20" s="1"/>
  <c r="AF192" i="20" s="1"/>
  <c r="AG188" i="20" s="1"/>
  <c r="AG190" i="20" s="1"/>
  <c r="AG192" i="20" s="1"/>
  <c r="AH188" i="20" s="1"/>
  <c r="AH190" i="20" s="1"/>
  <c r="AH192" i="20" s="1"/>
  <c r="AI188" i="20" s="1"/>
  <c r="AI190" i="20" s="1"/>
  <c r="AI192" i="20" s="1"/>
  <c r="AJ188" i="20" s="1"/>
  <c r="AJ190" i="20" s="1"/>
  <c r="AJ192" i="20" s="1"/>
  <c r="AK188" i="20" s="1"/>
  <c r="AK190" i="20" s="1"/>
  <c r="AK192" i="20" s="1"/>
  <c r="AL188" i="20" s="1"/>
  <c r="AL190" i="20" s="1"/>
  <c r="AL192" i="20" s="1"/>
  <c r="AM188" i="20" s="1"/>
  <c r="AM190" i="20" s="1"/>
  <c r="AM192" i="20" s="1"/>
  <c r="AF230" i="20"/>
  <c r="AF133" i="20" s="1"/>
  <c r="E206" i="20"/>
  <c r="F202" i="20" s="1"/>
  <c r="F204" i="20" s="1"/>
  <c r="F206" i="20" s="1"/>
  <c r="G202" i="20" s="1"/>
  <c r="G204" i="20" s="1"/>
  <c r="G206" i="20" s="1"/>
  <c r="H202" i="20" s="1"/>
  <c r="H204" i="20" s="1"/>
  <c r="H206" i="20" s="1"/>
  <c r="I202" i="20" s="1"/>
  <c r="I204" i="20" s="1"/>
  <c r="I206" i="20" s="1"/>
  <c r="J202" i="20" s="1"/>
  <c r="J204" i="20" s="1"/>
  <c r="J206" i="20" s="1"/>
  <c r="K202" i="20" s="1"/>
  <c r="K204" i="20" s="1"/>
  <c r="K206" i="20" s="1"/>
  <c r="L202" i="20" s="1"/>
  <c r="L204" i="20" s="1"/>
  <c r="L206" i="20" s="1"/>
  <c r="M202" i="20" s="1"/>
  <c r="M204" i="20" s="1"/>
  <c r="M206" i="20" s="1"/>
  <c r="N202" i="20" s="1"/>
  <c r="N204" i="20" s="1"/>
  <c r="N206" i="20" s="1"/>
  <c r="O202" i="20" s="1"/>
  <c r="O204" i="20" s="1"/>
  <c r="O206" i="20" s="1"/>
  <c r="P202" i="20" s="1"/>
  <c r="P204" i="20" s="1"/>
  <c r="P206" i="20" s="1"/>
  <c r="Q202" i="20" s="1"/>
  <c r="Q204" i="20" s="1"/>
  <c r="Q206" i="20" s="1"/>
  <c r="R202" i="20" s="1"/>
  <c r="R204" i="20" s="1"/>
  <c r="R206" i="20" s="1"/>
  <c r="S202" i="20" s="1"/>
  <c r="S204" i="20" s="1"/>
  <c r="S206" i="20" s="1"/>
  <c r="T202" i="20" s="1"/>
  <c r="T204" i="20" s="1"/>
  <c r="T206" i="20" s="1"/>
  <c r="U202" i="20" s="1"/>
  <c r="U204" i="20" s="1"/>
  <c r="U206" i="20" s="1"/>
  <c r="V202" i="20" s="1"/>
  <c r="V204" i="20" s="1"/>
  <c r="V206" i="20" s="1"/>
  <c r="W202" i="20" s="1"/>
  <c r="W204" i="20" s="1"/>
  <c r="W206" i="20" s="1"/>
  <c r="X202" i="20" s="1"/>
  <c r="X204" i="20" s="1"/>
  <c r="X206" i="20" s="1"/>
  <c r="Y202" i="20" s="1"/>
  <c r="Y204" i="20" s="1"/>
  <c r="Y206" i="20" s="1"/>
  <c r="Z202" i="20" s="1"/>
  <c r="Z204" i="20" s="1"/>
  <c r="Z206" i="20" s="1"/>
  <c r="AA202" i="20" s="1"/>
  <c r="AA204" i="20" s="1"/>
  <c r="AA206" i="20" s="1"/>
  <c r="AB202" i="20" s="1"/>
  <c r="AB204" i="20" s="1"/>
  <c r="AB206" i="20" s="1"/>
  <c r="AC202" i="20" s="1"/>
  <c r="AC204" i="20" s="1"/>
  <c r="AC206" i="20" s="1"/>
  <c r="AD202" i="20" s="1"/>
  <c r="AD204" i="20" s="1"/>
  <c r="AD206" i="20" s="1"/>
  <c r="AE202" i="20" s="1"/>
  <c r="AE204" i="20" s="1"/>
  <c r="AE206" i="20" s="1"/>
  <c r="AF202" i="20" s="1"/>
  <c r="AF204" i="20" s="1"/>
  <c r="AF206" i="20" s="1"/>
  <c r="AG202" i="20" s="1"/>
  <c r="AG204" i="20" s="1"/>
  <c r="AG206" i="20" s="1"/>
  <c r="AH202" i="20" s="1"/>
  <c r="AH204" i="20" s="1"/>
  <c r="AH206" i="20" s="1"/>
  <c r="AI202" i="20" s="1"/>
  <c r="AI204" i="20" s="1"/>
  <c r="AI206" i="20" s="1"/>
  <c r="AJ202" i="20" s="1"/>
  <c r="AJ204" i="20" s="1"/>
  <c r="AJ206" i="20" s="1"/>
  <c r="AK202" i="20" s="1"/>
  <c r="AK204" i="20" s="1"/>
  <c r="AK206" i="20" s="1"/>
  <c r="AL202" i="20" s="1"/>
  <c r="AL204" i="20" s="1"/>
  <c r="AL206" i="20" s="1"/>
  <c r="AM202" i="20" s="1"/>
  <c r="AM204" i="20" s="1"/>
  <c r="AM206" i="20" s="1"/>
  <c r="Q230" i="20"/>
  <c r="Q133" i="20" s="1"/>
  <c r="L230" i="20"/>
  <c r="L133" i="20" s="1"/>
  <c r="E230" i="20"/>
  <c r="E133" i="20" s="1"/>
  <c r="AK230" i="20"/>
  <c r="AK133" i="20" s="1"/>
  <c r="R230" i="20"/>
  <c r="R133" i="20" s="1"/>
  <c r="AH230" i="20"/>
  <c r="AH133" i="20" s="1"/>
  <c r="O230" i="20"/>
  <c r="O133" i="20" s="1"/>
  <c r="AE230" i="20"/>
  <c r="AE133" i="20" s="1"/>
  <c r="L129" i="20"/>
  <c r="J129" i="20"/>
  <c r="O129" i="20"/>
  <c r="AK126" i="20"/>
  <c r="AG126" i="20"/>
  <c r="AC126" i="20"/>
  <c r="AJ126" i="20"/>
  <c r="AF126" i="20"/>
  <c r="AB126" i="20"/>
  <c r="AM126" i="20"/>
  <c r="AE126" i="20"/>
  <c r="AL126" i="20"/>
  <c r="AD126" i="20"/>
  <c r="AI126" i="20"/>
  <c r="AH126" i="20"/>
  <c r="AG230" i="20"/>
  <c r="AG133" i="20" s="1"/>
  <c r="AB230" i="20"/>
  <c r="AB133" i="20" s="1"/>
  <c r="U230" i="20"/>
  <c r="U133" i="20" s="1"/>
  <c r="J230" i="20"/>
  <c r="J133" i="20" s="1"/>
  <c r="Z230" i="20"/>
  <c r="Z133" i="20" s="1"/>
  <c r="G230" i="20"/>
  <c r="G133" i="20" s="1"/>
  <c r="W230" i="20"/>
  <c r="W133" i="20" s="1"/>
  <c r="AM230" i="20"/>
  <c r="AM133" i="20" s="1"/>
  <c r="AK122" i="20"/>
  <c r="AG122" i="20"/>
  <c r="AC122" i="20"/>
  <c r="AJ122" i="20"/>
  <c r="AF122" i="20"/>
  <c r="AB122" i="20"/>
  <c r="AI122" i="20"/>
  <c r="AH122" i="20"/>
  <c r="AM122" i="20"/>
  <c r="AE122" i="20"/>
  <c r="AD122" i="20"/>
  <c r="AL122" i="20"/>
  <c r="I129" i="20"/>
  <c r="M129" i="20"/>
  <c r="G129" i="20"/>
  <c r="D178" i="20"/>
  <c r="E174" i="20" s="1"/>
  <c r="E176" i="20" s="1"/>
  <c r="E178" i="20" s="1"/>
  <c r="F174" i="20" s="1"/>
  <c r="F176" i="20" s="1"/>
  <c r="F178" i="20" s="1"/>
  <c r="G174" i="20" s="1"/>
  <c r="G176" i="20" s="1"/>
  <c r="G178" i="20" s="1"/>
  <c r="H174" i="20" s="1"/>
  <c r="H176" i="20" s="1"/>
  <c r="H178" i="20" s="1"/>
  <c r="I174" i="20" s="1"/>
  <c r="I176" i="20" s="1"/>
  <c r="I178" i="20" s="1"/>
  <c r="J174" i="20" s="1"/>
  <c r="J176" i="20" s="1"/>
  <c r="J178" i="20" s="1"/>
  <c r="K174" i="20" s="1"/>
  <c r="K176" i="20" s="1"/>
  <c r="K178" i="20" s="1"/>
  <c r="L174" i="20" s="1"/>
  <c r="L176" i="20" s="1"/>
  <c r="L178" i="20" s="1"/>
  <c r="M174" i="20" s="1"/>
  <c r="M176" i="20" s="1"/>
  <c r="M178" i="20" s="1"/>
  <c r="N174" i="20" s="1"/>
  <c r="N176" i="20" s="1"/>
  <c r="N178" i="20" s="1"/>
  <c r="O174" i="20" s="1"/>
  <c r="O176" i="20" s="1"/>
  <c r="O178" i="20" s="1"/>
  <c r="P174" i="20" s="1"/>
  <c r="P176" i="20" s="1"/>
  <c r="P178" i="20" s="1"/>
  <c r="Q174" i="20" s="1"/>
  <c r="Q176" i="20" s="1"/>
  <c r="Q178" i="20" s="1"/>
  <c r="R174" i="20" s="1"/>
  <c r="R176" i="20" s="1"/>
  <c r="R178" i="20" s="1"/>
  <c r="S174" i="20" s="1"/>
  <c r="S176" i="20" s="1"/>
  <c r="S178" i="20" s="1"/>
  <c r="T174" i="20" s="1"/>
  <c r="T176" i="20" s="1"/>
  <c r="T178" i="20" s="1"/>
  <c r="U174" i="20" s="1"/>
  <c r="U176" i="20" s="1"/>
  <c r="U178" i="20" s="1"/>
  <c r="V174" i="20" s="1"/>
  <c r="V176" i="20" s="1"/>
  <c r="V178" i="20" s="1"/>
  <c r="W174" i="20" s="1"/>
  <c r="W176" i="20" s="1"/>
  <c r="W178" i="20" s="1"/>
  <c r="X174" i="20" s="1"/>
  <c r="X176" i="20" s="1"/>
  <c r="X178" i="20" s="1"/>
  <c r="Y174" i="20" s="1"/>
  <c r="Y176" i="20" s="1"/>
  <c r="Y178" i="20" s="1"/>
  <c r="Z174" i="20" s="1"/>
  <c r="Z176" i="20" s="1"/>
  <c r="Z178" i="20" s="1"/>
  <c r="AA174" i="20" s="1"/>
  <c r="AA176" i="20" s="1"/>
  <c r="AA178" i="20" s="1"/>
  <c r="AB174" i="20" s="1"/>
  <c r="AB176" i="20" s="1"/>
  <c r="AB178" i="20" s="1"/>
  <c r="AC174" i="20" s="1"/>
  <c r="AC176" i="20" s="1"/>
  <c r="AC178" i="20" s="1"/>
  <c r="AD174" i="20" s="1"/>
  <c r="AD176" i="20" s="1"/>
  <c r="AD178" i="20" s="1"/>
  <c r="AE174" i="20" s="1"/>
  <c r="AE176" i="20" s="1"/>
  <c r="AE178" i="20" s="1"/>
  <c r="AF174" i="20" s="1"/>
  <c r="AF176" i="20" s="1"/>
  <c r="AF178" i="20" s="1"/>
  <c r="AG174" i="20" s="1"/>
  <c r="AG176" i="20" s="1"/>
  <c r="AG178" i="20" s="1"/>
  <c r="AH174" i="20" s="1"/>
  <c r="AH176" i="20" s="1"/>
  <c r="AH178" i="20" s="1"/>
  <c r="AI174" i="20" s="1"/>
  <c r="AI176" i="20" s="1"/>
  <c r="AI178" i="20" s="1"/>
  <c r="AJ174" i="20" s="1"/>
  <c r="AJ176" i="20" s="1"/>
  <c r="AJ178" i="20" s="1"/>
  <c r="AK174" i="20" s="1"/>
  <c r="AK176" i="20" s="1"/>
  <c r="AK178" i="20" s="1"/>
  <c r="AL174" i="20" s="1"/>
  <c r="AL176" i="20" s="1"/>
  <c r="AL178" i="20" s="1"/>
  <c r="AM174" i="20" s="1"/>
  <c r="AM176" i="20" s="1"/>
  <c r="AM178" i="20" s="1"/>
  <c r="AG207" i="21" l="1"/>
  <c r="AG208" i="21" s="1"/>
  <c r="AG202" i="21"/>
  <c r="AG203" i="21" s="1"/>
  <c r="AG205" i="21" s="1"/>
  <c r="AH197" i="21" s="1"/>
  <c r="AH195" i="21"/>
  <c r="AD118" i="21"/>
  <c r="AG101" i="21"/>
  <c r="AG102" i="21" s="1"/>
  <c r="AG104" i="21" s="1"/>
  <c r="AH96" i="21" s="1"/>
  <c r="AH106" i="21" s="1"/>
  <c r="AH107" i="21" s="1"/>
  <c r="Z82" i="21"/>
  <c r="AA74" i="21" s="1"/>
  <c r="AA75" i="21" s="1"/>
  <c r="K236" i="20"/>
  <c r="G236" i="20"/>
  <c r="AB236" i="20"/>
  <c r="AH236" i="20"/>
  <c r="L236" i="20"/>
  <c r="AA236" i="20"/>
  <c r="AL236" i="20"/>
  <c r="AD236" i="20"/>
  <c r="Y129" i="20"/>
  <c r="AA129" i="20"/>
  <c r="Z236" i="20"/>
  <c r="AG236" i="20"/>
  <c r="R236" i="20"/>
  <c r="Q236" i="20"/>
  <c r="AC236" i="20"/>
  <c r="AG129" i="20"/>
  <c r="AK129" i="20"/>
  <c r="AE129" i="20"/>
  <c r="V236" i="20"/>
  <c r="Y236" i="20"/>
  <c r="N236" i="20"/>
  <c r="X129" i="20"/>
  <c r="T129" i="20"/>
  <c r="Z129" i="20"/>
  <c r="W236" i="20"/>
  <c r="U236" i="20"/>
  <c r="O236" i="20"/>
  <c r="E236" i="20"/>
  <c r="AF236" i="20"/>
  <c r="I236" i="20"/>
  <c r="AM129" i="20"/>
  <c r="S236" i="20"/>
  <c r="M236" i="20"/>
  <c r="AF129" i="20"/>
  <c r="AC129" i="20"/>
  <c r="T236" i="20"/>
  <c r="P236" i="20"/>
  <c r="AM236" i="20"/>
  <c r="J236" i="20"/>
  <c r="AE236" i="20"/>
  <c r="AK236" i="20"/>
  <c r="D236" i="20"/>
  <c r="AB129" i="20"/>
  <c r="AD129" i="20"/>
  <c r="AI129" i="20"/>
  <c r="AI236" i="20"/>
  <c r="F236" i="20"/>
  <c r="F153" i="20"/>
  <c r="G111" i="20"/>
  <c r="F113" i="20"/>
  <c r="P129" i="20"/>
  <c r="U129" i="20"/>
  <c r="S129" i="20"/>
  <c r="AH198" i="21" l="1"/>
  <c r="AD122" i="21"/>
  <c r="AD123" i="21" s="1"/>
  <c r="AD125" i="21" s="1"/>
  <c r="AE117" i="21" s="1"/>
  <c r="AE127" i="21" s="1"/>
  <c r="AE128" i="21" s="1"/>
  <c r="AE115" i="21"/>
  <c r="AH97" i="21"/>
  <c r="AI94" i="21" s="1"/>
  <c r="AB72" i="21"/>
  <c r="AA79" i="21"/>
  <c r="AA80" i="21" s="1"/>
  <c r="G113" i="20"/>
  <c r="H111" i="20"/>
  <c r="G153" i="20"/>
  <c r="AH202" i="21" l="1"/>
  <c r="AH203" i="21" s="1"/>
  <c r="AH205" i="21" s="1"/>
  <c r="AI197" i="21" s="1"/>
  <c r="AH207" i="21"/>
  <c r="AH208" i="21" s="1"/>
  <c r="AI195" i="21"/>
  <c r="AH101" i="21"/>
  <c r="AH102" i="21" s="1"/>
  <c r="AH104" i="21" s="1"/>
  <c r="AI96" i="21" s="1"/>
  <c r="AI106" i="21" s="1"/>
  <c r="AI107" i="21" s="1"/>
  <c r="AE118" i="21"/>
  <c r="AE122" i="21" s="1"/>
  <c r="AE123" i="21" s="1"/>
  <c r="AE125" i="21" s="1"/>
  <c r="AF117" i="21" s="1"/>
  <c r="AF127" i="21" s="1"/>
  <c r="AF128" i="21" s="1"/>
  <c r="AA82" i="21"/>
  <c r="AB74" i="21" s="1"/>
  <c r="AB75" i="21" s="1"/>
  <c r="H153" i="20"/>
  <c r="I111" i="20"/>
  <c r="H113" i="20"/>
  <c r="AI198" i="21" l="1"/>
  <c r="AF115" i="21"/>
  <c r="AF118" i="21" s="1"/>
  <c r="AF122" i="21" s="1"/>
  <c r="AF123" i="21" s="1"/>
  <c r="AF125" i="21" s="1"/>
  <c r="AI97" i="21"/>
  <c r="AI101" i="21" s="1"/>
  <c r="AI102" i="21" s="1"/>
  <c r="AI104" i="21" s="1"/>
  <c r="AJ96" i="21" s="1"/>
  <c r="AJ106" i="21" s="1"/>
  <c r="AJ107" i="21" s="1"/>
  <c r="AB79" i="21"/>
  <c r="AB80" i="21" s="1"/>
  <c r="AC72" i="21"/>
  <c r="I153" i="20"/>
  <c r="J111" i="20"/>
  <c r="I113" i="20"/>
  <c r="AI207" i="21" l="1"/>
  <c r="AI208" i="21" s="1"/>
  <c r="AI202" i="21"/>
  <c r="AI203" i="21" s="1"/>
  <c r="AI205" i="21" s="1"/>
  <c r="AJ197" i="21" s="1"/>
  <c r="AJ195" i="21"/>
  <c r="AJ94" i="21"/>
  <c r="AJ97" i="21" s="1"/>
  <c r="AJ101" i="21" s="1"/>
  <c r="AJ102" i="21" s="1"/>
  <c r="AJ104" i="21" s="1"/>
  <c r="AK96" i="21" s="1"/>
  <c r="AK106" i="21" s="1"/>
  <c r="AK107" i="21" s="1"/>
  <c r="AG127" i="21"/>
  <c r="AG128" i="21" s="1"/>
  <c r="AG118" i="21"/>
  <c r="AB82" i="21"/>
  <c r="AC74" i="21" s="1"/>
  <c r="AC75" i="21" s="1"/>
  <c r="J153" i="20"/>
  <c r="K111" i="20"/>
  <c r="J113" i="20"/>
  <c r="AJ198" i="21" l="1"/>
  <c r="AK94" i="21"/>
  <c r="AK97" i="21" s="1"/>
  <c r="AK101" i="21" s="1"/>
  <c r="AK102" i="21" s="1"/>
  <c r="AK104" i="21" s="1"/>
  <c r="AL96" i="21" s="1"/>
  <c r="AL106" i="21" s="1"/>
  <c r="AL107" i="21" s="1"/>
  <c r="AH115" i="21"/>
  <c r="AG122" i="21"/>
  <c r="AG123" i="21" s="1"/>
  <c r="AG125" i="21" s="1"/>
  <c r="AH117" i="21" s="1"/>
  <c r="AH127" i="21" s="1"/>
  <c r="AH128" i="21" s="1"/>
  <c r="AD72" i="21"/>
  <c r="AC79" i="21"/>
  <c r="AC80" i="21" s="1"/>
  <c r="K113" i="20"/>
  <c r="K153" i="20"/>
  <c r="L111" i="20"/>
  <c r="AJ207" i="21" l="1"/>
  <c r="AJ208" i="21" s="1"/>
  <c r="AK195" i="21"/>
  <c r="AJ202" i="21"/>
  <c r="AJ203" i="21" s="1"/>
  <c r="AJ205" i="21" s="1"/>
  <c r="AK197" i="21" s="1"/>
  <c r="AL94" i="21"/>
  <c r="AL97" i="21" s="1"/>
  <c r="AM94" i="21" s="1"/>
  <c r="AH118" i="21"/>
  <c r="AC82" i="21"/>
  <c r="AD74" i="21" s="1"/>
  <c r="AD75" i="21" s="1"/>
  <c r="L153" i="20"/>
  <c r="M111" i="20"/>
  <c r="L113" i="20"/>
  <c r="AK198" i="21" l="1"/>
  <c r="AL101" i="21"/>
  <c r="AL102" i="21" s="1"/>
  <c r="AL104" i="21" s="1"/>
  <c r="AM96" i="21" s="1"/>
  <c r="AM106" i="21" s="1"/>
  <c r="AM107" i="21" s="1"/>
  <c r="AI115" i="21"/>
  <c r="AH122" i="21"/>
  <c r="AH123" i="21" s="1"/>
  <c r="AH125" i="21" s="1"/>
  <c r="AI117" i="21" s="1"/>
  <c r="AI127" i="21" s="1"/>
  <c r="AI128" i="21" s="1"/>
  <c r="AE72" i="21"/>
  <c r="AD79" i="21"/>
  <c r="AD80" i="21" s="1"/>
  <c r="M153" i="20"/>
  <c r="N111" i="20"/>
  <c r="M113" i="20"/>
  <c r="AK207" i="21" l="1"/>
  <c r="AK208" i="21" s="1"/>
  <c r="AL195" i="21"/>
  <c r="AK202" i="21"/>
  <c r="AK203" i="21" s="1"/>
  <c r="AK205" i="21" s="1"/>
  <c r="AL197" i="21" s="1"/>
  <c r="AM97" i="21"/>
  <c r="AM101" i="21" s="1"/>
  <c r="AM102" i="21" s="1"/>
  <c r="AM104" i="21" s="1"/>
  <c r="AN96" i="21" s="1"/>
  <c r="AN106" i="21" s="1"/>
  <c r="AN107" i="21" s="1"/>
  <c r="AI118" i="21"/>
  <c r="AD82" i="21"/>
  <c r="AE74" i="21" s="1"/>
  <c r="AE75" i="21" s="1"/>
  <c r="N153" i="20"/>
  <c r="O111" i="20"/>
  <c r="N113" i="20"/>
  <c r="AL198" i="21" l="1"/>
  <c r="AN94" i="21"/>
  <c r="AN97" i="21" s="1"/>
  <c r="AN101" i="21" s="1"/>
  <c r="AN102" i="21" s="1"/>
  <c r="AN104" i="21" s="1"/>
  <c r="AO96" i="21" s="1"/>
  <c r="AO106" i="21" s="1"/>
  <c r="AO107" i="21" s="1"/>
  <c r="AI122" i="21"/>
  <c r="AI123" i="21" s="1"/>
  <c r="AI125" i="21" s="1"/>
  <c r="AJ117" i="21" s="1"/>
  <c r="AJ127" i="21" s="1"/>
  <c r="AJ128" i="21" s="1"/>
  <c r="AJ115" i="21"/>
  <c r="AE79" i="21"/>
  <c r="AE80" i="21" s="1"/>
  <c r="AF72" i="21"/>
  <c r="O113" i="20"/>
  <c r="P111" i="20"/>
  <c r="O153" i="20"/>
  <c r="AL207" i="21" l="1"/>
  <c r="AL208" i="21" s="1"/>
  <c r="AL202" i="21"/>
  <c r="AL203" i="21" s="1"/>
  <c r="AL205" i="21" s="1"/>
  <c r="AM197" i="21" s="1"/>
  <c r="AM195" i="21"/>
  <c r="AJ118" i="21"/>
  <c r="AJ122" i="21" s="1"/>
  <c r="AJ123" i="21" s="1"/>
  <c r="AJ125" i="21" s="1"/>
  <c r="AK117" i="21" s="1"/>
  <c r="AK127" i="21" s="1"/>
  <c r="AK128" i="21" s="1"/>
  <c r="AO94" i="21"/>
  <c r="AO97" i="21" s="1"/>
  <c r="AE82" i="21"/>
  <c r="AF74" i="21" s="1"/>
  <c r="AF75" i="21" s="1"/>
  <c r="P153" i="20"/>
  <c r="Q111" i="20"/>
  <c r="P113" i="20"/>
  <c r="AM198" i="21" l="1"/>
  <c r="AM207" i="21" s="1"/>
  <c r="AM208" i="21" s="1"/>
  <c r="AK115" i="21"/>
  <c r="AK118" i="21" s="1"/>
  <c r="AO101" i="21"/>
  <c r="AO102" i="21" s="1"/>
  <c r="AO104" i="21" s="1"/>
  <c r="AP96" i="21" s="1"/>
  <c r="AP106" i="21" s="1"/>
  <c r="AP107" i="21" s="1"/>
  <c r="AP94" i="21"/>
  <c r="AF79" i="21"/>
  <c r="AF80" i="21" s="1"/>
  <c r="Q153" i="20"/>
  <c r="R111" i="20"/>
  <c r="Q113" i="20"/>
  <c r="AN195" i="21" l="1"/>
  <c r="AM202" i="21"/>
  <c r="AM203" i="21" s="1"/>
  <c r="AM205" i="21" s="1"/>
  <c r="AN197" i="21" s="1"/>
  <c r="AL115" i="21"/>
  <c r="AK122" i="21"/>
  <c r="AK123" i="21" s="1"/>
  <c r="AK125" i="21" s="1"/>
  <c r="AL117" i="21" s="1"/>
  <c r="AL127" i="21" s="1"/>
  <c r="AL128" i="21" s="1"/>
  <c r="AP97" i="21"/>
  <c r="AF82" i="21"/>
  <c r="AG75" i="21" s="1"/>
  <c r="R153" i="20"/>
  <c r="S111" i="20"/>
  <c r="R113" i="20"/>
  <c r="AN198" i="21" l="1"/>
  <c r="AN202" i="21" s="1"/>
  <c r="AN203" i="21" s="1"/>
  <c r="AN205" i="21" s="1"/>
  <c r="AO197" i="21" s="1"/>
  <c r="AL118" i="21"/>
  <c r="AM115" i="21" s="1"/>
  <c r="AP101" i="21"/>
  <c r="AP102" i="21" s="1"/>
  <c r="AP104" i="21" s="1"/>
  <c r="AQ96" i="21" s="1"/>
  <c r="AQ106" i="21" s="1"/>
  <c r="AQ107" i="21" s="1"/>
  <c r="AQ94" i="21"/>
  <c r="AG79" i="21"/>
  <c r="AG80" i="21" s="1"/>
  <c r="AH72" i="21"/>
  <c r="S113" i="20"/>
  <c r="S153" i="20"/>
  <c r="T111" i="20"/>
  <c r="AN207" i="21" l="1"/>
  <c r="AN208" i="21" s="1"/>
  <c r="AO195" i="21"/>
  <c r="AO198" i="21" s="1"/>
  <c r="AP195" i="21" s="1"/>
  <c r="AL122" i="21"/>
  <c r="AL123" i="21" s="1"/>
  <c r="AL125" i="21" s="1"/>
  <c r="AM117" i="21" s="1"/>
  <c r="AM127" i="21" s="1"/>
  <c r="AM128" i="21" s="1"/>
  <c r="AQ97" i="21"/>
  <c r="AQ101" i="21" s="1"/>
  <c r="AQ102" i="21" s="1"/>
  <c r="AQ104" i="21" s="1"/>
  <c r="AR96" i="21" s="1"/>
  <c r="AR106" i="21" s="1"/>
  <c r="AR107" i="21" s="1"/>
  <c r="AG82" i="21"/>
  <c r="AH74" i="21" s="1"/>
  <c r="AH75" i="21" s="1"/>
  <c r="T153" i="20"/>
  <c r="U111" i="20"/>
  <c r="T113" i="20"/>
  <c r="AO207" i="21" l="1"/>
  <c r="AO208" i="21" s="1"/>
  <c r="AO202" i="21"/>
  <c r="AO203" i="21" s="1"/>
  <c r="AO205" i="21" s="1"/>
  <c r="AP197" i="21" s="1"/>
  <c r="AP198" i="21" s="1"/>
  <c r="AM118" i="21"/>
  <c r="AM122" i="21" s="1"/>
  <c r="AM123" i="21" s="1"/>
  <c r="AM125" i="21" s="1"/>
  <c r="AN117" i="21" s="1"/>
  <c r="AN127" i="21" s="1"/>
  <c r="AN128" i="21" s="1"/>
  <c r="AR94" i="21"/>
  <c r="AR97" i="21" s="1"/>
  <c r="AR101" i="21" s="1"/>
  <c r="AR102" i="21" s="1"/>
  <c r="AR104" i="21" s="1"/>
  <c r="AI72" i="21"/>
  <c r="AH79" i="21"/>
  <c r="AH80" i="21" s="1"/>
  <c r="U153" i="20"/>
  <c r="V111" i="20"/>
  <c r="U113" i="20"/>
  <c r="AP202" i="21" l="1"/>
  <c r="AP203" i="21" s="1"/>
  <c r="AP205" i="21" s="1"/>
  <c r="AQ197" i="21" s="1"/>
  <c r="AQ195" i="21"/>
  <c r="AP207" i="21"/>
  <c r="AP208" i="21" s="1"/>
  <c r="AN115" i="21"/>
  <c r="AN118" i="21" s="1"/>
  <c r="AH82" i="21"/>
  <c r="AI74" i="21" s="1"/>
  <c r="AI75" i="21" s="1"/>
  <c r="V153" i="20"/>
  <c r="W111" i="20"/>
  <c r="V113" i="20"/>
  <c r="AQ198" i="21" l="1"/>
  <c r="AQ202" i="21" s="1"/>
  <c r="AQ203" i="21" s="1"/>
  <c r="AQ205" i="21" s="1"/>
  <c r="AR197" i="21" s="1"/>
  <c r="AN122" i="21"/>
  <c r="AN123" i="21" s="1"/>
  <c r="AN125" i="21" s="1"/>
  <c r="AO117" i="21" s="1"/>
  <c r="AO127" i="21" s="1"/>
  <c r="AO128" i="21" s="1"/>
  <c r="AO115" i="21"/>
  <c r="AI79" i="21"/>
  <c r="AI80" i="21" s="1"/>
  <c r="AJ72" i="21"/>
  <c r="W113" i="20"/>
  <c r="W153" i="20"/>
  <c r="X111" i="20"/>
  <c r="AQ207" i="21" l="1"/>
  <c r="AQ208" i="21" s="1"/>
  <c r="AR195" i="21"/>
  <c r="AR198" i="21" s="1"/>
  <c r="AO118" i="21"/>
  <c r="AP115" i="21" s="1"/>
  <c r="AI82" i="21"/>
  <c r="AJ74" i="21" s="1"/>
  <c r="AJ75" i="21" s="1"/>
  <c r="X153" i="20"/>
  <c r="Y111" i="20"/>
  <c r="X113" i="20"/>
  <c r="AR207" i="21" l="1"/>
  <c r="AR208" i="21" s="1"/>
  <c r="AR202" i="21"/>
  <c r="AR203" i="21" s="1"/>
  <c r="AR205" i="21" s="1"/>
  <c r="AO122" i="21"/>
  <c r="AO123" i="21" s="1"/>
  <c r="AO125" i="21" s="1"/>
  <c r="AP117" i="21" s="1"/>
  <c r="AP127" i="21" s="1"/>
  <c r="AP128" i="21" s="1"/>
  <c r="AJ79" i="21"/>
  <c r="AJ80" i="21" s="1"/>
  <c r="AK72" i="21"/>
  <c r="Y153" i="20"/>
  <c r="Z111" i="20"/>
  <c r="Y113" i="20"/>
  <c r="AP118" i="21" l="1"/>
  <c r="AQ115" i="21" s="1"/>
  <c r="AJ82" i="21"/>
  <c r="AK74" i="21" s="1"/>
  <c r="AK75" i="21" s="1"/>
  <c r="Z153" i="20"/>
  <c r="AA111" i="20"/>
  <c r="Z113" i="20"/>
  <c r="AP122" i="21" l="1"/>
  <c r="AP123" i="21" s="1"/>
  <c r="AP125" i="21" s="1"/>
  <c r="AQ117" i="21" s="1"/>
  <c r="AQ127" i="21" s="1"/>
  <c r="AQ128" i="21" s="1"/>
  <c r="AL72" i="21"/>
  <c r="AK79" i="21"/>
  <c r="AK80" i="21" s="1"/>
  <c r="AA113" i="20"/>
  <c r="AA153" i="20"/>
  <c r="AB111" i="20"/>
  <c r="AQ118" i="21" l="1"/>
  <c r="AQ122" i="21" s="1"/>
  <c r="AQ123" i="21" s="1"/>
  <c r="AQ125" i="21" s="1"/>
  <c r="AR117" i="21" s="1"/>
  <c r="AR127" i="21" s="1"/>
  <c r="AR128" i="21" s="1"/>
  <c r="AK82" i="21"/>
  <c r="AL74" i="21" s="1"/>
  <c r="AL75" i="21" s="1"/>
  <c r="AB153" i="20"/>
  <c r="AC111" i="20"/>
  <c r="AB113" i="20"/>
  <c r="AR115" i="21" l="1"/>
  <c r="AR118" i="21" s="1"/>
  <c r="AR122" i="21" s="1"/>
  <c r="AR123" i="21" s="1"/>
  <c r="AR125" i="21" s="1"/>
  <c r="AL79" i="21"/>
  <c r="AL80" i="21" s="1"/>
  <c r="AM72" i="21"/>
  <c r="AC153" i="20"/>
  <c r="AD111" i="20"/>
  <c r="AC113" i="20"/>
  <c r="AL82" i="21" l="1"/>
  <c r="AM74" i="21" s="1"/>
  <c r="AM75" i="21" s="1"/>
  <c r="AD153" i="20"/>
  <c r="AE111" i="20"/>
  <c r="AD113" i="20"/>
  <c r="AN72" i="21" l="1"/>
  <c r="AM79" i="21"/>
  <c r="AM80" i="21" s="1"/>
  <c r="AE113" i="20"/>
  <c r="AF111" i="20"/>
  <c r="AE153" i="20"/>
  <c r="AM82" i="21" l="1"/>
  <c r="AN74" i="21" s="1"/>
  <c r="AN75" i="21" s="1"/>
  <c r="AF153" i="20"/>
  <c r="AG111" i="20"/>
  <c r="AF113" i="20"/>
  <c r="AN79" i="21" l="1"/>
  <c r="AN80" i="21" s="1"/>
  <c r="AO72" i="21"/>
  <c r="AG153" i="20"/>
  <c r="AH111" i="20"/>
  <c r="AG113" i="20"/>
  <c r="AN82" i="21" l="1"/>
  <c r="AO74" i="21" s="1"/>
  <c r="AO75" i="21" s="1"/>
  <c r="AH153" i="20"/>
  <c r="AI111" i="20"/>
  <c r="AH113" i="20"/>
  <c r="AO79" i="21" l="1"/>
  <c r="AO80" i="21" s="1"/>
  <c r="AP72" i="21"/>
  <c r="AI113" i="20"/>
  <c r="AI153" i="20"/>
  <c r="AJ111" i="20"/>
  <c r="AO82" i="21" l="1"/>
  <c r="AP74" i="21" s="1"/>
  <c r="AP75" i="21" s="1"/>
  <c r="AJ153" i="20"/>
  <c r="AK111" i="20"/>
  <c r="AJ113" i="20"/>
  <c r="AP79" i="21" l="1"/>
  <c r="AP80" i="21" s="1"/>
  <c r="AQ72" i="21"/>
  <c r="AK153" i="20"/>
  <c r="AL111" i="20"/>
  <c r="AK113" i="20"/>
  <c r="AP82" i="21" l="1"/>
  <c r="AQ74" i="21" s="1"/>
  <c r="AQ75" i="21" s="1"/>
  <c r="AL153" i="20"/>
  <c r="AM111" i="20"/>
  <c r="AL113" i="20"/>
  <c r="AQ79" i="21" l="1"/>
  <c r="AQ80" i="21" s="1"/>
  <c r="AR72" i="21"/>
  <c r="AM113" i="20"/>
  <c r="AM153" i="20"/>
  <c r="AQ82" i="21" l="1"/>
  <c r="AR74" i="21" s="1"/>
  <c r="AR75" i="21" s="1"/>
  <c r="AR79" i="21" s="1"/>
  <c r="AR80" i="21" s="1"/>
  <c r="AR82" i="21" s="1"/>
  <c r="D21" i="9"/>
  <c r="B126" i="9" a="1"/>
  <c r="B126" i="9" s="1"/>
  <c r="B107" i="1"/>
  <c r="B106" i="1"/>
  <c r="B105" i="1"/>
  <c r="B104" i="1"/>
  <c r="B103" i="1"/>
  <c r="B102" i="1"/>
  <c r="B101" i="1"/>
  <c r="B195" i="1"/>
  <c r="B28" i="8" s="1"/>
  <c r="B188" i="1"/>
  <c r="B27" i="8" s="1"/>
  <c r="B174" i="1"/>
  <c r="B25" i="8" s="1"/>
  <c r="B181" i="1"/>
  <c r="B26" i="8" s="1"/>
  <c r="B167" i="1"/>
  <c r="B24" i="8" s="1"/>
  <c r="B160" i="1"/>
  <c r="B23" i="8" s="1"/>
  <c r="B153" i="1"/>
  <c r="B22" i="8" s="1"/>
  <c r="I52" i="1"/>
  <c r="B146" i="1"/>
  <c r="B21" i="8" s="1"/>
  <c r="B139" i="1"/>
  <c r="B20" i="8" s="1"/>
  <c r="B132" i="1"/>
  <c r="B19" i="8" s="1"/>
  <c r="B100" i="1"/>
  <c r="G50" i="1"/>
  <c r="H51" i="1"/>
  <c r="P127" i="9" s="1"/>
  <c r="G51" i="1"/>
  <c r="G52" i="1"/>
  <c r="H52" i="1"/>
  <c r="P128" i="9" s="1"/>
  <c r="G53" i="1"/>
  <c r="H53" i="1"/>
  <c r="I53" i="1"/>
  <c r="G54" i="1"/>
  <c r="H54" i="1"/>
  <c r="I54" i="1"/>
  <c r="G55" i="1"/>
  <c r="H55" i="1"/>
  <c r="P131" i="9" s="1"/>
  <c r="I55" i="1"/>
  <c r="G56" i="1"/>
  <c r="H56" i="1"/>
  <c r="I56" i="1"/>
  <c r="G57" i="1"/>
  <c r="H57" i="1"/>
  <c r="I57" i="1"/>
  <c r="AB133" i="9" s="1"/>
  <c r="G58" i="1"/>
  <c r="H58" i="1"/>
  <c r="I58" i="1"/>
  <c r="G59" i="1"/>
  <c r="D135" i="9" s="1"/>
  <c r="H59" i="1"/>
  <c r="H50" i="1"/>
  <c r="I50" i="1"/>
  <c r="D40" i="1"/>
  <c r="E40" i="1" s="1"/>
  <c r="D42" i="1"/>
  <c r="E42" i="1" s="1"/>
  <c r="D41" i="1"/>
  <c r="C43" i="1"/>
  <c r="M43" i="1"/>
  <c r="D103" i="1" s="1"/>
  <c r="N42" i="1"/>
  <c r="O42" i="1" s="1"/>
  <c r="H43" i="1"/>
  <c r="H31" i="1"/>
  <c r="M33" i="1"/>
  <c r="H37" i="1"/>
  <c r="C31" i="1"/>
  <c r="I42" i="1"/>
  <c r="J42" i="1" s="1"/>
  <c r="I41" i="1"/>
  <c r="J41" i="1" s="1"/>
  <c r="I29" i="1"/>
  <c r="J29" i="1" s="1"/>
  <c r="I27" i="1"/>
  <c r="J27" i="1" s="1"/>
  <c r="I28" i="1"/>
  <c r="J28" i="1" s="1"/>
  <c r="I36" i="1"/>
  <c r="J36" i="1" s="1"/>
  <c r="J37" i="1" s="1"/>
  <c r="N32" i="1"/>
  <c r="O32" i="1" s="1"/>
  <c r="N25" i="1"/>
  <c r="O25" i="1" s="1"/>
  <c r="N26" i="1"/>
  <c r="O26" i="1" s="1"/>
  <c r="N27" i="1"/>
  <c r="O27" i="1" s="1"/>
  <c r="N28" i="1"/>
  <c r="O28" i="1" s="1"/>
  <c r="N29" i="1"/>
  <c r="O29" i="1" s="1"/>
  <c r="N30" i="1"/>
  <c r="O30" i="1" s="1"/>
  <c r="N31" i="1"/>
  <c r="O31" i="1" s="1"/>
  <c r="N24" i="1"/>
  <c r="O24" i="1" s="1"/>
  <c r="N41" i="1"/>
  <c r="O41" i="1" s="1"/>
  <c r="N40" i="1"/>
  <c r="O40" i="1" s="1"/>
  <c r="N39" i="1"/>
  <c r="O39" i="1" s="1"/>
  <c r="N38" i="1"/>
  <c r="N23" i="1" s="1"/>
  <c r="O38" i="1"/>
  <c r="O23" i="1" s="1"/>
  <c r="M38" i="1"/>
  <c r="M23" i="1" s="1"/>
  <c r="D30" i="1"/>
  <c r="E30" i="1" s="1"/>
  <c r="D29" i="1"/>
  <c r="E29" i="1" s="1"/>
  <c r="D28" i="1"/>
  <c r="E28" i="1" s="1"/>
  <c r="I11" i="1"/>
  <c r="I12" i="1"/>
  <c r="I13" i="1"/>
  <c r="I14" i="1"/>
  <c r="I15" i="1"/>
  <c r="I16" i="1"/>
  <c r="I18" i="1"/>
  <c r="G11" i="1"/>
  <c r="G12" i="1"/>
  <c r="G13" i="1"/>
  <c r="G14" i="1"/>
  <c r="G15" i="1"/>
  <c r="G16" i="1"/>
  <c r="G18" i="1"/>
  <c r="H11" i="1"/>
  <c r="H12" i="1"/>
  <c r="H13" i="1"/>
  <c r="H14" i="1"/>
  <c r="H15" i="1"/>
  <c r="H16" i="1"/>
  <c r="H18" i="1"/>
  <c r="C19" i="1"/>
  <c r="I19" i="1" s="1"/>
  <c r="C17" i="1"/>
  <c r="H17" i="1" s="1"/>
  <c r="E107" i="1" l="1"/>
  <c r="C40" i="24"/>
  <c r="AB134" i="1"/>
  <c r="AB126" i="9"/>
  <c r="AB190" i="1"/>
  <c r="AB134" i="9"/>
  <c r="P183" i="1"/>
  <c r="P133" i="9"/>
  <c r="D176" i="1"/>
  <c r="D132" i="9"/>
  <c r="AB162" i="1"/>
  <c r="AB130" i="9"/>
  <c r="P155" i="1"/>
  <c r="P129" i="9"/>
  <c r="D141" i="1"/>
  <c r="D127" i="9"/>
  <c r="D102" i="1"/>
  <c r="C34" i="24"/>
  <c r="G106" i="1"/>
  <c r="C30" i="24"/>
  <c r="P134" i="1"/>
  <c r="P126" i="9"/>
  <c r="P190" i="1"/>
  <c r="P134" i="9"/>
  <c r="D183" i="1"/>
  <c r="P185" i="1" s="1"/>
  <c r="D133" i="9"/>
  <c r="AB169" i="1"/>
  <c r="AB131" i="9"/>
  <c r="P162" i="1"/>
  <c r="P130" i="9"/>
  <c r="D155" i="1"/>
  <c r="D157" i="1" s="1"/>
  <c r="D129" i="9"/>
  <c r="P197" i="1"/>
  <c r="P135" i="9"/>
  <c r="D190" i="1"/>
  <c r="D192" i="1" s="1"/>
  <c r="D134" i="9"/>
  <c r="AB176" i="1"/>
  <c r="AB132" i="9"/>
  <c r="D162" i="1"/>
  <c r="AD164" i="1" s="1"/>
  <c r="D130" i="9"/>
  <c r="D134" i="1"/>
  <c r="D126" i="9"/>
  <c r="P176" i="1"/>
  <c r="P132" i="9"/>
  <c r="H171" i="1"/>
  <c r="D131" i="9"/>
  <c r="AB155" i="1"/>
  <c r="AB129" i="9"/>
  <c r="D148" i="1"/>
  <c r="D128" i="9"/>
  <c r="AB148" i="1"/>
  <c r="AB128" i="9"/>
  <c r="G105" i="1"/>
  <c r="C18" i="24"/>
  <c r="C20" i="24" s="1"/>
  <c r="G101" i="1"/>
  <c r="C22" i="24"/>
  <c r="C24" i="24" s="1"/>
  <c r="AC101" i="1"/>
  <c r="E22" i="24"/>
  <c r="E24" i="24" s="1"/>
  <c r="F104" i="1"/>
  <c r="C14" i="24"/>
  <c r="C16" i="24" s="1"/>
  <c r="D64" i="24" s="1"/>
  <c r="G103" i="1"/>
  <c r="C26" i="24"/>
  <c r="C28" i="24" s="1"/>
  <c r="D63" i="24" s="1"/>
  <c r="AA164" i="1"/>
  <c r="D197" i="1"/>
  <c r="P199" i="1" s="1"/>
  <c r="H25" i="1"/>
  <c r="H40" i="1" s="1"/>
  <c r="H65" i="1" a="1"/>
  <c r="H65" i="1" s="1"/>
  <c r="N40" i="24" s="1"/>
  <c r="I25" i="1"/>
  <c r="I40" i="1" s="1"/>
  <c r="I65" i="1" a="1"/>
  <c r="I65" i="1" s="1"/>
  <c r="O40" i="24" s="1"/>
  <c r="J25" i="1"/>
  <c r="J40" i="1" s="1"/>
  <c r="J65" i="1" a="1"/>
  <c r="J65" i="1" s="1"/>
  <c r="P40" i="24" s="1"/>
  <c r="J101" i="1"/>
  <c r="M143" i="1"/>
  <c r="AB178" i="1"/>
  <c r="I102" i="1"/>
  <c r="AL143" i="1"/>
  <c r="E143" i="1"/>
  <c r="U143" i="1"/>
  <c r="P157" i="1"/>
  <c r="J105" i="1"/>
  <c r="O107" i="1"/>
  <c r="AB185" i="1"/>
  <c r="I101" i="1"/>
  <c r="T143" i="1"/>
  <c r="L143" i="1"/>
  <c r="G107" i="1"/>
  <c r="AG164" i="1"/>
  <c r="D164" i="1"/>
  <c r="N101" i="1"/>
  <c r="F101" i="1"/>
  <c r="AH143" i="1"/>
  <c r="Y143" i="1"/>
  <c r="AB150" i="1"/>
  <c r="AC164" i="1"/>
  <c r="M101" i="1"/>
  <c r="E101" i="1"/>
  <c r="AG143" i="1"/>
  <c r="H143" i="1"/>
  <c r="E103" i="1"/>
  <c r="AF101" i="1"/>
  <c r="E171" i="1"/>
  <c r="J103" i="1"/>
  <c r="I105" i="1"/>
  <c r="L107" i="1"/>
  <c r="J150" i="1"/>
  <c r="F150" i="1"/>
  <c r="X150" i="1"/>
  <c r="I103" i="1"/>
  <c r="I104" i="1"/>
  <c r="N105" i="1"/>
  <c r="F105" i="1"/>
  <c r="K107" i="1"/>
  <c r="AM164" i="1"/>
  <c r="AI164" i="1"/>
  <c r="AL101" i="1"/>
  <c r="AH101" i="1"/>
  <c r="AD101" i="1"/>
  <c r="AC171" i="1"/>
  <c r="D185" i="1"/>
  <c r="H60" i="1"/>
  <c r="P210" i="1" s="1"/>
  <c r="D101" i="1"/>
  <c r="L101" i="1"/>
  <c r="H101" i="1"/>
  <c r="AF143" i="1"/>
  <c r="AA143" i="1"/>
  <c r="O143" i="1"/>
  <c r="K143" i="1"/>
  <c r="AB101" i="1"/>
  <c r="M150" i="1"/>
  <c r="I150" i="1"/>
  <c r="E150" i="1"/>
  <c r="W150" i="1"/>
  <c r="S150" i="1"/>
  <c r="AA150" i="1"/>
  <c r="M103" i="1"/>
  <c r="M104" i="1"/>
  <c r="E104" i="1"/>
  <c r="AJ101" i="1"/>
  <c r="O150" i="1"/>
  <c r="K150" i="1"/>
  <c r="G150" i="1"/>
  <c r="Y150" i="1"/>
  <c r="U150" i="1"/>
  <c r="Q150" i="1"/>
  <c r="AB157" i="1"/>
  <c r="I60" i="1"/>
  <c r="AB210" i="1" s="1"/>
  <c r="L104" i="1"/>
  <c r="AF164" i="1"/>
  <c r="AM101" i="1"/>
  <c r="AI101" i="1"/>
  <c r="AE101" i="1"/>
  <c r="P171" i="1"/>
  <c r="G60" i="1"/>
  <c r="D210" i="1" s="1"/>
  <c r="N150" i="1"/>
  <c r="T150" i="1"/>
  <c r="P150" i="1"/>
  <c r="N103" i="1"/>
  <c r="F103" i="1"/>
  <c r="D104" i="1"/>
  <c r="H104" i="1"/>
  <c r="M105" i="1"/>
  <c r="E105" i="1"/>
  <c r="D107" i="1"/>
  <c r="H107" i="1"/>
  <c r="AL164" i="1"/>
  <c r="AK101" i="1"/>
  <c r="AG101" i="1"/>
  <c r="D171" i="1"/>
  <c r="AB171" i="1"/>
  <c r="O101" i="1"/>
  <c r="K101" i="1"/>
  <c r="AM143" i="1"/>
  <c r="Z143" i="1"/>
  <c r="V143" i="1"/>
  <c r="J143" i="1"/>
  <c r="D150" i="1"/>
  <c r="L150" i="1"/>
  <c r="H150" i="1"/>
  <c r="Z150" i="1"/>
  <c r="V150" i="1"/>
  <c r="R150" i="1"/>
  <c r="G102" i="1"/>
  <c r="K102" i="1"/>
  <c r="O102" i="1"/>
  <c r="H102" i="1"/>
  <c r="L102" i="1"/>
  <c r="H106" i="1"/>
  <c r="L106" i="1"/>
  <c r="D106" i="1"/>
  <c r="J106" i="1"/>
  <c r="E106" i="1"/>
  <c r="I106" i="1"/>
  <c r="M106" i="1"/>
  <c r="F106" i="1"/>
  <c r="N106" i="1"/>
  <c r="N102" i="1"/>
  <c r="F102" i="1"/>
  <c r="M102" i="1"/>
  <c r="E102" i="1"/>
  <c r="O106" i="1"/>
  <c r="J102" i="1"/>
  <c r="K106" i="1"/>
  <c r="L103" i="1"/>
  <c r="H103" i="1"/>
  <c r="O104" i="1"/>
  <c r="K104" i="1"/>
  <c r="G104" i="1"/>
  <c r="D105" i="1"/>
  <c r="L105" i="1"/>
  <c r="H105" i="1"/>
  <c r="N107" i="1"/>
  <c r="J107" i="1"/>
  <c r="F107" i="1"/>
  <c r="O103" i="1"/>
  <c r="K103" i="1"/>
  <c r="N104" i="1"/>
  <c r="J104" i="1"/>
  <c r="O105" i="1"/>
  <c r="K105" i="1"/>
  <c r="M107" i="1"/>
  <c r="I107" i="1"/>
  <c r="V171" i="1"/>
  <c r="D191" i="1"/>
  <c r="D193" i="1" s="1"/>
  <c r="D27" i="8" s="1"/>
  <c r="E192" i="1"/>
  <c r="Q192" i="1"/>
  <c r="U192" i="1"/>
  <c r="AG192" i="1"/>
  <c r="AK192" i="1"/>
  <c r="N192" i="1"/>
  <c r="R192" i="1"/>
  <c r="AD192" i="1"/>
  <c r="AH192" i="1"/>
  <c r="K192" i="1"/>
  <c r="O192" i="1"/>
  <c r="AA192" i="1"/>
  <c r="AE192" i="1"/>
  <c r="H192" i="1"/>
  <c r="L192" i="1"/>
  <c r="X192" i="1"/>
  <c r="AB192" i="1"/>
  <c r="Q185" i="1"/>
  <c r="U185" i="1"/>
  <c r="Y185" i="1"/>
  <c r="AC185" i="1"/>
  <c r="AG185" i="1"/>
  <c r="AK185" i="1"/>
  <c r="G185" i="1"/>
  <c r="K185" i="1"/>
  <c r="O185" i="1"/>
  <c r="AJ185" i="1"/>
  <c r="R185" i="1"/>
  <c r="V185" i="1"/>
  <c r="Z185" i="1"/>
  <c r="AD185" i="1"/>
  <c r="AH185" i="1"/>
  <c r="AL185" i="1"/>
  <c r="H185" i="1"/>
  <c r="L185" i="1"/>
  <c r="X185" i="1"/>
  <c r="AF185" i="1"/>
  <c r="N185" i="1"/>
  <c r="S185" i="1"/>
  <c r="W185" i="1"/>
  <c r="AA185" i="1"/>
  <c r="AE185" i="1"/>
  <c r="AI185" i="1"/>
  <c r="AM185" i="1"/>
  <c r="E185" i="1"/>
  <c r="I185" i="1"/>
  <c r="M185" i="1"/>
  <c r="T185" i="1"/>
  <c r="F185" i="1"/>
  <c r="J185" i="1"/>
  <c r="D184" i="1"/>
  <c r="R171" i="1"/>
  <c r="D169" i="1"/>
  <c r="D170" i="1" s="1"/>
  <c r="I171" i="1"/>
  <c r="AF171" i="1"/>
  <c r="M171" i="1"/>
  <c r="AD171" i="1"/>
  <c r="L171" i="1"/>
  <c r="Z171" i="1"/>
  <c r="D177" i="1"/>
  <c r="AC178" i="1"/>
  <c r="AG178" i="1"/>
  <c r="AK178" i="1"/>
  <c r="R178" i="1"/>
  <c r="V178" i="1"/>
  <c r="Z178" i="1"/>
  <c r="F178" i="1"/>
  <c r="J178" i="1"/>
  <c r="N178" i="1"/>
  <c r="AD178" i="1"/>
  <c r="AH178" i="1"/>
  <c r="AL178" i="1"/>
  <c r="S178" i="1"/>
  <c r="W178" i="1"/>
  <c r="AA178" i="1"/>
  <c r="G178" i="1"/>
  <c r="K178" i="1"/>
  <c r="O178" i="1"/>
  <c r="AE178" i="1"/>
  <c r="AI178" i="1"/>
  <c r="AM178" i="1"/>
  <c r="T178" i="1"/>
  <c r="X178" i="1"/>
  <c r="P178" i="1"/>
  <c r="H178" i="1"/>
  <c r="L178" i="1"/>
  <c r="D178" i="1"/>
  <c r="AF178" i="1"/>
  <c r="AJ178" i="1"/>
  <c r="Q178" i="1"/>
  <c r="U178" i="1"/>
  <c r="Y178" i="1"/>
  <c r="E178" i="1"/>
  <c r="I178" i="1"/>
  <c r="M178" i="1"/>
  <c r="AM171" i="1"/>
  <c r="AI171" i="1"/>
  <c r="AE171" i="1"/>
  <c r="P169" i="1"/>
  <c r="Y171" i="1"/>
  <c r="U171" i="1"/>
  <c r="Q171" i="1"/>
  <c r="AL171" i="1"/>
  <c r="AH171" i="1"/>
  <c r="O171" i="1"/>
  <c r="K171" i="1"/>
  <c r="G171" i="1"/>
  <c r="X171" i="1"/>
  <c r="T171" i="1"/>
  <c r="AK171" i="1"/>
  <c r="AG171" i="1"/>
  <c r="N171" i="1"/>
  <c r="J171" i="1"/>
  <c r="F171" i="1"/>
  <c r="AA171" i="1"/>
  <c r="W171" i="1"/>
  <c r="S171" i="1"/>
  <c r="AJ171" i="1"/>
  <c r="O164" i="1"/>
  <c r="R164" i="1"/>
  <c r="Y164" i="1"/>
  <c r="N164" i="1"/>
  <c r="J164" i="1"/>
  <c r="T164" i="1"/>
  <c r="L164" i="1"/>
  <c r="G164" i="1"/>
  <c r="U164" i="1"/>
  <c r="E164" i="1"/>
  <c r="W164" i="1"/>
  <c r="AJ157" i="1"/>
  <c r="AF157" i="1"/>
  <c r="Y157" i="1"/>
  <c r="U157" i="1"/>
  <c r="AI157" i="1"/>
  <c r="AE157" i="1"/>
  <c r="K157" i="1"/>
  <c r="G157" i="1"/>
  <c r="AL157" i="1"/>
  <c r="AH157" i="1"/>
  <c r="I157" i="1"/>
  <c r="E157" i="1"/>
  <c r="R157" i="1"/>
  <c r="N157" i="1"/>
  <c r="AA157" i="1"/>
  <c r="W157" i="1"/>
  <c r="AG157" i="1"/>
  <c r="I136" i="1"/>
  <c r="O136" i="1"/>
  <c r="E136" i="1"/>
  <c r="K136" i="1"/>
  <c r="D136" i="1"/>
  <c r="G136" i="1"/>
  <c r="L136" i="1"/>
  <c r="H136" i="1"/>
  <c r="M136" i="1"/>
  <c r="AC150" i="1"/>
  <c r="AG150" i="1"/>
  <c r="AK150" i="1"/>
  <c r="D149" i="1"/>
  <c r="AD150" i="1"/>
  <c r="AH150" i="1"/>
  <c r="AL150" i="1"/>
  <c r="AE150" i="1"/>
  <c r="AI150" i="1"/>
  <c r="AM150" i="1"/>
  <c r="AF150" i="1"/>
  <c r="AJ150" i="1"/>
  <c r="O43" i="1"/>
  <c r="J43" i="1"/>
  <c r="P148" i="1"/>
  <c r="N136" i="1"/>
  <c r="J136" i="1"/>
  <c r="F136" i="1"/>
  <c r="D43" i="1"/>
  <c r="D40" i="24" s="1"/>
  <c r="N43" i="1"/>
  <c r="E41" i="1"/>
  <c r="E43" i="1" s="1"/>
  <c r="E31" i="1"/>
  <c r="J31" i="1"/>
  <c r="O33" i="1"/>
  <c r="I43" i="1"/>
  <c r="D30" i="24" s="1"/>
  <c r="D32" i="24" s="1"/>
  <c r="I31" i="1"/>
  <c r="D18" i="24" s="1"/>
  <c r="D20" i="24" s="1"/>
  <c r="N33" i="1"/>
  <c r="D14" i="24" s="1"/>
  <c r="D16" i="24" s="1"/>
  <c r="P64" i="24" s="1"/>
  <c r="I37" i="1"/>
  <c r="D22" i="24" s="1"/>
  <c r="D24" i="24" s="1"/>
  <c r="D31" i="1"/>
  <c r="D34" i="24" s="1"/>
  <c r="D36" i="24" s="1"/>
  <c r="I17" i="1"/>
  <c r="I20" i="1" s="1"/>
  <c r="E10" i="24" s="1"/>
  <c r="E12" i="24" s="1"/>
  <c r="H19" i="1"/>
  <c r="H20" i="1" s="1"/>
  <c r="D10" i="24" s="1"/>
  <c r="D12" i="24" s="1"/>
  <c r="P60" i="24" s="1"/>
  <c r="G17" i="1"/>
  <c r="G19" i="1"/>
  <c r="N26" i="24" l="1"/>
  <c r="C32" i="24"/>
  <c r="M26" i="24"/>
  <c r="AB141" i="9"/>
  <c r="AB143" i="9" s="1"/>
  <c r="AB35" i="9" s="1"/>
  <c r="AB102" i="1"/>
  <c r="E34" i="24"/>
  <c r="E36" i="24" s="1"/>
  <c r="P68" i="24"/>
  <c r="Y68" i="24"/>
  <c r="Z68" i="24"/>
  <c r="T68" i="24"/>
  <c r="Q68" i="24"/>
  <c r="R68" i="24"/>
  <c r="U68" i="24"/>
  <c r="S68" i="24"/>
  <c r="AA68" i="24"/>
  <c r="W68" i="24"/>
  <c r="X68" i="24"/>
  <c r="V68" i="24"/>
  <c r="F143" i="1"/>
  <c r="AB143" i="1"/>
  <c r="P62" i="24"/>
  <c r="S62" i="24"/>
  <c r="U62" i="24"/>
  <c r="Z62" i="24"/>
  <c r="R62" i="24"/>
  <c r="W62" i="24"/>
  <c r="Y62" i="24"/>
  <c r="T62" i="24"/>
  <c r="AA62" i="24"/>
  <c r="X62" i="24"/>
  <c r="V62" i="24"/>
  <c r="Q62" i="24"/>
  <c r="X66" i="24"/>
  <c r="Y66" i="24"/>
  <c r="S66" i="24"/>
  <c r="U66" i="24"/>
  <c r="P66" i="24"/>
  <c r="R66" i="24"/>
  <c r="W66" i="24"/>
  <c r="Q66" i="24"/>
  <c r="V66" i="24"/>
  <c r="AA66" i="24"/>
  <c r="T66" i="24"/>
  <c r="Z66" i="24"/>
  <c r="AB107" i="1"/>
  <c r="E40" i="24"/>
  <c r="AB106" i="1"/>
  <c r="E30" i="24"/>
  <c r="E32" i="24" s="1"/>
  <c r="AK157" i="1"/>
  <c r="F157" i="1"/>
  <c r="V157" i="1"/>
  <c r="M157" i="1"/>
  <c r="T157" i="1"/>
  <c r="O157" i="1"/>
  <c r="AM157" i="1"/>
  <c r="H157" i="1"/>
  <c r="AC157" i="1"/>
  <c r="I164" i="1"/>
  <c r="K164" i="1"/>
  <c r="X164" i="1"/>
  <c r="D163" i="1"/>
  <c r="V164" i="1"/>
  <c r="AJ192" i="1"/>
  <c r="T192" i="1"/>
  <c r="AM192" i="1"/>
  <c r="W192" i="1"/>
  <c r="G192" i="1"/>
  <c r="Z192" i="1"/>
  <c r="J192" i="1"/>
  <c r="AC192" i="1"/>
  <c r="M192" i="1"/>
  <c r="N143" i="1"/>
  <c r="AE143" i="1"/>
  <c r="S143" i="1"/>
  <c r="AJ143" i="1"/>
  <c r="AB164" i="1"/>
  <c r="AJ164" i="1"/>
  <c r="P143" i="1"/>
  <c r="I143" i="1"/>
  <c r="AC143" i="1"/>
  <c r="AK164" i="1"/>
  <c r="D140" i="9"/>
  <c r="D141" i="9" s="1"/>
  <c r="D143" i="9" s="1"/>
  <c r="D35" i="9" s="1"/>
  <c r="P140" i="9"/>
  <c r="P141" i="9" s="1"/>
  <c r="R142" i="9" s="1"/>
  <c r="M29" i="24"/>
  <c r="C36" i="24"/>
  <c r="N29" i="24"/>
  <c r="L68" i="24"/>
  <c r="K68" i="24"/>
  <c r="J68" i="24"/>
  <c r="F68" i="24"/>
  <c r="M68" i="24"/>
  <c r="E68" i="24"/>
  <c r="D68" i="24"/>
  <c r="N68" i="24"/>
  <c r="H68" i="24"/>
  <c r="G68" i="24"/>
  <c r="O68" i="24"/>
  <c r="I68" i="24"/>
  <c r="D26" i="24"/>
  <c r="D28" i="24" s="1"/>
  <c r="P63" i="24" s="1"/>
  <c r="P101" i="9" s="1"/>
  <c r="P103" i="1"/>
  <c r="S157" i="1"/>
  <c r="J157" i="1"/>
  <c r="Z157" i="1"/>
  <c r="AD157" i="1"/>
  <c r="X157" i="1"/>
  <c r="D156" i="1"/>
  <c r="Q157" i="1"/>
  <c r="L157" i="1"/>
  <c r="S164" i="1"/>
  <c r="M164" i="1"/>
  <c r="H164" i="1"/>
  <c r="F164" i="1"/>
  <c r="Q164" i="1"/>
  <c r="Z164" i="1"/>
  <c r="AF192" i="1"/>
  <c r="P192" i="1"/>
  <c r="AI192" i="1"/>
  <c r="S192" i="1"/>
  <c r="AL192" i="1"/>
  <c r="V192" i="1"/>
  <c r="F192" i="1"/>
  <c r="Y192" i="1"/>
  <c r="I192" i="1"/>
  <c r="R143" i="1"/>
  <c r="AI143" i="1"/>
  <c r="AH164" i="1"/>
  <c r="G143" i="1"/>
  <c r="W143" i="1"/>
  <c r="D143" i="1"/>
  <c r="AE164" i="1"/>
  <c r="X143" i="1"/>
  <c r="P164" i="1"/>
  <c r="Q143" i="1"/>
  <c r="AK143" i="1"/>
  <c r="AD143" i="1"/>
  <c r="Q136" i="1"/>
  <c r="U136" i="1"/>
  <c r="Y136" i="1"/>
  <c r="AC136" i="1"/>
  <c r="AG136" i="1"/>
  <c r="AK136" i="1"/>
  <c r="T136" i="1"/>
  <c r="Z136" i="1"/>
  <c r="AE136" i="1"/>
  <c r="AJ136" i="1"/>
  <c r="P136" i="1"/>
  <c r="V136" i="1"/>
  <c r="AA136" i="1"/>
  <c r="AF136" i="1"/>
  <c r="AL136" i="1"/>
  <c r="W136" i="1"/>
  <c r="AH136" i="1"/>
  <c r="X136" i="1"/>
  <c r="AI136" i="1"/>
  <c r="R136" i="1"/>
  <c r="AB136" i="1"/>
  <c r="AM136" i="1"/>
  <c r="S136" i="1"/>
  <c r="AD136" i="1"/>
  <c r="D101" i="9"/>
  <c r="O65" i="24"/>
  <c r="D65" i="24"/>
  <c r="P17" i="9"/>
  <c r="Q65" i="24"/>
  <c r="U65" i="24"/>
  <c r="Y65" i="24"/>
  <c r="R65" i="24"/>
  <c r="V65" i="24"/>
  <c r="Z65" i="24"/>
  <c r="S65" i="24"/>
  <c r="W65" i="24"/>
  <c r="AA65" i="24"/>
  <c r="X65" i="24"/>
  <c r="P65" i="24"/>
  <c r="T65" i="24"/>
  <c r="S64" i="24"/>
  <c r="W64" i="24"/>
  <c r="AA64" i="24"/>
  <c r="Q64" i="24"/>
  <c r="U64" i="24"/>
  <c r="Y64" i="24"/>
  <c r="T64" i="24"/>
  <c r="V64" i="24"/>
  <c r="X64" i="24"/>
  <c r="R64" i="24"/>
  <c r="Z64" i="24"/>
  <c r="D61" i="24"/>
  <c r="G61" i="24"/>
  <c r="G97" i="9" s="1"/>
  <c r="K61" i="24"/>
  <c r="K97" i="9" s="1"/>
  <c r="E61" i="24"/>
  <c r="E97" i="9" s="1"/>
  <c r="I61" i="24"/>
  <c r="I97" i="9" s="1"/>
  <c r="M61" i="24"/>
  <c r="M97" i="9" s="1"/>
  <c r="L61" i="24"/>
  <c r="L97" i="9" s="1"/>
  <c r="F61" i="24"/>
  <c r="F97" i="9" s="1"/>
  <c r="N61" i="24"/>
  <c r="N97" i="9" s="1"/>
  <c r="H61" i="24"/>
  <c r="H97" i="9" s="1"/>
  <c r="J61" i="24"/>
  <c r="J97" i="9" s="1"/>
  <c r="AC60" i="24"/>
  <c r="AG60" i="24"/>
  <c r="AK60" i="24"/>
  <c r="AE60" i="24"/>
  <c r="AI60" i="24"/>
  <c r="AM60" i="24"/>
  <c r="AH60" i="24"/>
  <c r="AJ60" i="24"/>
  <c r="AD60" i="24"/>
  <c r="AL60" i="24"/>
  <c r="AF60" i="24"/>
  <c r="AB60" i="24"/>
  <c r="G63" i="24"/>
  <c r="G101" i="9" s="1"/>
  <c r="K63" i="24"/>
  <c r="K101" i="9" s="1"/>
  <c r="O63" i="24"/>
  <c r="O101" i="9" s="1"/>
  <c r="H63" i="24"/>
  <c r="H101" i="9" s="1"/>
  <c r="L63" i="24"/>
  <c r="L101" i="9" s="1"/>
  <c r="E63" i="24"/>
  <c r="E101" i="9" s="1"/>
  <c r="I63" i="24"/>
  <c r="I101" i="9" s="1"/>
  <c r="M63" i="24"/>
  <c r="M101" i="9" s="1"/>
  <c r="J63" i="24"/>
  <c r="J101" i="9" s="1"/>
  <c r="N63" i="24"/>
  <c r="N101" i="9" s="1"/>
  <c r="F63" i="24"/>
  <c r="F101" i="9" s="1"/>
  <c r="AC61" i="24"/>
  <c r="AC97" i="9" s="1"/>
  <c r="AG61" i="24"/>
  <c r="AG97" i="9" s="1"/>
  <c r="AK61" i="24"/>
  <c r="AK97" i="9" s="1"/>
  <c r="AE61" i="24"/>
  <c r="AE97" i="9" s="1"/>
  <c r="AI61" i="24"/>
  <c r="AI97" i="9" s="1"/>
  <c r="AM61" i="24"/>
  <c r="AM97" i="9" s="1"/>
  <c r="AD61" i="24"/>
  <c r="AD97" i="9" s="1"/>
  <c r="AL61" i="24"/>
  <c r="AL97" i="9" s="1"/>
  <c r="AF61" i="24"/>
  <c r="AF97" i="9" s="1"/>
  <c r="AB61" i="24"/>
  <c r="AH61" i="24"/>
  <c r="AH97" i="9" s="1"/>
  <c r="AJ61" i="24"/>
  <c r="AJ97" i="9" s="1"/>
  <c r="H65" i="24"/>
  <c r="L65" i="24"/>
  <c r="E65" i="24"/>
  <c r="I65" i="24"/>
  <c r="M65" i="24"/>
  <c r="F65" i="24"/>
  <c r="J65" i="24"/>
  <c r="N65" i="24"/>
  <c r="G65" i="24"/>
  <c r="K65" i="24"/>
  <c r="Q60" i="24"/>
  <c r="U60" i="24"/>
  <c r="Y60" i="24"/>
  <c r="S60" i="24"/>
  <c r="W60" i="24"/>
  <c r="AA60" i="24"/>
  <c r="R60" i="24"/>
  <c r="Z60" i="24"/>
  <c r="T60" i="24"/>
  <c r="V60" i="24"/>
  <c r="X60" i="24"/>
  <c r="G64" i="24"/>
  <c r="K64" i="24"/>
  <c r="O64" i="24"/>
  <c r="E64" i="24"/>
  <c r="I64" i="24"/>
  <c r="M64" i="24"/>
  <c r="L64" i="24"/>
  <c r="F64" i="24"/>
  <c r="N64" i="24"/>
  <c r="H64" i="24"/>
  <c r="J64" i="24"/>
  <c r="Q61" i="24"/>
  <c r="Q97" i="9" s="1"/>
  <c r="U61" i="24"/>
  <c r="U97" i="9" s="1"/>
  <c r="Y61" i="24"/>
  <c r="Y97" i="9" s="1"/>
  <c r="S61" i="24"/>
  <c r="S97" i="9" s="1"/>
  <c r="W61" i="24"/>
  <c r="W97" i="9" s="1"/>
  <c r="AA61" i="24"/>
  <c r="AA97" i="9" s="1"/>
  <c r="V61" i="24"/>
  <c r="V97" i="9" s="1"/>
  <c r="O61" i="24"/>
  <c r="O97" i="9" s="1"/>
  <c r="X61" i="24"/>
  <c r="X97" i="9" s="1"/>
  <c r="R61" i="24"/>
  <c r="R97" i="9" s="1"/>
  <c r="Z61" i="24"/>
  <c r="Z97" i="9" s="1"/>
  <c r="T61" i="24"/>
  <c r="T97" i="9" s="1"/>
  <c r="P61" i="24"/>
  <c r="N23" i="24"/>
  <c r="M23" i="24"/>
  <c r="O199" i="1"/>
  <c r="O203" i="1" s="1"/>
  <c r="O90" i="24" s="1"/>
  <c r="O92" i="24" s="1"/>
  <c r="AB199" i="1"/>
  <c r="AL199" i="1"/>
  <c r="AM199" i="1"/>
  <c r="X199" i="1"/>
  <c r="G20" i="1"/>
  <c r="M100" i="1" s="1"/>
  <c r="AB104" i="1"/>
  <c r="E14" i="24"/>
  <c r="E16" i="24" s="1"/>
  <c r="AB64" i="24" s="1"/>
  <c r="J199" i="1"/>
  <c r="J203" i="1" s="1"/>
  <c r="J90" i="24" s="1"/>
  <c r="J92" i="24" s="1"/>
  <c r="AA199" i="1"/>
  <c r="Y199" i="1"/>
  <c r="Y203" i="1" s="1"/>
  <c r="Y90" i="24" s="1"/>
  <c r="Y92" i="24" s="1"/>
  <c r="Y73" i="24" s="1"/>
  <c r="AB105" i="1"/>
  <c r="E18" i="24"/>
  <c r="E20" i="24" s="1"/>
  <c r="AB103" i="1"/>
  <c r="E26" i="24"/>
  <c r="E28" i="24" s="1"/>
  <c r="AB63" i="24" s="1"/>
  <c r="I199" i="1"/>
  <c r="AD199" i="1"/>
  <c r="G199" i="1"/>
  <c r="U199" i="1"/>
  <c r="U203" i="1" s="1"/>
  <c r="U90" i="24" s="1"/>
  <c r="U92" i="24" s="1"/>
  <c r="U73" i="24" s="1"/>
  <c r="L199" i="1"/>
  <c r="L203" i="1" s="1"/>
  <c r="L90" i="24" s="1"/>
  <c r="L92" i="24" s="1"/>
  <c r="D165" i="1"/>
  <c r="D23" i="8" s="1"/>
  <c r="R199" i="1"/>
  <c r="S199" i="1"/>
  <c r="F199" i="1"/>
  <c r="AK199" i="1"/>
  <c r="E199" i="1"/>
  <c r="E203" i="1" s="1"/>
  <c r="E90" i="24" s="1"/>
  <c r="E92" i="24" s="1"/>
  <c r="H199" i="1"/>
  <c r="Z199" i="1"/>
  <c r="AI199" i="1"/>
  <c r="AI203" i="1" s="1"/>
  <c r="AI90" i="24" s="1"/>
  <c r="AI92" i="24" s="1"/>
  <c r="AI73" i="24" s="1"/>
  <c r="N199" i="1"/>
  <c r="W199" i="1"/>
  <c r="AG199" i="1"/>
  <c r="AG203" i="1" s="1"/>
  <c r="AG90" i="24" s="1"/>
  <c r="AG92" i="24" s="1"/>
  <c r="AG73" i="24" s="1"/>
  <c r="Q199" i="1"/>
  <c r="AJ199" i="1"/>
  <c r="AJ203" i="1" s="1"/>
  <c r="AJ90" i="24" s="1"/>
  <c r="AJ92" i="24" s="1"/>
  <c r="AJ73" i="24" s="1"/>
  <c r="T199" i="1"/>
  <c r="D198" i="1"/>
  <c r="D199" i="1"/>
  <c r="D203" i="1" s="1"/>
  <c r="AH199" i="1"/>
  <c r="AH203" i="1" s="1"/>
  <c r="AH90" i="24" s="1"/>
  <c r="AH92" i="24" s="1"/>
  <c r="AH73" i="24" s="1"/>
  <c r="K199" i="1"/>
  <c r="V199" i="1"/>
  <c r="AE199" i="1"/>
  <c r="AE203" i="1" s="1"/>
  <c r="AE90" i="24" s="1"/>
  <c r="AE92" i="24" s="1"/>
  <c r="AE73" i="24" s="1"/>
  <c r="AC199" i="1"/>
  <c r="M199" i="1"/>
  <c r="AF199" i="1"/>
  <c r="AK203" i="1"/>
  <c r="AK90" i="24" s="1"/>
  <c r="AK92" i="24" s="1"/>
  <c r="AK73" i="24" s="1"/>
  <c r="R101" i="1"/>
  <c r="V101" i="1"/>
  <c r="Z101" i="1"/>
  <c r="T101" i="1"/>
  <c r="X101" i="1"/>
  <c r="P101" i="1"/>
  <c r="U101" i="1"/>
  <c r="S101" i="1"/>
  <c r="W101" i="1"/>
  <c r="AA101" i="1"/>
  <c r="Q101" i="1"/>
  <c r="Y101" i="1"/>
  <c r="P203" i="1"/>
  <c r="P90" i="24" s="1"/>
  <c r="P92" i="24" s="1"/>
  <c r="E189" i="1"/>
  <c r="E191" i="1" s="1"/>
  <c r="E193" i="1" s="1"/>
  <c r="E27" i="8" s="1"/>
  <c r="R104" i="1"/>
  <c r="V104" i="1"/>
  <c r="Z104" i="1"/>
  <c r="S104" i="1"/>
  <c r="W104" i="1"/>
  <c r="AA104" i="1"/>
  <c r="Q104" i="1"/>
  <c r="Y104" i="1"/>
  <c r="X104" i="1"/>
  <c r="T104" i="1"/>
  <c r="P104" i="1"/>
  <c r="U104" i="1"/>
  <c r="AE105" i="1"/>
  <c r="AI105" i="1"/>
  <c r="AM105" i="1"/>
  <c r="AG105" i="1"/>
  <c r="AF105" i="1"/>
  <c r="AJ105" i="1"/>
  <c r="AC105" i="1"/>
  <c r="AK105" i="1"/>
  <c r="AH105" i="1"/>
  <c r="AL105" i="1"/>
  <c r="AD105" i="1"/>
  <c r="S105" i="1"/>
  <c r="W105" i="1"/>
  <c r="AA105" i="1"/>
  <c r="Q105" i="1"/>
  <c r="T105" i="1"/>
  <c r="X105" i="1"/>
  <c r="P105" i="1"/>
  <c r="V105" i="1"/>
  <c r="Y105" i="1"/>
  <c r="R105" i="1"/>
  <c r="Z105" i="1"/>
  <c r="U105" i="1"/>
  <c r="AF102" i="1"/>
  <c r="AJ102" i="1"/>
  <c r="AC102" i="1"/>
  <c r="AG102" i="1"/>
  <c r="AK102" i="1"/>
  <c r="AE102" i="1"/>
  <c r="AM102" i="1"/>
  <c r="AL102" i="1"/>
  <c r="AH102" i="1"/>
  <c r="AI102" i="1"/>
  <c r="AD102" i="1"/>
  <c r="AF103" i="1"/>
  <c r="AJ103" i="1"/>
  <c r="AC103" i="1"/>
  <c r="AG103" i="1"/>
  <c r="AK103" i="1"/>
  <c r="AH103" i="1"/>
  <c r="AI103" i="1"/>
  <c r="AD103" i="1"/>
  <c r="AL103" i="1"/>
  <c r="AE103" i="1"/>
  <c r="AM103" i="1"/>
  <c r="AC107" i="1"/>
  <c r="AG107" i="1"/>
  <c r="AK107" i="1"/>
  <c r="AI107" i="1"/>
  <c r="AM107" i="1"/>
  <c r="AD107" i="1"/>
  <c r="AH107" i="1"/>
  <c r="AL107" i="1"/>
  <c r="AE107" i="1"/>
  <c r="AF107" i="1"/>
  <c r="AJ107" i="1"/>
  <c r="S103" i="1"/>
  <c r="W103" i="1"/>
  <c r="AA103" i="1"/>
  <c r="T103" i="1"/>
  <c r="X103" i="1"/>
  <c r="Q103" i="1"/>
  <c r="Y103" i="1"/>
  <c r="R103" i="1"/>
  <c r="Z103" i="1"/>
  <c r="U103" i="1"/>
  <c r="V103" i="1"/>
  <c r="S102" i="1"/>
  <c r="W102" i="1"/>
  <c r="AA102" i="1"/>
  <c r="T102" i="1"/>
  <c r="X102" i="1"/>
  <c r="P102" i="1"/>
  <c r="V102" i="1"/>
  <c r="U102" i="1"/>
  <c r="Q102" i="1"/>
  <c r="Y102" i="1"/>
  <c r="R102" i="1"/>
  <c r="Z102" i="1"/>
  <c r="T106" i="1"/>
  <c r="X106" i="1"/>
  <c r="P106" i="1"/>
  <c r="Q106" i="1"/>
  <c r="U106" i="1"/>
  <c r="Y106" i="1"/>
  <c r="R106" i="1"/>
  <c r="V106" i="1"/>
  <c r="Z106" i="1"/>
  <c r="S106" i="1"/>
  <c r="W106" i="1"/>
  <c r="AA106" i="1"/>
  <c r="Q107" i="1"/>
  <c r="U107" i="1"/>
  <c r="Y107" i="1"/>
  <c r="W107" i="1"/>
  <c r="AA107" i="1"/>
  <c r="R107" i="1"/>
  <c r="V107" i="1"/>
  <c r="Z107" i="1"/>
  <c r="S107" i="1"/>
  <c r="X107" i="1"/>
  <c r="P107" i="1"/>
  <c r="T107" i="1"/>
  <c r="AA203" i="1"/>
  <c r="AA90" i="24" s="1"/>
  <c r="AA92" i="24" s="1"/>
  <c r="AA73" i="24" s="1"/>
  <c r="AD104" i="1"/>
  <c r="AH104" i="1"/>
  <c r="AL104" i="1"/>
  <c r="AE104" i="1"/>
  <c r="AI104" i="1"/>
  <c r="AM104" i="1"/>
  <c r="AG104" i="1"/>
  <c r="AJ104" i="1"/>
  <c r="AC104" i="1"/>
  <c r="AK104" i="1"/>
  <c r="AF104" i="1"/>
  <c r="AF106" i="1"/>
  <c r="AJ106" i="1"/>
  <c r="AC106" i="1"/>
  <c r="AG106" i="1"/>
  <c r="AK106" i="1"/>
  <c r="AD106" i="1"/>
  <c r="AH106" i="1"/>
  <c r="AL106" i="1"/>
  <c r="AE106" i="1"/>
  <c r="AI106" i="1"/>
  <c r="AM106" i="1"/>
  <c r="D172" i="1"/>
  <c r="D24" i="8" s="1"/>
  <c r="D186" i="1"/>
  <c r="D26" i="8" s="1"/>
  <c r="D179" i="1"/>
  <c r="D25" i="8" s="1"/>
  <c r="D158" i="1"/>
  <c r="D22" i="8" s="1"/>
  <c r="D151" i="1"/>
  <c r="D21" i="8" s="1"/>
  <c r="D78" i="1"/>
  <c r="AC203" i="1" l="1"/>
  <c r="AC90" i="24" s="1"/>
  <c r="AC92" i="24" s="1"/>
  <c r="AC73" i="24" s="1"/>
  <c r="N203" i="1"/>
  <c r="N90" i="24" s="1"/>
  <c r="N92" i="24" s="1"/>
  <c r="N73" i="24" s="1"/>
  <c r="R203" i="1"/>
  <c r="R90" i="24" s="1"/>
  <c r="R92" i="24" s="1"/>
  <c r="R73" i="24" s="1"/>
  <c r="G203" i="1"/>
  <c r="G90" i="24" s="1"/>
  <c r="G92" i="24" s="1"/>
  <c r="G73" i="24" s="1"/>
  <c r="T63" i="24"/>
  <c r="T101" i="9" s="1"/>
  <c r="AB203" i="1"/>
  <c r="Z63" i="24"/>
  <c r="Z101" i="9" s="1"/>
  <c r="Y63" i="24"/>
  <c r="Y101" i="9" s="1"/>
  <c r="O73" i="24"/>
  <c r="O96" i="24"/>
  <c r="E73" i="24"/>
  <c r="E96" i="24"/>
  <c r="AF66" i="24"/>
  <c r="AI66" i="24"/>
  <c r="AG66" i="24"/>
  <c r="AM66" i="24"/>
  <c r="AE66" i="24"/>
  <c r="AC66" i="24"/>
  <c r="AB66" i="24"/>
  <c r="AL66" i="24"/>
  <c r="AK66" i="24"/>
  <c r="AD66" i="24"/>
  <c r="AJ66" i="24"/>
  <c r="AH66" i="24"/>
  <c r="D112" i="1"/>
  <c r="D209" i="1" s="1"/>
  <c r="D90" i="24"/>
  <c r="D92" i="24" s="1"/>
  <c r="Q203" i="1"/>
  <c r="Q90" i="24" s="1"/>
  <c r="Q92" i="24" s="1"/>
  <c r="Q73" i="24" s="1"/>
  <c r="J96" i="24"/>
  <c r="J73" i="24"/>
  <c r="AA63" i="24"/>
  <c r="AA101" i="9" s="1"/>
  <c r="AE142" i="9"/>
  <c r="H100" i="1"/>
  <c r="P143" i="9"/>
  <c r="AF203" i="1"/>
  <c r="AF90" i="24" s="1"/>
  <c r="AF92" i="24" s="1"/>
  <c r="AF73" i="24" s="1"/>
  <c r="V203" i="1"/>
  <c r="V90" i="24" s="1"/>
  <c r="V92" i="24" s="1"/>
  <c r="V73" i="24" s="1"/>
  <c r="Z203" i="1"/>
  <c r="Z90" i="24" s="1"/>
  <c r="Z92" i="24" s="1"/>
  <c r="Z73" i="24" s="1"/>
  <c r="F203" i="1"/>
  <c r="F90" i="24" s="1"/>
  <c r="F92" i="24" s="1"/>
  <c r="L96" i="24"/>
  <c r="L73" i="24"/>
  <c r="I203" i="1"/>
  <c r="I90" i="24" s="1"/>
  <c r="I92" i="24" s="1"/>
  <c r="AM203" i="1"/>
  <c r="AM90" i="24" s="1"/>
  <c r="AM92" i="24" s="1"/>
  <c r="AM73" i="24" s="1"/>
  <c r="M36" i="24"/>
  <c r="D97" i="24" s="1"/>
  <c r="Q63" i="24"/>
  <c r="Q101" i="9" s="1"/>
  <c r="W63" i="24"/>
  <c r="W101" i="9" s="1"/>
  <c r="R63" i="24"/>
  <c r="R101" i="9" s="1"/>
  <c r="E25" i="2"/>
  <c r="K62" i="24"/>
  <c r="M62" i="24"/>
  <c r="L62" i="24"/>
  <c r="J62" i="24"/>
  <c r="O62" i="24"/>
  <c r="H62" i="24"/>
  <c r="F62" i="24"/>
  <c r="E62" i="24"/>
  <c r="D62" i="24"/>
  <c r="N62" i="24"/>
  <c r="G62" i="24"/>
  <c r="I62" i="24"/>
  <c r="AF68" i="24"/>
  <c r="AG68" i="24"/>
  <c r="AD68" i="24"/>
  <c r="AB68" i="24"/>
  <c r="AE68" i="24"/>
  <c r="AL68" i="24"/>
  <c r="AI68" i="24"/>
  <c r="AJ68" i="24"/>
  <c r="AK68" i="24"/>
  <c r="AH68" i="24"/>
  <c r="AC68" i="24"/>
  <c r="AM68" i="24"/>
  <c r="AB62" i="24"/>
  <c r="AG62" i="24"/>
  <c r="AM62" i="24"/>
  <c r="AI62" i="24"/>
  <c r="AJ62" i="24"/>
  <c r="AD62" i="24"/>
  <c r="AK62" i="24"/>
  <c r="AL62" i="24"/>
  <c r="AF62" i="24"/>
  <c r="AC62" i="24"/>
  <c r="AE62" i="24"/>
  <c r="AH62" i="24"/>
  <c r="D66" i="24"/>
  <c r="H66" i="24"/>
  <c r="M66" i="24"/>
  <c r="G66" i="24"/>
  <c r="N66" i="24"/>
  <c r="L66" i="24"/>
  <c r="F66" i="24"/>
  <c r="K66" i="24"/>
  <c r="E66" i="24"/>
  <c r="J66" i="24"/>
  <c r="O66" i="24"/>
  <c r="I66" i="24"/>
  <c r="AD203" i="1"/>
  <c r="AD90" i="24" s="1"/>
  <c r="AD92" i="24" s="1"/>
  <c r="AD73" i="24" s="1"/>
  <c r="X203" i="1"/>
  <c r="X90" i="24" s="1"/>
  <c r="X92" i="24" s="1"/>
  <c r="X73" i="24" s="1"/>
  <c r="U63" i="24"/>
  <c r="U101" i="9" s="1"/>
  <c r="V63" i="24"/>
  <c r="V101" i="9" s="1"/>
  <c r="F25" i="2"/>
  <c r="M203" i="1"/>
  <c r="M90" i="24" s="1"/>
  <c r="M92" i="24" s="1"/>
  <c r="K203" i="1"/>
  <c r="K90" i="24" s="1"/>
  <c r="K92" i="24" s="1"/>
  <c r="T203" i="1"/>
  <c r="T90" i="24" s="1"/>
  <c r="T92" i="24" s="1"/>
  <c r="T73" i="24" s="1"/>
  <c r="W203" i="1"/>
  <c r="W90" i="24" s="1"/>
  <c r="W92" i="24" s="1"/>
  <c r="W73" i="24" s="1"/>
  <c r="H203" i="1"/>
  <c r="H90" i="24" s="1"/>
  <c r="H92" i="24" s="1"/>
  <c r="S203" i="1"/>
  <c r="S90" i="24" s="1"/>
  <c r="S92" i="24" s="1"/>
  <c r="S73" i="24" s="1"/>
  <c r="AL203" i="1"/>
  <c r="AL90" i="24" s="1"/>
  <c r="AL92" i="24" s="1"/>
  <c r="AL73" i="24" s="1"/>
  <c r="N36" i="24"/>
  <c r="P97" i="24" s="1"/>
  <c r="X63" i="24"/>
  <c r="X101" i="9" s="1"/>
  <c r="S63" i="24"/>
  <c r="S101" i="9" s="1"/>
  <c r="F19" i="2"/>
  <c r="F17" i="2"/>
  <c r="D221" i="2" s="1"/>
  <c r="F22" i="2"/>
  <c r="E21" i="2"/>
  <c r="F21" i="2"/>
  <c r="Z17" i="9"/>
  <c r="AB101" i="9"/>
  <c r="R17" i="9"/>
  <c r="R69" i="24"/>
  <c r="R104" i="9" s="1"/>
  <c r="G17" i="2"/>
  <c r="E221" i="2" s="1"/>
  <c r="P73" i="24"/>
  <c r="AA17" i="9"/>
  <c r="S17" i="9"/>
  <c r="AB97" i="9"/>
  <c r="G18" i="2"/>
  <c r="E20" i="2"/>
  <c r="P97" i="9"/>
  <c r="F18" i="2"/>
  <c r="X17" i="9"/>
  <c r="Y17" i="9"/>
  <c r="V17" i="9"/>
  <c r="U17" i="9"/>
  <c r="P69" i="24"/>
  <c r="E22" i="2"/>
  <c r="T17" i="9"/>
  <c r="W17" i="9"/>
  <c r="Q17" i="9"/>
  <c r="D97" i="9"/>
  <c r="E18" i="2"/>
  <c r="AF17" i="9"/>
  <c r="AH17" i="9"/>
  <c r="AK17" i="9"/>
  <c r="AB17" i="9"/>
  <c r="AE17" i="9"/>
  <c r="AL17" i="9"/>
  <c r="AM17" i="9"/>
  <c r="AG17" i="9"/>
  <c r="AJ17" i="9"/>
  <c r="AD17" i="9"/>
  <c r="AI17" i="9"/>
  <c r="AC17" i="9"/>
  <c r="Y96" i="24"/>
  <c r="AA96" i="24"/>
  <c r="AB112" i="1"/>
  <c r="AB90" i="24"/>
  <c r="AB92" i="24" s="1"/>
  <c r="U96" i="24"/>
  <c r="P96" i="24"/>
  <c r="AC96" i="24"/>
  <c r="AH96" i="24"/>
  <c r="AJ96" i="24"/>
  <c r="AK96" i="24"/>
  <c r="AE96" i="24"/>
  <c r="AI96" i="24"/>
  <c r="AG96" i="24"/>
  <c r="AM96" i="24"/>
  <c r="AE64" i="24"/>
  <c r="AI64" i="24"/>
  <c r="AM64" i="24"/>
  <c r="AC64" i="24"/>
  <c r="AG64" i="24"/>
  <c r="AK64" i="24"/>
  <c r="AJ64" i="24"/>
  <c r="AD64" i="24"/>
  <c r="AL64" i="24"/>
  <c r="AF64" i="24"/>
  <c r="AH64" i="24"/>
  <c r="AC65" i="24"/>
  <c r="AG65" i="24"/>
  <c r="AK65" i="24"/>
  <c r="AD65" i="24"/>
  <c r="AH65" i="24"/>
  <c r="AL65" i="24"/>
  <c r="AE65" i="24"/>
  <c r="AI65" i="24"/>
  <c r="AM65" i="24"/>
  <c r="AF65" i="24"/>
  <c r="AJ65" i="24"/>
  <c r="AB65" i="24"/>
  <c r="AF63" i="24"/>
  <c r="AF101" i="9" s="1"/>
  <c r="AJ63" i="24"/>
  <c r="AJ101" i="9" s="1"/>
  <c r="AC63" i="24"/>
  <c r="AC101" i="9" s="1"/>
  <c r="AG63" i="24"/>
  <c r="AG101" i="9" s="1"/>
  <c r="AK63" i="24"/>
  <c r="AK101" i="9" s="1"/>
  <c r="AD63" i="24"/>
  <c r="AD101" i="9" s="1"/>
  <c r="AH63" i="24"/>
  <c r="AH101" i="9" s="1"/>
  <c r="AL63" i="24"/>
  <c r="AL101" i="9" s="1"/>
  <c r="AE63" i="24"/>
  <c r="AE101" i="9" s="1"/>
  <c r="AI63" i="24"/>
  <c r="AI101" i="9" s="1"/>
  <c r="AM63" i="24"/>
  <c r="AM101" i="9" s="1"/>
  <c r="E161" i="1"/>
  <c r="E163" i="1" s="1"/>
  <c r="E165" i="1" s="1"/>
  <c r="E23" i="8" s="1"/>
  <c r="C10" i="24"/>
  <c r="C12" i="24" s="1"/>
  <c r="D60" i="24" s="1"/>
  <c r="D100" i="1"/>
  <c r="D108" i="1" s="1"/>
  <c r="N100" i="1"/>
  <c r="I100" i="1"/>
  <c r="J100" i="1"/>
  <c r="D200" i="1"/>
  <c r="D28" i="8" s="1"/>
  <c r="O100" i="1"/>
  <c r="K100" i="1"/>
  <c r="E100" i="1"/>
  <c r="L100" i="1"/>
  <c r="F100" i="1"/>
  <c r="G100" i="1"/>
  <c r="E154" i="1"/>
  <c r="E156" i="1" s="1"/>
  <c r="E158" i="1" s="1"/>
  <c r="E22" i="8" s="1"/>
  <c r="E175" i="1"/>
  <c r="E177" i="1" s="1"/>
  <c r="E179" i="1" s="1"/>
  <c r="E25" i="8" s="1"/>
  <c r="E182" i="1"/>
  <c r="E184" i="1" s="1"/>
  <c r="E186" i="1" s="1"/>
  <c r="E26" i="8" s="1"/>
  <c r="E168" i="1"/>
  <c r="E170" i="1" s="1"/>
  <c r="E172" i="1" s="1"/>
  <c r="E24" i="8" s="1"/>
  <c r="E147" i="1"/>
  <c r="E149" i="1" s="1"/>
  <c r="E151" i="1" s="1"/>
  <c r="E21" i="8" s="1"/>
  <c r="F189" i="1"/>
  <c r="F191" i="1" s="1"/>
  <c r="F193" i="1" s="1"/>
  <c r="F27" i="8" s="1"/>
  <c r="Z69" i="24" l="1"/>
  <c r="Z104" i="9" s="1"/>
  <c r="Z105" i="9" s="1"/>
  <c r="N96" i="24"/>
  <c r="AF96" i="24"/>
  <c r="AA69" i="24"/>
  <c r="AA104" i="9" s="1"/>
  <c r="R96" i="24"/>
  <c r="Y69" i="24"/>
  <c r="Y104" i="9" s="1"/>
  <c r="U69" i="24"/>
  <c r="U104" i="9" s="1"/>
  <c r="G96" i="24"/>
  <c r="T69" i="24"/>
  <c r="T104" i="9" s="1"/>
  <c r="T105" i="9" s="1"/>
  <c r="Q96" i="24"/>
  <c r="E196" i="1"/>
  <c r="E198" i="1" s="1"/>
  <c r="E200" i="1" s="1"/>
  <c r="E28" i="8" s="1"/>
  <c r="V96" i="24"/>
  <c r="S96" i="24"/>
  <c r="Q69" i="24"/>
  <c r="Q104" i="9" s="1"/>
  <c r="Q105" i="9" s="1"/>
  <c r="S69" i="24"/>
  <c r="S104" i="9" s="1"/>
  <c r="Z96" i="24"/>
  <c r="T96" i="24"/>
  <c r="AL96" i="24"/>
  <c r="V69" i="24"/>
  <c r="V104" i="9" s="1"/>
  <c r="W69" i="24"/>
  <c r="W104" i="9" s="1"/>
  <c r="W105" i="9" s="1"/>
  <c r="X96" i="24"/>
  <c r="F20" i="2"/>
  <c r="F31" i="2"/>
  <c r="D223" i="2" s="1"/>
  <c r="F73" i="24"/>
  <c r="F96" i="24"/>
  <c r="AD96" i="24"/>
  <c r="X69" i="24"/>
  <c r="X104" i="9" s="1"/>
  <c r="I73" i="24"/>
  <c r="I96" i="24"/>
  <c r="H96" i="24"/>
  <c r="H73" i="24"/>
  <c r="M96" i="24"/>
  <c r="M73" i="24"/>
  <c r="G25" i="2"/>
  <c r="D96" i="24"/>
  <c r="D73" i="24"/>
  <c r="E31" i="2"/>
  <c r="C223" i="2" s="1"/>
  <c r="F161" i="1"/>
  <c r="F163" i="1" s="1"/>
  <c r="F165" i="1" s="1"/>
  <c r="F23" i="8" s="1"/>
  <c r="W96" i="24"/>
  <c r="K73" i="24"/>
  <c r="K96" i="24"/>
  <c r="E23" i="2"/>
  <c r="G19" i="2"/>
  <c r="E19" i="2"/>
  <c r="G23" i="2"/>
  <c r="G21" i="2"/>
  <c r="P104" i="9"/>
  <c r="D17" i="9"/>
  <c r="D69" i="24"/>
  <c r="AB69" i="24"/>
  <c r="G22" i="2"/>
  <c r="G31" i="2"/>
  <c r="E223" i="2" s="1"/>
  <c r="G20" i="2"/>
  <c r="AM69" i="24"/>
  <c r="AM104" i="9" s="1"/>
  <c r="AH69" i="24"/>
  <c r="AH104" i="9" s="1"/>
  <c r="AC69" i="24"/>
  <c r="AC104" i="9" s="1"/>
  <c r="AC105" i="9" s="1"/>
  <c r="AI69" i="24"/>
  <c r="AI104" i="9" s="1"/>
  <c r="AI105" i="9" s="1"/>
  <c r="AD69" i="24"/>
  <c r="AD104" i="9" s="1"/>
  <c r="AJ69" i="24"/>
  <c r="AJ104" i="9" s="1"/>
  <c r="AE69" i="24"/>
  <c r="AE104" i="9" s="1"/>
  <c r="AK69" i="24"/>
  <c r="AK104" i="9" s="1"/>
  <c r="AF69" i="24"/>
  <c r="AF104" i="9" s="1"/>
  <c r="AF105" i="9" s="1"/>
  <c r="AL69" i="24"/>
  <c r="AL104" i="9" s="1"/>
  <c r="AL105" i="9" s="1"/>
  <c r="AG69" i="24"/>
  <c r="AG104" i="9" s="1"/>
  <c r="AB96" i="24"/>
  <c r="E60" i="24"/>
  <c r="I60" i="24"/>
  <c r="M60" i="24"/>
  <c r="G60" i="24"/>
  <c r="K60" i="24"/>
  <c r="O60" i="24"/>
  <c r="J60" i="24"/>
  <c r="L60" i="24"/>
  <c r="F60" i="24"/>
  <c r="N60" i="24"/>
  <c r="H60" i="24"/>
  <c r="F147" i="1"/>
  <c r="F149" i="1" s="1"/>
  <c r="F151" i="1" s="1"/>
  <c r="F21" i="8" s="1"/>
  <c r="G189" i="1"/>
  <c r="G191" i="1" s="1"/>
  <c r="G193" i="1" s="1"/>
  <c r="G27" i="8" s="1"/>
  <c r="F168" i="1"/>
  <c r="F170" i="1" s="1"/>
  <c r="F172" i="1" s="1"/>
  <c r="F24" i="8" s="1"/>
  <c r="F196" i="1"/>
  <c r="F198" i="1" s="1"/>
  <c r="F200" i="1" s="1"/>
  <c r="F28" i="8" s="1"/>
  <c r="R100" i="1"/>
  <c r="V100" i="1"/>
  <c r="Z100" i="1"/>
  <c r="P100" i="1"/>
  <c r="T100" i="1"/>
  <c r="Q100" i="1"/>
  <c r="Y100" i="1"/>
  <c r="S100" i="1"/>
  <c r="W100" i="1"/>
  <c r="AA100" i="1"/>
  <c r="X100" i="1"/>
  <c r="U100" i="1"/>
  <c r="F182" i="1"/>
  <c r="F184" i="1" s="1"/>
  <c r="F186" i="1" s="1"/>
  <c r="F26" i="8" s="1"/>
  <c r="F175" i="1"/>
  <c r="F177" i="1" s="1"/>
  <c r="F179" i="1" s="1"/>
  <c r="F25" i="8" s="1"/>
  <c r="F154" i="1"/>
  <c r="F156" i="1" s="1"/>
  <c r="F158" i="1" s="1"/>
  <c r="F22" i="8" s="1"/>
  <c r="F26" i="2" l="1"/>
  <c r="G161" i="1"/>
  <c r="G163" i="1" s="1"/>
  <c r="G165" i="1" s="1"/>
  <c r="G23" i="8" s="1"/>
  <c r="G27" i="2"/>
  <c r="J17" i="9"/>
  <c r="J69" i="24"/>
  <c r="J104" i="9" s="1"/>
  <c r="M69" i="24"/>
  <c r="M104" i="9" s="1"/>
  <c r="M17" i="9"/>
  <c r="N17" i="9"/>
  <c r="N69" i="24"/>
  <c r="N104" i="9" s="1"/>
  <c r="N105" i="9" s="1"/>
  <c r="O17" i="9"/>
  <c r="O69" i="24"/>
  <c r="O104" i="9" s="1"/>
  <c r="I17" i="9"/>
  <c r="I69" i="24"/>
  <c r="I104" i="9" s="1"/>
  <c r="AB104" i="9"/>
  <c r="G26" i="2"/>
  <c r="L17" i="9"/>
  <c r="L69" i="24"/>
  <c r="L104" i="9" s="1"/>
  <c r="G69" i="24"/>
  <c r="G104" i="9" s="1"/>
  <c r="G17" i="9"/>
  <c r="D104" i="9"/>
  <c r="H17" i="9"/>
  <c r="H69" i="24"/>
  <c r="H104" i="9" s="1"/>
  <c r="H105" i="9" s="1"/>
  <c r="F17" i="9"/>
  <c r="F69" i="24"/>
  <c r="F104" i="9" s="1"/>
  <c r="K17" i="9"/>
  <c r="K69" i="24"/>
  <c r="K104" i="9" s="1"/>
  <c r="K105" i="9" s="1"/>
  <c r="E17" i="9"/>
  <c r="E69" i="24"/>
  <c r="E104" i="9" s="1"/>
  <c r="E105" i="9" s="1"/>
  <c r="E17" i="2"/>
  <c r="C221" i="2" s="1"/>
  <c r="G147" i="1"/>
  <c r="G149" i="1" s="1"/>
  <c r="G151" i="1" s="1"/>
  <c r="G21" i="8" s="1"/>
  <c r="AE100" i="1"/>
  <c r="AI100" i="1"/>
  <c r="AM100" i="1"/>
  <c r="AC100" i="1"/>
  <c r="AG100" i="1"/>
  <c r="AD100" i="1"/>
  <c r="AL100" i="1"/>
  <c r="AF100" i="1"/>
  <c r="AJ100" i="1"/>
  <c r="AJ108" i="1" s="1"/>
  <c r="AB100" i="1"/>
  <c r="AB108" i="1" s="1"/>
  <c r="AK100" i="1"/>
  <c r="AH100" i="1"/>
  <c r="G175" i="1"/>
  <c r="G177" i="1" s="1"/>
  <c r="G179" i="1" s="1"/>
  <c r="G25" i="8" s="1"/>
  <c r="H161" i="1"/>
  <c r="H163" i="1" s="1"/>
  <c r="H165" i="1" s="1"/>
  <c r="H23" i="8" s="1"/>
  <c r="G168" i="1"/>
  <c r="G170" i="1" s="1"/>
  <c r="G172" i="1" s="1"/>
  <c r="G24" i="8" s="1"/>
  <c r="G154" i="1"/>
  <c r="G156" i="1" s="1"/>
  <c r="G158" i="1" s="1"/>
  <c r="G22" i="8" s="1"/>
  <c r="G182" i="1"/>
  <c r="G184" i="1" s="1"/>
  <c r="G186" i="1" s="1"/>
  <c r="G26" i="8" s="1"/>
  <c r="G196" i="1"/>
  <c r="G198" i="1" s="1"/>
  <c r="G200" i="1" s="1"/>
  <c r="G28" i="8" s="1"/>
  <c r="H189" i="1"/>
  <c r="H191" i="1" s="1"/>
  <c r="H193" i="1" s="1"/>
  <c r="H27" i="8" s="1"/>
  <c r="H147" i="1"/>
  <c r="H149" i="1" s="1"/>
  <c r="H151" i="1" s="1"/>
  <c r="H21" i="8" s="1"/>
  <c r="F89" i="14"/>
  <c r="C89" i="11"/>
  <c r="E91" i="11"/>
  <c r="E75" i="11"/>
  <c r="C81" i="11"/>
  <c r="F38" i="11"/>
  <c r="F33" i="11"/>
  <c r="E39" i="11"/>
  <c r="E34" i="11"/>
  <c r="M34" i="11" s="1"/>
  <c r="E29" i="11"/>
  <c r="J17" i="11"/>
  <c r="J13" i="11"/>
  <c r="J9" i="11"/>
  <c r="J10" i="11" s="1"/>
  <c r="F22" i="11"/>
  <c r="C73" i="11"/>
  <c r="E89" i="14"/>
  <c r="E91" i="14" s="1"/>
  <c r="G89" i="14"/>
  <c r="G91" i="14" s="1"/>
  <c r="G92" i="14" s="1"/>
  <c r="C90" i="11" s="1"/>
  <c r="E26" i="2" l="1"/>
  <c r="F72" i="11"/>
  <c r="F75" i="11" s="1"/>
  <c r="J136" i="21" s="1"/>
  <c r="I136" i="21"/>
  <c r="F88" i="11"/>
  <c r="F91" i="11" s="1"/>
  <c r="J176" i="21" s="1"/>
  <c r="I176" i="21"/>
  <c r="J14" i="11"/>
  <c r="J18" i="11"/>
  <c r="E30" i="11"/>
  <c r="G33" i="11"/>
  <c r="H33" i="11" s="1"/>
  <c r="I33" i="11" s="1"/>
  <c r="J33" i="11" s="1"/>
  <c r="L33" i="11" s="1"/>
  <c r="H28" i="11"/>
  <c r="I28" i="11" s="1"/>
  <c r="J28" i="11" s="1"/>
  <c r="G38" i="11"/>
  <c r="H38" i="11" s="1"/>
  <c r="I38" i="11" s="1"/>
  <c r="J38" i="11" s="1"/>
  <c r="H154" i="1"/>
  <c r="H156" i="1" s="1"/>
  <c r="H158" i="1" s="1"/>
  <c r="H22" i="8" s="1"/>
  <c r="H196" i="1"/>
  <c r="H198" i="1" s="1"/>
  <c r="H200" i="1" s="1"/>
  <c r="H28" i="8" s="1"/>
  <c r="I161" i="1"/>
  <c r="I163" i="1" s="1"/>
  <c r="I165" i="1" s="1"/>
  <c r="I23" i="8" s="1"/>
  <c r="I189" i="1"/>
  <c r="I191" i="1" s="1"/>
  <c r="I193" i="1" s="1"/>
  <c r="I27" i="8" s="1"/>
  <c r="H182" i="1"/>
  <c r="H184" i="1" s="1"/>
  <c r="H186" i="1" s="1"/>
  <c r="H26" i="8" s="1"/>
  <c r="H168" i="1"/>
  <c r="H170" i="1" s="1"/>
  <c r="H172" i="1" s="1"/>
  <c r="H24" i="8" s="1"/>
  <c r="H175" i="1"/>
  <c r="H177" i="1" s="1"/>
  <c r="H179" i="1" s="1"/>
  <c r="H25" i="8" s="1"/>
  <c r="I147" i="1"/>
  <c r="I149" i="1" s="1"/>
  <c r="I151" i="1" s="1"/>
  <c r="I21" i="8" s="1"/>
  <c r="E92" i="11"/>
  <c r="E93" i="11" s="1"/>
  <c r="L39" i="11"/>
  <c r="O29" i="11"/>
  <c r="H29" i="11"/>
  <c r="P29" i="11"/>
  <c r="E76" i="11"/>
  <c r="O39" i="11"/>
  <c r="P39" i="11"/>
  <c r="O34" i="11"/>
  <c r="H34" i="11"/>
  <c r="P34" i="11"/>
  <c r="F39" i="11"/>
  <c r="F29" i="11"/>
  <c r="G29" i="11"/>
  <c r="X29" i="11"/>
  <c r="N34" i="11"/>
  <c r="L34" i="11"/>
  <c r="J29" i="11"/>
  <c r="M29" i="11"/>
  <c r="AB29" i="11"/>
  <c r="I29" i="11"/>
  <c r="N29" i="11"/>
  <c r="I39" i="11"/>
  <c r="M39" i="11"/>
  <c r="N39" i="11"/>
  <c r="G39" i="11"/>
  <c r="J39" i="11"/>
  <c r="H39" i="11"/>
  <c r="I34" i="11"/>
  <c r="F34" i="11"/>
  <c r="J34" i="11"/>
  <c r="G34" i="11"/>
  <c r="G72" i="11" l="1"/>
  <c r="G75" i="11" s="1"/>
  <c r="G76" i="11" s="1"/>
  <c r="F76" i="11"/>
  <c r="I144" i="21"/>
  <c r="I141" i="21"/>
  <c r="I138" i="21"/>
  <c r="J144" i="21"/>
  <c r="G88" i="11"/>
  <c r="G91" i="11" s="1"/>
  <c r="K176" i="21" s="1"/>
  <c r="J181" i="21" s="1"/>
  <c r="F92" i="11"/>
  <c r="F93" i="11" s="1"/>
  <c r="I178" i="21"/>
  <c r="I184" i="21"/>
  <c r="I181" i="21"/>
  <c r="J184" i="21"/>
  <c r="F30" i="11"/>
  <c r="AC53" i="11"/>
  <c r="M33" i="11"/>
  <c r="N33" i="11" s="1"/>
  <c r="O33" i="11" s="1"/>
  <c r="Q33" i="11" s="1"/>
  <c r="R33" i="11" s="1"/>
  <c r="S33" i="11" s="1"/>
  <c r="T33" i="11" s="1"/>
  <c r="U33" i="11" s="1"/>
  <c r="V33" i="11" s="1"/>
  <c r="L38" i="11"/>
  <c r="M38" i="11"/>
  <c r="N38" i="11" s="1"/>
  <c r="O38" i="11" s="1"/>
  <c r="M28" i="11"/>
  <c r="J189" i="1"/>
  <c r="J191" i="1" s="1"/>
  <c r="J193" i="1" s="1"/>
  <c r="J27" i="8" s="1"/>
  <c r="I168" i="1"/>
  <c r="I170" i="1" s="1"/>
  <c r="I172" i="1" s="1"/>
  <c r="I24" i="8" s="1"/>
  <c r="I196" i="1"/>
  <c r="I198" i="1" s="1"/>
  <c r="I200" i="1" s="1"/>
  <c r="I28" i="8" s="1"/>
  <c r="I175" i="1"/>
  <c r="I177" i="1" s="1"/>
  <c r="I179" i="1" s="1"/>
  <c r="I25" i="8" s="1"/>
  <c r="I182" i="1"/>
  <c r="I184" i="1" s="1"/>
  <c r="I186" i="1" s="1"/>
  <c r="I26" i="8" s="1"/>
  <c r="J161" i="1"/>
  <c r="J163" i="1" s="1"/>
  <c r="J165" i="1" s="1"/>
  <c r="J23" i="8" s="1"/>
  <c r="I154" i="1"/>
  <c r="I156" i="1" s="1"/>
  <c r="I158" i="1" s="1"/>
  <c r="I22" i="8" s="1"/>
  <c r="J147" i="1"/>
  <c r="J149" i="1" s="1"/>
  <c r="J151" i="1" s="1"/>
  <c r="J21" i="8" s="1"/>
  <c r="M35" i="11"/>
  <c r="K136" i="21" l="1"/>
  <c r="J141" i="21" s="1"/>
  <c r="H72" i="11"/>
  <c r="H75" i="11" s="1"/>
  <c r="H76" i="11" s="1"/>
  <c r="L136" i="21"/>
  <c r="I147" i="21"/>
  <c r="I148" i="21" s="1"/>
  <c r="J135" i="21"/>
  <c r="I142" i="21"/>
  <c r="I143" i="21" s="1"/>
  <c r="I145" i="21" s="1"/>
  <c r="J137" i="21" s="1"/>
  <c r="H88" i="11"/>
  <c r="H91" i="11" s="1"/>
  <c r="H92" i="11" s="1"/>
  <c r="H93" i="11" s="1"/>
  <c r="G92" i="11"/>
  <c r="G93" i="11" s="1"/>
  <c r="I187" i="21"/>
  <c r="I188" i="21" s="1"/>
  <c r="I182" i="21"/>
  <c r="I183" i="21" s="1"/>
  <c r="I185" i="21" s="1"/>
  <c r="J177" i="21" s="1"/>
  <c r="J175" i="21"/>
  <c r="K184" i="21"/>
  <c r="P33" i="11"/>
  <c r="Q38" i="11"/>
  <c r="R38" i="11" s="1"/>
  <c r="S38" i="11" s="1"/>
  <c r="T38" i="11" s="1"/>
  <c r="U38" i="11" s="1"/>
  <c r="V38" i="11" s="1"/>
  <c r="Y38" i="11" s="1"/>
  <c r="Z38" i="11" s="1"/>
  <c r="P38" i="11"/>
  <c r="AD53" i="11"/>
  <c r="N28" i="11"/>
  <c r="Q28" i="11" s="1"/>
  <c r="K161" i="1"/>
  <c r="K163" i="1" s="1"/>
  <c r="K165" i="1" s="1"/>
  <c r="K23" i="8" s="1"/>
  <c r="J168" i="1"/>
  <c r="J170" i="1" s="1"/>
  <c r="J172" i="1" s="1"/>
  <c r="J24" i="8" s="1"/>
  <c r="J175" i="1"/>
  <c r="J177" i="1" s="1"/>
  <c r="J179" i="1" s="1"/>
  <c r="J25" i="8" s="1"/>
  <c r="J154" i="1"/>
  <c r="J156" i="1" s="1"/>
  <c r="J158" i="1" s="1"/>
  <c r="J22" i="8" s="1"/>
  <c r="J182" i="1"/>
  <c r="J184" i="1" s="1"/>
  <c r="J186" i="1" s="1"/>
  <c r="J26" i="8" s="1"/>
  <c r="J196" i="1"/>
  <c r="J198" i="1" s="1"/>
  <c r="J200" i="1" s="1"/>
  <c r="J28" i="8" s="1"/>
  <c r="K189" i="1"/>
  <c r="K191" i="1" s="1"/>
  <c r="K193" i="1" s="1"/>
  <c r="K27" i="8" s="1"/>
  <c r="K147" i="1"/>
  <c r="K149" i="1" s="1"/>
  <c r="K151" i="1" s="1"/>
  <c r="K21" i="8" s="1"/>
  <c r="I88" i="11"/>
  <c r="I91" i="11" s="1"/>
  <c r="I72" i="11"/>
  <c r="I75" i="11" s="1"/>
  <c r="X33" i="11"/>
  <c r="Y33" i="11" s="1"/>
  <c r="Z33" i="11" s="1"/>
  <c r="K144" i="21" l="1"/>
  <c r="K141" i="21"/>
  <c r="J178" i="21"/>
  <c r="J182" i="21" s="1"/>
  <c r="J183" i="21" s="1"/>
  <c r="J185" i="21" s="1"/>
  <c r="K177" i="21" s="1"/>
  <c r="L176" i="21"/>
  <c r="K181" i="21" s="1"/>
  <c r="L144" i="21"/>
  <c r="I76" i="11"/>
  <c r="M136" i="21"/>
  <c r="J138" i="21"/>
  <c r="I92" i="11"/>
  <c r="I93" i="11" s="1"/>
  <c r="M176" i="21"/>
  <c r="X38" i="11"/>
  <c r="AE53" i="11"/>
  <c r="P28" i="11"/>
  <c r="O28" i="11"/>
  <c r="R28" i="11"/>
  <c r="S28" i="11" s="1"/>
  <c r="T28" i="11" s="1"/>
  <c r="U28" i="11" s="1"/>
  <c r="V28" i="11" s="1"/>
  <c r="K196" i="1"/>
  <c r="K198" i="1" s="1"/>
  <c r="K200" i="1" s="1"/>
  <c r="K28" i="8" s="1"/>
  <c r="K154" i="1"/>
  <c r="K156" i="1" s="1"/>
  <c r="K158" i="1" s="1"/>
  <c r="K22" i="8" s="1"/>
  <c r="K168" i="1"/>
  <c r="K170" i="1" s="1"/>
  <c r="K172" i="1" s="1"/>
  <c r="K24" i="8" s="1"/>
  <c r="L189" i="1"/>
  <c r="L191" i="1" s="1"/>
  <c r="L193" i="1" s="1"/>
  <c r="L27" i="8" s="1"/>
  <c r="K182" i="1"/>
  <c r="K184" i="1" s="1"/>
  <c r="K186" i="1" s="1"/>
  <c r="K26" i="8" s="1"/>
  <c r="K175" i="1"/>
  <c r="K177" i="1" s="1"/>
  <c r="K179" i="1" s="1"/>
  <c r="K25" i="8" s="1"/>
  <c r="L161" i="1"/>
  <c r="L163" i="1" s="1"/>
  <c r="L165" i="1" s="1"/>
  <c r="L23" i="8" s="1"/>
  <c r="L147" i="1"/>
  <c r="L149" i="1" s="1"/>
  <c r="L151" i="1" s="1"/>
  <c r="L21" i="8" s="1"/>
  <c r="J88" i="11"/>
  <c r="J91" i="11" s="1"/>
  <c r="AC33" i="11"/>
  <c r="AD33" i="11" s="1"/>
  <c r="AE33" i="11" s="1"/>
  <c r="AF33" i="11" s="1"/>
  <c r="AG33" i="11" s="1"/>
  <c r="AH33" i="11" s="1"/>
  <c r="AB33" i="11"/>
  <c r="J72" i="11"/>
  <c r="J75" i="11" s="1"/>
  <c r="AD38" i="11"/>
  <c r="AG38" i="11" s="1"/>
  <c r="AB38" i="11"/>
  <c r="AE38" i="11" s="1"/>
  <c r="AH38" i="11" s="1"/>
  <c r="AC38" i="11"/>
  <c r="AF38" i="11" s="1"/>
  <c r="L184" i="21" l="1"/>
  <c r="K175" i="21"/>
  <c r="J187" i="21"/>
  <c r="J188" i="21" s="1"/>
  <c r="M144" i="21"/>
  <c r="L141" i="21"/>
  <c r="J76" i="11"/>
  <c r="N136" i="21"/>
  <c r="M141" i="21" s="1"/>
  <c r="J147" i="21"/>
  <c r="J148" i="21" s="1"/>
  <c r="K135" i="21"/>
  <c r="J142" i="21"/>
  <c r="J143" i="21" s="1"/>
  <c r="J145" i="21" s="1"/>
  <c r="K137" i="21" s="1"/>
  <c r="J92" i="11"/>
  <c r="J93" i="11" s="1"/>
  <c r="N176" i="21"/>
  <c r="M181" i="21" s="1"/>
  <c r="M184" i="21"/>
  <c r="K178" i="21"/>
  <c r="L181" i="21"/>
  <c r="AF53" i="11"/>
  <c r="Y28" i="11"/>
  <c r="Z28" i="11" s="1"/>
  <c r="L175" i="1"/>
  <c r="L177" i="1" s="1"/>
  <c r="L179" i="1" s="1"/>
  <c r="L25" i="8" s="1"/>
  <c r="M189" i="1"/>
  <c r="M191" i="1" s="1"/>
  <c r="M193" i="1" s="1"/>
  <c r="M27" i="8" s="1"/>
  <c r="L154" i="1"/>
  <c r="L156" i="1" s="1"/>
  <c r="L158" i="1" s="1"/>
  <c r="L22" i="8" s="1"/>
  <c r="M161" i="1"/>
  <c r="M163" i="1" s="1"/>
  <c r="M165" i="1" s="1"/>
  <c r="M23" i="8" s="1"/>
  <c r="L182" i="1"/>
  <c r="L184" i="1" s="1"/>
  <c r="L186" i="1" s="1"/>
  <c r="L26" i="8" s="1"/>
  <c r="L168" i="1"/>
  <c r="L170" i="1" s="1"/>
  <c r="L172" i="1" s="1"/>
  <c r="L24" i="8" s="1"/>
  <c r="L196" i="1"/>
  <c r="L198" i="1" s="1"/>
  <c r="L200" i="1" s="1"/>
  <c r="L28" i="8" s="1"/>
  <c r="M147" i="1"/>
  <c r="M149" i="1" s="1"/>
  <c r="M151" i="1" s="1"/>
  <c r="M21" i="8" s="1"/>
  <c r="K88" i="11"/>
  <c r="K91" i="11" s="1"/>
  <c r="K72" i="11"/>
  <c r="K75" i="11" s="1"/>
  <c r="AJ33" i="11"/>
  <c r="AJ38" i="11"/>
  <c r="AK38" i="11"/>
  <c r="AL38" i="11" s="1"/>
  <c r="AI38" i="11"/>
  <c r="AK33" i="11"/>
  <c r="AL33" i="11" s="1"/>
  <c r="K138" i="21" l="1"/>
  <c r="K76" i="11"/>
  <c r="O136" i="21"/>
  <c r="N144" i="21"/>
  <c r="N184" i="21"/>
  <c r="K92" i="11"/>
  <c r="K93" i="11" s="1"/>
  <c r="O176" i="21"/>
  <c r="L175" i="21"/>
  <c r="K187" i="21"/>
  <c r="K188" i="21" s="1"/>
  <c r="K182" i="21"/>
  <c r="K183" i="21" s="1"/>
  <c r="K185" i="21" s="1"/>
  <c r="L177" i="21" s="1"/>
  <c r="AC28" i="11"/>
  <c r="AD28" i="11" s="1"/>
  <c r="AE28" i="11" s="1"/>
  <c r="AF28" i="11" s="1"/>
  <c r="AG28" i="11" s="1"/>
  <c r="AH28" i="11" s="1"/>
  <c r="AK28" i="11" s="1"/>
  <c r="AL28" i="11" s="1"/>
  <c r="AN28" i="11" s="1"/>
  <c r="AG53" i="11"/>
  <c r="AB28" i="11"/>
  <c r="AB30" i="11" s="1"/>
  <c r="M168" i="1"/>
  <c r="M170" i="1" s="1"/>
  <c r="M172" i="1" s="1"/>
  <c r="M24" i="8" s="1"/>
  <c r="N161" i="1"/>
  <c r="N163" i="1" s="1"/>
  <c r="N165" i="1" s="1"/>
  <c r="N23" i="8" s="1"/>
  <c r="N189" i="1"/>
  <c r="N191" i="1" s="1"/>
  <c r="N193" i="1" s="1"/>
  <c r="N27" i="8" s="1"/>
  <c r="M196" i="1"/>
  <c r="M198" i="1" s="1"/>
  <c r="M200" i="1" s="1"/>
  <c r="M28" i="8" s="1"/>
  <c r="M182" i="1"/>
  <c r="M184" i="1" s="1"/>
  <c r="M186" i="1" s="1"/>
  <c r="M26" i="8" s="1"/>
  <c r="M154" i="1"/>
  <c r="M156" i="1" s="1"/>
  <c r="M158" i="1" s="1"/>
  <c r="M22" i="8" s="1"/>
  <c r="M175" i="1"/>
  <c r="M177" i="1" s="1"/>
  <c r="M179" i="1" s="1"/>
  <c r="M25" i="8" s="1"/>
  <c r="N147" i="1"/>
  <c r="N149" i="1" s="1"/>
  <c r="N151" i="1" s="1"/>
  <c r="N21" i="8" s="1"/>
  <c r="L88" i="11"/>
  <c r="L91" i="11" s="1"/>
  <c r="L72" i="11"/>
  <c r="L75" i="11" s="1"/>
  <c r="AM33" i="11"/>
  <c r="AN33" i="11"/>
  <c r="I32" i="21" s="1" a="1"/>
  <c r="O144" i="21" l="1"/>
  <c r="L76" i="11"/>
  <c r="P136" i="21"/>
  <c r="O141" i="21" s="1"/>
  <c r="N141" i="21"/>
  <c r="L135" i="21"/>
  <c r="K142" i="21"/>
  <c r="K143" i="21" s="1"/>
  <c r="K145" i="21" s="1"/>
  <c r="L137" i="21" s="1"/>
  <c r="K147" i="21"/>
  <c r="K148" i="21" s="1"/>
  <c r="L178" i="21"/>
  <c r="L187" i="21" s="1"/>
  <c r="L188" i="21" s="1"/>
  <c r="L92" i="11"/>
  <c r="L93" i="11" s="1"/>
  <c r="P176" i="21"/>
  <c r="O184" i="21"/>
  <c r="O181" i="21"/>
  <c r="N181" i="21"/>
  <c r="AH53" i="11"/>
  <c r="AI53" i="11"/>
  <c r="AJ28" i="11"/>
  <c r="I32" i="21"/>
  <c r="I40" i="21" s="1"/>
  <c r="J37" i="21"/>
  <c r="J40" i="21"/>
  <c r="N40" i="21"/>
  <c r="R40" i="21"/>
  <c r="V40" i="21"/>
  <c r="Z40" i="21"/>
  <c r="AD40" i="21"/>
  <c r="AH40" i="21"/>
  <c r="AL40" i="21"/>
  <c r="AP40" i="21"/>
  <c r="AQ37" i="21"/>
  <c r="AM37" i="21"/>
  <c r="AI37" i="21"/>
  <c r="AE37" i="21"/>
  <c r="AA37" i="21"/>
  <c r="W37" i="21"/>
  <c r="S37" i="21"/>
  <c r="O37" i="21"/>
  <c r="K37" i="21"/>
  <c r="K40" i="21"/>
  <c r="O40" i="21"/>
  <c r="S40" i="21"/>
  <c r="W40" i="21"/>
  <c r="AA40" i="21"/>
  <c r="AE40" i="21"/>
  <c r="AI40" i="21"/>
  <c r="AM40" i="21"/>
  <c r="AQ40" i="21"/>
  <c r="AP37" i="21"/>
  <c r="AL37" i="21"/>
  <c r="AH37" i="21"/>
  <c r="AD37" i="21"/>
  <c r="Z37" i="21"/>
  <c r="V37" i="21"/>
  <c r="R37" i="21"/>
  <c r="N37" i="21"/>
  <c r="L40" i="21"/>
  <c r="P40" i="21"/>
  <c r="T40" i="21"/>
  <c r="Q40" i="21"/>
  <c r="AB40" i="21"/>
  <c r="AJ40" i="21"/>
  <c r="AR40" i="21"/>
  <c r="AO37" i="21"/>
  <c r="AG37" i="21"/>
  <c r="Y37" i="21"/>
  <c r="Q37" i="21"/>
  <c r="AN37" i="21"/>
  <c r="AF37" i="21"/>
  <c r="X37" i="21"/>
  <c r="P37" i="21"/>
  <c r="M40" i="21"/>
  <c r="Y40" i="21"/>
  <c r="AG40" i="21"/>
  <c r="AO40" i="21"/>
  <c r="AR37" i="21"/>
  <c r="AJ37" i="21"/>
  <c r="AB37" i="21"/>
  <c r="T37" i="21"/>
  <c r="L37" i="21"/>
  <c r="U40" i="21"/>
  <c r="AC40" i="21"/>
  <c r="AK40" i="21"/>
  <c r="X40" i="21"/>
  <c r="AF40" i="21"/>
  <c r="AN40" i="21"/>
  <c r="AK37" i="21"/>
  <c r="AC37" i="21"/>
  <c r="U37" i="21"/>
  <c r="M37" i="21"/>
  <c r="N154" i="1"/>
  <c r="N156" i="1" s="1"/>
  <c r="N158" i="1" s="1"/>
  <c r="N22" i="8" s="1"/>
  <c r="N196" i="1"/>
  <c r="N198" i="1" s="1"/>
  <c r="N200" i="1" s="1"/>
  <c r="N28" i="8" s="1"/>
  <c r="O161" i="1"/>
  <c r="O163" i="1" s="1"/>
  <c r="O165" i="1" s="1"/>
  <c r="O23" i="8" s="1"/>
  <c r="N175" i="1"/>
  <c r="N177" i="1" s="1"/>
  <c r="N179" i="1" s="1"/>
  <c r="N25" i="8" s="1"/>
  <c r="N182" i="1"/>
  <c r="N184" i="1" s="1"/>
  <c r="N186" i="1" s="1"/>
  <c r="N26" i="8" s="1"/>
  <c r="O189" i="1"/>
  <c r="O191" i="1" s="1"/>
  <c r="O193" i="1" s="1"/>
  <c r="O27" i="8" s="1"/>
  <c r="N168" i="1"/>
  <c r="N170" i="1" s="1"/>
  <c r="N172" i="1" s="1"/>
  <c r="N24" i="8" s="1"/>
  <c r="O147" i="1"/>
  <c r="O149" i="1" s="1"/>
  <c r="O151" i="1" s="1"/>
  <c r="O21" i="8" s="1"/>
  <c r="M88" i="11"/>
  <c r="M91" i="11" s="1"/>
  <c r="M72" i="11"/>
  <c r="M75" i="11" s="1"/>
  <c r="AM28" i="11"/>
  <c r="L182" i="21" l="1"/>
  <c r="L183" i="21" s="1"/>
  <c r="L185" i="21" s="1"/>
  <c r="M177" i="21" s="1"/>
  <c r="M175" i="21"/>
  <c r="M76" i="11"/>
  <c r="Q136" i="21"/>
  <c r="L138" i="21"/>
  <c r="P144" i="21"/>
  <c r="M92" i="11"/>
  <c r="M93" i="11" s="1"/>
  <c r="Q176" i="21"/>
  <c r="P184" i="21"/>
  <c r="I12" i="21" a="1"/>
  <c r="T17" i="21" s="1"/>
  <c r="AK53" i="11"/>
  <c r="I37" i="21"/>
  <c r="I34" i="21"/>
  <c r="P189" i="1"/>
  <c r="P191" i="1" s="1"/>
  <c r="P193" i="1" s="1"/>
  <c r="P27" i="8" s="1"/>
  <c r="O175" i="1"/>
  <c r="O177" i="1" s="1"/>
  <c r="O179" i="1" s="1"/>
  <c r="O25" i="8" s="1"/>
  <c r="O196" i="1"/>
  <c r="O198" i="1" s="1"/>
  <c r="O200" i="1" s="1"/>
  <c r="O28" i="8" s="1"/>
  <c r="O168" i="1"/>
  <c r="O170" i="1" s="1"/>
  <c r="O172" i="1" s="1"/>
  <c r="O24" i="8" s="1"/>
  <c r="O182" i="1"/>
  <c r="O184" i="1" s="1"/>
  <c r="O186" i="1" s="1"/>
  <c r="O26" i="8" s="1"/>
  <c r="P161" i="1"/>
  <c r="P163" i="1" s="1"/>
  <c r="P165" i="1" s="1"/>
  <c r="P23" i="8" s="1"/>
  <c r="O154" i="1"/>
  <c r="O156" i="1" s="1"/>
  <c r="O158" i="1" s="1"/>
  <c r="O22" i="8" s="1"/>
  <c r="P147" i="1"/>
  <c r="P149" i="1" s="1"/>
  <c r="P151" i="1" s="1"/>
  <c r="P21" i="8" s="1"/>
  <c r="N88" i="11"/>
  <c r="N91" i="11" s="1"/>
  <c r="N72" i="11"/>
  <c r="N75" i="11" s="1"/>
  <c r="F91" i="14"/>
  <c r="F92" i="14" s="1"/>
  <c r="C82" i="11" s="1"/>
  <c r="E92" i="14"/>
  <c r="C74" i="11" s="1"/>
  <c r="G77" i="14"/>
  <c r="G76" i="14" s="1"/>
  <c r="F77" i="14"/>
  <c r="F76" i="14" s="1"/>
  <c r="E77" i="14"/>
  <c r="E76" i="14" s="1"/>
  <c r="AK70" i="14"/>
  <c r="AJ70" i="14"/>
  <c r="AI70" i="14"/>
  <c r="AH70" i="14"/>
  <c r="AD54" i="14"/>
  <c r="AD53" i="14" s="1"/>
  <c r="AD52" i="14" s="1"/>
  <c r="AE54" i="14"/>
  <c r="AJ54" i="14" s="1"/>
  <c r="AF54" i="14"/>
  <c r="AF53" i="14" s="1"/>
  <c r="AF52" i="14" s="1"/>
  <c r="AC54" i="14"/>
  <c r="AH54" i="14" s="1"/>
  <c r="AH53" i="14" s="1"/>
  <c r="AH52" i="14" s="1"/>
  <c r="AF70" i="14"/>
  <c r="AE70" i="14"/>
  <c r="AD70" i="14"/>
  <c r="AC70" i="14"/>
  <c r="Z70" i="14"/>
  <c r="Z73" i="14" s="1"/>
  <c r="Z53" i="14"/>
  <c r="Z52" i="14" s="1"/>
  <c r="AA70" i="14"/>
  <c r="Y70" i="14"/>
  <c r="Y73" i="14" s="1"/>
  <c r="X70" i="14"/>
  <c r="X73" i="14" s="1"/>
  <c r="AA53" i="14"/>
  <c r="AA52" i="14" s="1"/>
  <c r="Y53" i="14"/>
  <c r="Y52" i="14" s="1"/>
  <c r="X53" i="14"/>
  <c r="X52" i="14" s="1"/>
  <c r="L55" i="14"/>
  <c r="L54" i="14" s="1"/>
  <c r="N65" i="14"/>
  <c r="N66" i="14" s="1"/>
  <c r="C59" i="11" s="1"/>
  <c r="L65" i="14"/>
  <c r="L66" i="14" s="1"/>
  <c r="C49" i="11" s="1"/>
  <c r="AC49" i="11" s="1"/>
  <c r="N55" i="14"/>
  <c r="N54" i="14" s="1"/>
  <c r="M55" i="14"/>
  <c r="M54" i="14" s="1"/>
  <c r="E25" i="14"/>
  <c r="E26" i="14" s="1"/>
  <c r="E31" i="11" s="1"/>
  <c r="E14" i="14"/>
  <c r="M178" i="21" l="1"/>
  <c r="M182" i="21" s="1"/>
  <c r="M183" i="21" s="1"/>
  <c r="M185" i="21" s="1"/>
  <c r="N177" i="21" s="1"/>
  <c r="M135" i="21"/>
  <c r="L147" i="21"/>
  <c r="L148" i="21" s="1"/>
  <c r="L142" i="21"/>
  <c r="L143" i="21" s="1"/>
  <c r="L145" i="21" s="1"/>
  <c r="M137" i="21" s="1"/>
  <c r="Q144" i="21"/>
  <c r="N76" i="11"/>
  <c r="N77" i="11" s="1"/>
  <c r="R136" i="21"/>
  <c r="P141" i="21"/>
  <c r="M187" i="21"/>
  <c r="M188" i="21" s="1"/>
  <c r="N92" i="11"/>
  <c r="N93" i="11" s="1"/>
  <c r="R176" i="21"/>
  <c r="Q181" i="21" s="1"/>
  <c r="Q184" i="21"/>
  <c r="P181" i="21"/>
  <c r="W17" i="21"/>
  <c r="Z20" i="21"/>
  <c r="S17" i="21"/>
  <c r="AG20" i="21"/>
  <c r="AE17" i="21"/>
  <c r="U17" i="21"/>
  <c r="AB20" i="21"/>
  <c r="AR20" i="21"/>
  <c r="AP20" i="21"/>
  <c r="P20" i="21"/>
  <c r="AJ17" i="21"/>
  <c r="AJ20" i="21"/>
  <c r="AO20" i="21"/>
  <c r="AK17" i="21"/>
  <c r="AL20" i="21"/>
  <c r="AN17" i="21"/>
  <c r="W20" i="21"/>
  <c r="Z17" i="21"/>
  <c r="N20" i="21"/>
  <c r="AL17" i="21"/>
  <c r="Q17" i="21"/>
  <c r="Q20" i="21"/>
  <c r="AO17" i="21"/>
  <c r="S20" i="21"/>
  <c r="J20" i="21"/>
  <c r="AI17" i="21"/>
  <c r="J17" i="21"/>
  <c r="AD20" i="21"/>
  <c r="X17" i="21"/>
  <c r="L20" i="21"/>
  <c r="R20" i="21"/>
  <c r="I12" i="21"/>
  <c r="I17" i="21" s="1"/>
  <c r="AE20" i="21"/>
  <c r="X20" i="21"/>
  <c r="AQ20" i="21"/>
  <c r="AG17" i="21"/>
  <c r="AN20" i="21"/>
  <c r="AC20" i="21"/>
  <c r="AQ17" i="21"/>
  <c r="P17" i="21"/>
  <c r="AM17" i="21"/>
  <c r="AM20" i="21"/>
  <c r="AF20" i="21"/>
  <c r="AF17" i="21"/>
  <c r="Y20" i="21"/>
  <c r="K20" i="21"/>
  <c r="O17" i="21"/>
  <c r="V17" i="21"/>
  <c r="U20" i="21"/>
  <c r="V20" i="21"/>
  <c r="AD17" i="21"/>
  <c r="AR17" i="21"/>
  <c r="AH20" i="21"/>
  <c r="AA17" i="21"/>
  <c r="AH17" i="21"/>
  <c r="M17" i="21"/>
  <c r="AP17" i="21"/>
  <c r="AC17" i="21"/>
  <c r="Y17" i="21"/>
  <c r="AA20" i="21"/>
  <c r="T20" i="21"/>
  <c r="M20" i="21"/>
  <c r="AB17" i="21"/>
  <c r="AI20" i="21"/>
  <c r="N17" i="21"/>
  <c r="L17" i="21"/>
  <c r="O20" i="21"/>
  <c r="K17" i="21"/>
  <c r="R17" i="21"/>
  <c r="AK20" i="21"/>
  <c r="AL53" i="11"/>
  <c r="AN53" i="11"/>
  <c r="AM53" i="11"/>
  <c r="AD49" i="11"/>
  <c r="AE49" i="11"/>
  <c r="AF49" i="11"/>
  <c r="AG49" i="11"/>
  <c r="AH49" i="11"/>
  <c r="AJ49" i="11"/>
  <c r="AI49" i="11"/>
  <c r="AK49" i="11"/>
  <c r="AN49" i="11"/>
  <c r="AL49" i="11"/>
  <c r="AM49" i="11"/>
  <c r="I38" i="21"/>
  <c r="I39" i="21" s="1"/>
  <c r="I41" i="21" s="1"/>
  <c r="J33" i="21" s="1"/>
  <c r="J43" i="21" s="1"/>
  <c r="J44" i="21" s="1"/>
  <c r="J31" i="21"/>
  <c r="U84" i="21"/>
  <c r="U85" i="21" s="1"/>
  <c r="V84" i="21"/>
  <c r="W84" i="21"/>
  <c r="X84" i="21"/>
  <c r="Y84" i="21"/>
  <c r="Z84" i="21"/>
  <c r="AA84" i="21"/>
  <c r="AB84" i="21"/>
  <c r="AC84" i="21"/>
  <c r="AD84" i="21"/>
  <c r="AE84" i="21"/>
  <c r="AF84" i="21"/>
  <c r="AE73" i="14"/>
  <c r="Q39" i="11"/>
  <c r="E45" i="14"/>
  <c r="E46" i="14" s="1"/>
  <c r="Q29" i="11"/>
  <c r="Q34" i="11"/>
  <c r="P175" i="1"/>
  <c r="P177" i="1" s="1"/>
  <c r="P179" i="1" s="1"/>
  <c r="P25" i="8" s="1"/>
  <c r="Q161" i="1"/>
  <c r="Q163" i="1" s="1"/>
  <c r="Q165" i="1" s="1"/>
  <c r="Q23" i="8" s="1"/>
  <c r="P168" i="1"/>
  <c r="P170" i="1" s="1"/>
  <c r="P172" i="1" s="1"/>
  <c r="P24" i="8" s="1"/>
  <c r="P154" i="1"/>
  <c r="P156" i="1" s="1"/>
  <c r="P158" i="1" s="1"/>
  <c r="P22" i="8" s="1"/>
  <c r="P182" i="1"/>
  <c r="P184" i="1" s="1"/>
  <c r="P186" i="1" s="1"/>
  <c r="P26" i="8" s="1"/>
  <c r="P196" i="1"/>
  <c r="P198" i="1" s="1"/>
  <c r="P200" i="1" s="1"/>
  <c r="P28" i="8" s="1"/>
  <c r="Q189" i="1"/>
  <c r="Q191" i="1" s="1"/>
  <c r="Q193" i="1" s="1"/>
  <c r="Q27" i="8" s="1"/>
  <c r="Q147" i="1"/>
  <c r="Q149" i="1" s="1"/>
  <c r="Q151" i="1" s="1"/>
  <c r="Q21" i="8" s="1"/>
  <c r="O88" i="11"/>
  <c r="O91" i="11" s="1"/>
  <c r="F77" i="11"/>
  <c r="G77" i="11"/>
  <c r="E77" i="11"/>
  <c r="H77" i="11"/>
  <c r="I77" i="11"/>
  <c r="J77" i="11"/>
  <c r="K77" i="11"/>
  <c r="L77" i="11"/>
  <c r="M77" i="11"/>
  <c r="O72" i="11"/>
  <c r="O75" i="11" s="1"/>
  <c r="G55" i="14"/>
  <c r="G54" i="14" s="1"/>
  <c r="E55" i="14"/>
  <c r="E54" i="14" s="1"/>
  <c r="F34" i="14"/>
  <c r="F33" i="14" s="1"/>
  <c r="AJ73" i="14"/>
  <c r="AJ53" i="14"/>
  <c r="AJ52" i="14" s="1"/>
  <c r="AE53" i="14"/>
  <c r="AE52" i="14" s="1"/>
  <c r="AC53" i="14"/>
  <c r="AC52" i="14" s="1"/>
  <c r="AD73" i="14"/>
  <c r="AK54" i="14"/>
  <c r="AI54" i="14"/>
  <c r="AH73" i="14"/>
  <c r="AF73" i="14"/>
  <c r="AC73" i="14"/>
  <c r="AA73" i="14"/>
  <c r="F45" i="14"/>
  <c r="F46" i="14" s="1"/>
  <c r="E34" i="14"/>
  <c r="E33" i="14" s="1"/>
  <c r="G67" i="14"/>
  <c r="G68" i="14" s="1"/>
  <c r="G45" i="14"/>
  <c r="G46" i="14" s="1"/>
  <c r="G34" i="14"/>
  <c r="G33" i="14" s="1"/>
  <c r="N175" i="21" l="1"/>
  <c r="R144" i="21"/>
  <c r="O76" i="11"/>
  <c r="O77" i="11" s="1"/>
  <c r="S136" i="21"/>
  <c r="Q141" i="21"/>
  <c r="M138" i="21"/>
  <c r="O92" i="11"/>
  <c r="O93" i="11" s="1"/>
  <c r="S176" i="21"/>
  <c r="N178" i="21"/>
  <c r="R184" i="21"/>
  <c r="I20" i="21"/>
  <c r="I14" i="21"/>
  <c r="J11" i="21" s="1"/>
  <c r="AF85" i="21"/>
  <c r="X85" i="21"/>
  <c r="AE85" i="21"/>
  <c r="AA85" i="21"/>
  <c r="J34" i="21"/>
  <c r="AB85" i="21"/>
  <c r="W85" i="21"/>
  <c r="AD85" i="21"/>
  <c r="Z85" i="21"/>
  <c r="V85" i="21"/>
  <c r="AG85" i="21"/>
  <c r="AH84" i="21"/>
  <c r="AI84" i="21"/>
  <c r="AJ84" i="21"/>
  <c r="AK84" i="21"/>
  <c r="AL84" i="21"/>
  <c r="AM84" i="21"/>
  <c r="AN84" i="21"/>
  <c r="AO84" i="21"/>
  <c r="AP84" i="21"/>
  <c r="AQ84" i="21"/>
  <c r="AR84" i="21"/>
  <c r="AC85" i="21"/>
  <c r="Y85" i="21"/>
  <c r="AC34" i="11"/>
  <c r="AN34" i="11" s="1"/>
  <c r="AA35" i="11"/>
  <c r="U34" i="11"/>
  <c r="X34" i="11" s="1"/>
  <c r="AB34" i="11"/>
  <c r="V34" i="11"/>
  <c r="T34" i="11"/>
  <c r="T35" i="11" s="1"/>
  <c r="S34" i="11"/>
  <c r="S35" i="11" s="1"/>
  <c r="R34" i="11"/>
  <c r="R35" i="11" s="1"/>
  <c r="AC29" i="11"/>
  <c r="U29" i="11"/>
  <c r="V29" i="11"/>
  <c r="R29" i="11"/>
  <c r="S29" i="11"/>
  <c r="T29" i="11"/>
  <c r="AC39" i="11"/>
  <c r="AE39" i="11" s="1"/>
  <c r="T39" i="11"/>
  <c r="T40" i="11" s="1"/>
  <c r="R39" i="11"/>
  <c r="AB39" i="11" s="1"/>
  <c r="AB40" i="11" s="1"/>
  <c r="S39" i="11"/>
  <c r="S40" i="11" s="1"/>
  <c r="U39" i="11"/>
  <c r="V39" i="11"/>
  <c r="X39" i="11"/>
  <c r="AA40" i="11"/>
  <c r="F55" i="14"/>
  <c r="F54" i="14" s="1"/>
  <c r="R161" i="1"/>
  <c r="R163" i="1" s="1"/>
  <c r="R165" i="1" s="1"/>
  <c r="R23" i="8" s="1"/>
  <c r="Q196" i="1"/>
  <c r="Q198" i="1" s="1"/>
  <c r="Q200" i="1" s="1"/>
  <c r="Q28" i="8" s="1"/>
  <c r="Q154" i="1"/>
  <c r="Q156" i="1" s="1"/>
  <c r="Q158" i="1" s="1"/>
  <c r="Q22" i="8" s="1"/>
  <c r="R189" i="1"/>
  <c r="R191" i="1" s="1"/>
  <c r="R193" i="1" s="1"/>
  <c r="R27" i="8" s="1"/>
  <c r="Q182" i="1"/>
  <c r="Q184" i="1" s="1"/>
  <c r="Q186" i="1" s="1"/>
  <c r="Q26" i="8" s="1"/>
  <c r="Q168" i="1"/>
  <c r="Q170" i="1" s="1"/>
  <c r="Q172" i="1" s="1"/>
  <c r="Q24" i="8" s="1"/>
  <c r="Q175" i="1"/>
  <c r="Q177" i="1" s="1"/>
  <c r="Q179" i="1" s="1"/>
  <c r="Q25" i="8" s="1"/>
  <c r="R147" i="1"/>
  <c r="R149" i="1" s="1"/>
  <c r="R151" i="1" s="1"/>
  <c r="R21" i="8" s="1"/>
  <c r="P88" i="11"/>
  <c r="P91" i="11" s="1"/>
  <c r="P72" i="11"/>
  <c r="P75" i="11" s="1"/>
  <c r="Q35" i="11"/>
  <c r="Q40" i="11"/>
  <c r="E67" i="14"/>
  <c r="E68" i="14" s="1"/>
  <c r="F67" i="14"/>
  <c r="F68" i="14" s="1"/>
  <c r="W30" i="11"/>
  <c r="X30" i="11"/>
  <c r="Q30" i="11"/>
  <c r="AI73" i="14"/>
  <c r="AI53" i="14"/>
  <c r="AI52" i="14" s="1"/>
  <c r="AK73" i="14"/>
  <c r="AK53" i="14"/>
  <c r="AK52" i="14" s="1"/>
  <c r="S144" i="21" l="1"/>
  <c r="M142" i="21"/>
  <c r="M143" i="21" s="1"/>
  <c r="M145" i="21" s="1"/>
  <c r="N137" i="21" s="1"/>
  <c r="N135" i="21"/>
  <c r="M147" i="21"/>
  <c r="M148" i="21" s="1"/>
  <c r="R141" i="21"/>
  <c r="P76" i="11"/>
  <c r="P77" i="11" s="1"/>
  <c r="T136" i="21"/>
  <c r="N187" i="21"/>
  <c r="N188" i="21" s="1"/>
  <c r="N182" i="21"/>
  <c r="N183" i="21" s="1"/>
  <c r="N185" i="21" s="1"/>
  <c r="O177" i="21" s="1"/>
  <c r="O175" i="21"/>
  <c r="P92" i="11"/>
  <c r="P93" i="11" s="1"/>
  <c r="T176" i="21"/>
  <c r="S181" i="21" s="1"/>
  <c r="S184" i="21"/>
  <c r="R181" i="21"/>
  <c r="Q43" i="11"/>
  <c r="T30" i="11"/>
  <c r="T43" i="11" s="1"/>
  <c r="X35" i="11"/>
  <c r="S30" i="11"/>
  <c r="S43" i="11" s="1"/>
  <c r="AM29" i="11"/>
  <c r="U30" i="11"/>
  <c r="AA30" i="11"/>
  <c r="AA43" i="11" s="1"/>
  <c r="W35" i="11"/>
  <c r="R30" i="11"/>
  <c r="AB35" i="11"/>
  <c r="AB43" i="11" s="1"/>
  <c r="Q64" i="11"/>
  <c r="I18" i="21"/>
  <c r="I19" i="21" s="1"/>
  <c r="I21" i="21" s="1"/>
  <c r="J13" i="21" s="1"/>
  <c r="J14" i="21" s="1"/>
  <c r="I23" i="21"/>
  <c r="I24" i="21" s="1"/>
  <c r="J38" i="21"/>
  <c r="J39" i="21" s="1"/>
  <c r="J41" i="21" s="1"/>
  <c r="K33" i="21" s="1"/>
  <c r="K43" i="21" s="1"/>
  <c r="K44" i="21" s="1"/>
  <c r="K31" i="21"/>
  <c r="AQ85" i="21"/>
  <c r="AM85" i="21"/>
  <c r="AI85" i="21"/>
  <c r="AR85" i="21"/>
  <c r="AN85" i="21"/>
  <c r="AJ85" i="21"/>
  <c r="AP85" i="21"/>
  <c r="AL85" i="21"/>
  <c r="AH85" i="21"/>
  <c r="AO85" i="21"/>
  <c r="AK85" i="21"/>
  <c r="AD34" i="11"/>
  <c r="AD35" i="11" s="1"/>
  <c r="AL34" i="11"/>
  <c r="AM34" i="11"/>
  <c r="AM35" i="11" s="1"/>
  <c r="AE34" i="11"/>
  <c r="AE35" i="11" s="1"/>
  <c r="AG34" i="11"/>
  <c r="AG35" i="11" s="1"/>
  <c r="AH39" i="11"/>
  <c r="AK39" i="11" s="1"/>
  <c r="AG29" i="11"/>
  <c r="AE29" i="11"/>
  <c r="AD39" i="11"/>
  <c r="AH29" i="11"/>
  <c r="AF39" i="11"/>
  <c r="AD29" i="11"/>
  <c r="AF34" i="11"/>
  <c r="AF35" i="11" s="1"/>
  <c r="AN39" i="11"/>
  <c r="Z29" i="11"/>
  <c r="Y29" i="11"/>
  <c r="V30" i="11"/>
  <c r="U35" i="11"/>
  <c r="AG39" i="11"/>
  <c r="AM39" i="11"/>
  <c r="AF29" i="11"/>
  <c r="AN29" i="11"/>
  <c r="Z39" i="11"/>
  <c r="Z40" i="11" s="1"/>
  <c r="Y39" i="11"/>
  <c r="Y40" i="11" s="1"/>
  <c r="Z34" i="11"/>
  <c r="Z35" i="11" s="1"/>
  <c r="Y34" i="11"/>
  <c r="Y35" i="11" s="1"/>
  <c r="V35" i="11"/>
  <c r="R40" i="11"/>
  <c r="R168" i="1"/>
  <c r="R170" i="1" s="1"/>
  <c r="R172" i="1" s="1"/>
  <c r="R24" i="8" s="1"/>
  <c r="R196" i="1"/>
  <c r="R198" i="1" s="1"/>
  <c r="R200" i="1" s="1"/>
  <c r="R28" i="8" s="1"/>
  <c r="S189" i="1"/>
  <c r="S191" i="1" s="1"/>
  <c r="S193" i="1" s="1"/>
  <c r="S27" i="8" s="1"/>
  <c r="R175" i="1"/>
  <c r="R177" i="1" s="1"/>
  <c r="R179" i="1" s="1"/>
  <c r="R25" i="8" s="1"/>
  <c r="R182" i="1"/>
  <c r="R184" i="1" s="1"/>
  <c r="R186" i="1" s="1"/>
  <c r="R26" i="8" s="1"/>
  <c r="R154" i="1"/>
  <c r="R156" i="1" s="1"/>
  <c r="R158" i="1" s="1"/>
  <c r="R22" i="8" s="1"/>
  <c r="S161" i="1"/>
  <c r="S163" i="1" s="1"/>
  <c r="S165" i="1" s="1"/>
  <c r="S23" i="8" s="1"/>
  <c r="S147" i="1"/>
  <c r="S149" i="1" s="1"/>
  <c r="S151" i="1" s="1"/>
  <c r="S21" i="8" s="1"/>
  <c r="Q88" i="11"/>
  <c r="Q91" i="11" s="1"/>
  <c r="Q72" i="11"/>
  <c r="Q75" i="11" s="1"/>
  <c r="V40" i="11"/>
  <c r="AC30" i="11"/>
  <c r="AC35" i="11"/>
  <c r="U40" i="11"/>
  <c r="AB64" i="11" l="1"/>
  <c r="N138" i="21"/>
  <c r="N147" i="21" s="1"/>
  <c r="N148" i="21" s="1"/>
  <c r="T144" i="21"/>
  <c r="S141" i="21"/>
  <c r="Q76" i="11"/>
  <c r="Q77" i="11" s="1"/>
  <c r="U136" i="21"/>
  <c r="T141" i="21" s="1"/>
  <c r="O178" i="21"/>
  <c r="Q92" i="11"/>
  <c r="Q93" i="11" s="1"/>
  <c r="U176" i="21"/>
  <c r="T184" i="21"/>
  <c r="S64" i="11"/>
  <c r="U43" i="11"/>
  <c r="AA64" i="11"/>
  <c r="R43" i="11"/>
  <c r="V43" i="11"/>
  <c r="T64" i="11"/>
  <c r="R64" i="11"/>
  <c r="AM30" i="11"/>
  <c r="Z30" i="11"/>
  <c r="Z43" i="11" s="1"/>
  <c r="Y30" i="11"/>
  <c r="Y43" i="11" s="1"/>
  <c r="AN30" i="11"/>
  <c r="U64" i="11"/>
  <c r="V64" i="11"/>
  <c r="K11" i="21"/>
  <c r="J23" i="21"/>
  <c r="J24" i="21" s="1"/>
  <c r="J18" i="21"/>
  <c r="J19" i="21" s="1"/>
  <c r="J21" i="21" s="1"/>
  <c r="K13" i="21" s="1"/>
  <c r="K34" i="21"/>
  <c r="AJ35" i="11"/>
  <c r="AK34" i="11"/>
  <c r="AK35" i="11" s="1"/>
  <c r="AH35" i="11"/>
  <c r="AJ39" i="11"/>
  <c r="AL39" i="11"/>
  <c r="AI39" i="11"/>
  <c r="AK29" i="11"/>
  <c r="AJ29" i="11"/>
  <c r="AL29" i="11"/>
  <c r="S154" i="1"/>
  <c r="S156" i="1" s="1"/>
  <c r="S158" i="1" s="1"/>
  <c r="S22" i="8" s="1"/>
  <c r="S175" i="1"/>
  <c r="S177" i="1" s="1"/>
  <c r="S179" i="1" s="1"/>
  <c r="S25" i="8" s="1"/>
  <c r="S196" i="1"/>
  <c r="S198" i="1" s="1"/>
  <c r="S200" i="1" s="1"/>
  <c r="S28" i="8" s="1"/>
  <c r="T161" i="1"/>
  <c r="T163" i="1" s="1"/>
  <c r="T165" i="1" s="1"/>
  <c r="T23" i="8" s="1"/>
  <c r="S182" i="1"/>
  <c r="S184" i="1" s="1"/>
  <c r="S186" i="1" s="1"/>
  <c r="S26" i="8" s="1"/>
  <c r="T189" i="1"/>
  <c r="T191" i="1" s="1"/>
  <c r="T193" i="1" s="1"/>
  <c r="T27" i="8" s="1"/>
  <c r="S168" i="1"/>
  <c r="S170" i="1" s="1"/>
  <c r="S172" i="1" s="1"/>
  <c r="S24" i="8" s="1"/>
  <c r="T147" i="1"/>
  <c r="T149" i="1" s="1"/>
  <c r="T151" i="1" s="1"/>
  <c r="T21" i="8" s="1"/>
  <c r="R88" i="11"/>
  <c r="R91" i="11" s="1"/>
  <c r="R72" i="11"/>
  <c r="R75" i="11" s="1"/>
  <c r="AD30" i="11"/>
  <c r="N142" i="21" l="1"/>
  <c r="N143" i="21" s="1"/>
  <c r="N145" i="21" s="1"/>
  <c r="O137" i="21" s="1"/>
  <c r="O138" i="21" s="1"/>
  <c r="O135" i="21"/>
  <c r="R76" i="11"/>
  <c r="R77" i="11" s="1"/>
  <c r="V136" i="21"/>
  <c r="U141" i="21" s="1"/>
  <c r="U144" i="21"/>
  <c r="U184" i="21"/>
  <c r="R92" i="11"/>
  <c r="R93" i="11" s="1"/>
  <c r="V176" i="21"/>
  <c r="T181" i="21"/>
  <c r="P175" i="21"/>
  <c r="O187" i="21"/>
  <c r="O188" i="21" s="1"/>
  <c r="O182" i="21"/>
  <c r="O183" i="21" s="1"/>
  <c r="O185" i="21" s="1"/>
  <c r="P177" i="21" s="1"/>
  <c r="Y64" i="11"/>
  <c r="Z64" i="11"/>
  <c r="K14" i="21"/>
  <c r="K23" i="21" s="1"/>
  <c r="K24" i="21" s="1"/>
  <c r="K38" i="21"/>
  <c r="K39" i="21" s="1"/>
  <c r="K41" i="21" s="1"/>
  <c r="L33" i="21" s="1"/>
  <c r="L43" i="21" s="1"/>
  <c r="L44" i="21" s="1"/>
  <c r="L31" i="21"/>
  <c r="AI35" i="11"/>
  <c r="U189" i="1"/>
  <c r="U191" i="1" s="1"/>
  <c r="U193" i="1" s="1"/>
  <c r="U27" i="8" s="1"/>
  <c r="U161" i="1"/>
  <c r="U163" i="1" s="1"/>
  <c r="U165" i="1" s="1"/>
  <c r="U23" i="8" s="1"/>
  <c r="T175" i="1"/>
  <c r="T177" i="1" s="1"/>
  <c r="T179" i="1" s="1"/>
  <c r="T25" i="8" s="1"/>
  <c r="T168" i="1"/>
  <c r="T170" i="1" s="1"/>
  <c r="T172" i="1" s="1"/>
  <c r="T24" i="8" s="1"/>
  <c r="T182" i="1"/>
  <c r="T184" i="1" s="1"/>
  <c r="T186" i="1" s="1"/>
  <c r="T26" i="8" s="1"/>
  <c r="T196" i="1"/>
  <c r="T198" i="1" s="1"/>
  <c r="T200" i="1" s="1"/>
  <c r="T28" i="8" s="1"/>
  <c r="T154" i="1"/>
  <c r="T156" i="1" s="1"/>
  <c r="T158" i="1" s="1"/>
  <c r="T22" i="8" s="1"/>
  <c r="U147" i="1"/>
  <c r="U149" i="1" s="1"/>
  <c r="U151" i="1" s="1"/>
  <c r="U21" i="8" s="1"/>
  <c r="S88" i="11"/>
  <c r="S91" i="11" s="1"/>
  <c r="S72" i="11"/>
  <c r="S75" i="11" s="1"/>
  <c r="AE30" i="11"/>
  <c r="AN35" i="11"/>
  <c r="AL35" i="11"/>
  <c r="P178" i="21" l="1"/>
  <c r="Q175" i="21" s="1"/>
  <c r="V144" i="21"/>
  <c r="S76" i="11"/>
  <c r="S77" i="11" s="1"/>
  <c r="W136" i="21"/>
  <c r="V141" i="21" s="1"/>
  <c r="P135" i="21"/>
  <c r="O142" i="21"/>
  <c r="O143" i="21" s="1"/>
  <c r="O145" i="21" s="1"/>
  <c r="P137" i="21" s="1"/>
  <c r="O147" i="21"/>
  <c r="O148" i="21" s="1"/>
  <c r="V184" i="21"/>
  <c r="S92" i="11"/>
  <c r="S93" i="11" s="1"/>
  <c r="W176" i="21"/>
  <c r="U181" i="21"/>
  <c r="L11" i="21"/>
  <c r="K18" i="21"/>
  <c r="K19" i="21" s="1"/>
  <c r="K21" i="21" s="1"/>
  <c r="L13" i="21" s="1"/>
  <c r="L34" i="21"/>
  <c r="U168" i="1"/>
  <c r="U170" i="1" s="1"/>
  <c r="U172" i="1" s="1"/>
  <c r="U24" i="8" s="1"/>
  <c r="U196" i="1"/>
  <c r="U198" i="1" s="1"/>
  <c r="U200" i="1" s="1"/>
  <c r="U28" i="8" s="1"/>
  <c r="V161" i="1"/>
  <c r="V163" i="1" s="1"/>
  <c r="V165" i="1" s="1"/>
  <c r="V23" i="8" s="1"/>
  <c r="U154" i="1"/>
  <c r="U156" i="1" s="1"/>
  <c r="U158" i="1" s="1"/>
  <c r="U22" i="8" s="1"/>
  <c r="U182" i="1"/>
  <c r="U184" i="1" s="1"/>
  <c r="U186" i="1" s="1"/>
  <c r="U26" i="8" s="1"/>
  <c r="U175" i="1"/>
  <c r="U177" i="1" s="1"/>
  <c r="U179" i="1" s="1"/>
  <c r="U25" i="8" s="1"/>
  <c r="V189" i="1"/>
  <c r="V191" i="1" s="1"/>
  <c r="V193" i="1" s="1"/>
  <c r="V27" i="8" s="1"/>
  <c r="V147" i="1"/>
  <c r="V149" i="1" s="1"/>
  <c r="V151" i="1" s="1"/>
  <c r="V21" i="8" s="1"/>
  <c r="T88" i="11"/>
  <c r="T91" i="11" s="1"/>
  <c r="T72" i="11"/>
  <c r="T75" i="11" s="1"/>
  <c r="AF30" i="11"/>
  <c r="P182" i="21" l="1"/>
  <c r="P183" i="21" s="1"/>
  <c r="P185" i="21" s="1"/>
  <c r="Q177" i="21" s="1"/>
  <c r="Q178" i="21" s="1"/>
  <c r="P187" i="21"/>
  <c r="P188" i="21" s="1"/>
  <c r="P138" i="21"/>
  <c r="Q135" i="21" s="1"/>
  <c r="T76" i="11"/>
  <c r="T77" i="11" s="1"/>
  <c r="X136" i="21"/>
  <c r="W141" i="21" s="1"/>
  <c r="W144" i="21"/>
  <c r="P147" i="21"/>
  <c r="P148" i="21" s="1"/>
  <c r="W184" i="21"/>
  <c r="T92" i="11"/>
  <c r="T93" i="11" s="1"/>
  <c r="X176" i="21"/>
  <c r="W181" i="21" s="1"/>
  <c r="V181" i="21"/>
  <c r="L14" i="21"/>
  <c r="M11" i="21" s="1"/>
  <c r="L38" i="21"/>
  <c r="L39" i="21" s="1"/>
  <c r="L41" i="21" s="1"/>
  <c r="M33" i="21" s="1"/>
  <c r="M43" i="21" s="1"/>
  <c r="M44" i="21" s="1"/>
  <c r="M31" i="21"/>
  <c r="V154" i="1"/>
  <c r="V156" i="1" s="1"/>
  <c r="V158" i="1" s="1"/>
  <c r="V22" i="8" s="1"/>
  <c r="V196" i="1"/>
  <c r="V198" i="1" s="1"/>
  <c r="V200" i="1" s="1"/>
  <c r="V28" i="8" s="1"/>
  <c r="V175" i="1"/>
  <c r="V177" i="1" s="1"/>
  <c r="V179" i="1" s="1"/>
  <c r="V25" i="8" s="1"/>
  <c r="W189" i="1"/>
  <c r="W191" i="1" s="1"/>
  <c r="W193" i="1" s="1"/>
  <c r="W27" i="8" s="1"/>
  <c r="V182" i="1"/>
  <c r="V184" i="1" s="1"/>
  <c r="V186" i="1" s="1"/>
  <c r="V26" i="8" s="1"/>
  <c r="W161" i="1"/>
  <c r="W163" i="1" s="1"/>
  <c r="W165" i="1" s="1"/>
  <c r="W23" i="8" s="1"/>
  <c r="V168" i="1"/>
  <c r="V170" i="1" s="1"/>
  <c r="V172" i="1" s="1"/>
  <c r="V24" i="8" s="1"/>
  <c r="W147" i="1"/>
  <c r="W149" i="1" s="1"/>
  <c r="W151" i="1" s="1"/>
  <c r="W21" i="8" s="1"/>
  <c r="U88" i="11"/>
  <c r="U91" i="11" s="1"/>
  <c r="U72" i="11"/>
  <c r="U75" i="11" s="1"/>
  <c r="AG30" i="11"/>
  <c r="P142" i="21" l="1"/>
  <c r="P143" i="21" s="1"/>
  <c r="P145" i="21" s="1"/>
  <c r="Q137" i="21" s="1"/>
  <c r="Q138" i="21" s="1"/>
  <c r="X144" i="21"/>
  <c r="U76" i="11"/>
  <c r="U77" i="11" s="1"/>
  <c r="Y136" i="21"/>
  <c r="Q187" i="21"/>
  <c r="Q188" i="21" s="1"/>
  <c r="R175" i="21"/>
  <c r="Q182" i="21"/>
  <c r="Q183" i="21" s="1"/>
  <c r="Q185" i="21" s="1"/>
  <c r="R177" i="21" s="1"/>
  <c r="U92" i="11"/>
  <c r="U93" i="11" s="1"/>
  <c r="Y176" i="21"/>
  <c r="X181" i="21" s="1"/>
  <c r="X184" i="21"/>
  <c r="L18" i="21"/>
  <c r="L19" i="21" s="1"/>
  <c r="L21" i="21" s="1"/>
  <c r="M13" i="21" s="1"/>
  <c r="M14" i="21" s="1"/>
  <c r="M18" i="21" s="1"/>
  <c r="M19" i="21" s="1"/>
  <c r="M21" i="21" s="1"/>
  <c r="N13" i="21" s="1"/>
  <c r="L23" i="21"/>
  <c r="L24" i="21" s="1"/>
  <c r="M34" i="21"/>
  <c r="W196" i="1"/>
  <c r="W198" i="1" s="1"/>
  <c r="W200" i="1" s="1"/>
  <c r="W28" i="8" s="1"/>
  <c r="X161" i="1"/>
  <c r="X163" i="1" s="1"/>
  <c r="X165" i="1" s="1"/>
  <c r="X23" i="8" s="1"/>
  <c r="X189" i="1"/>
  <c r="X191" i="1" s="1"/>
  <c r="X193" i="1" s="1"/>
  <c r="X27" i="8" s="1"/>
  <c r="W168" i="1"/>
  <c r="W170" i="1" s="1"/>
  <c r="W172" i="1" s="1"/>
  <c r="W24" i="8" s="1"/>
  <c r="W182" i="1"/>
  <c r="W184" i="1" s="1"/>
  <c r="W186" i="1" s="1"/>
  <c r="W26" i="8" s="1"/>
  <c r="W175" i="1"/>
  <c r="W177" i="1" s="1"/>
  <c r="W179" i="1" s="1"/>
  <c r="W25" i="8" s="1"/>
  <c r="W154" i="1"/>
  <c r="W156" i="1" s="1"/>
  <c r="W158" i="1" s="1"/>
  <c r="W22" i="8" s="1"/>
  <c r="X147" i="1"/>
  <c r="X149" i="1" s="1"/>
  <c r="X151" i="1" s="1"/>
  <c r="X21" i="8" s="1"/>
  <c r="V88" i="11"/>
  <c r="V91" i="11" s="1"/>
  <c r="V72" i="11"/>
  <c r="V75" i="11" s="1"/>
  <c r="AL30" i="11"/>
  <c r="AI30" i="11"/>
  <c r="AK30" i="11"/>
  <c r="AJ30" i="11"/>
  <c r="AH30" i="11"/>
  <c r="Q142" i="21" l="1"/>
  <c r="Q143" i="21" s="1"/>
  <c r="Q145" i="21" s="1"/>
  <c r="R137" i="21" s="1"/>
  <c r="R135" i="21"/>
  <c r="Q147" i="21"/>
  <c r="Q148" i="21" s="1"/>
  <c r="Y144" i="21"/>
  <c r="V76" i="11"/>
  <c r="V77" i="11" s="1"/>
  <c r="Z136" i="21"/>
  <c r="Y141" i="21" s="1"/>
  <c r="X141" i="21"/>
  <c r="R178" i="21"/>
  <c r="V92" i="11"/>
  <c r="V93" i="11" s="1"/>
  <c r="Z176" i="21"/>
  <c r="Y184" i="21"/>
  <c r="N11" i="21"/>
  <c r="N14" i="21" s="1"/>
  <c r="N23" i="21" s="1"/>
  <c r="M23" i="21"/>
  <c r="M24" i="21" s="1"/>
  <c r="M38" i="21"/>
  <c r="M39" i="21" s="1"/>
  <c r="M41" i="21" s="1"/>
  <c r="N33" i="21" s="1"/>
  <c r="N43" i="21" s="1"/>
  <c r="N44" i="21" s="1"/>
  <c r="N31" i="21"/>
  <c r="X175" i="1"/>
  <c r="X177" i="1" s="1"/>
  <c r="X179" i="1" s="1"/>
  <c r="X25" i="8" s="1"/>
  <c r="X168" i="1"/>
  <c r="X170" i="1" s="1"/>
  <c r="X172" i="1" s="1"/>
  <c r="X24" i="8" s="1"/>
  <c r="Y161" i="1"/>
  <c r="Y163" i="1" s="1"/>
  <c r="Y165" i="1" s="1"/>
  <c r="Y23" i="8" s="1"/>
  <c r="X154" i="1"/>
  <c r="X156" i="1" s="1"/>
  <c r="X158" i="1" s="1"/>
  <c r="X22" i="8" s="1"/>
  <c r="X182" i="1"/>
  <c r="X184" i="1" s="1"/>
  <c r="X186" i="1" s="1"/>
  <c r="X26" i="8" s="1"/>
  <c r="Y189" i="1"/>
  <c r="Y191" i="1" s="1"/>
  <c r="Y193" i="1" s="1"/>
  <c r="Y27" i="8" s="1"/>
  <c r="X196" i="1"/>
  <c r="X198" i="1" s="1"/>
  <c r="X200" i="1" s="1"/>
  <c r="X28" i="8" s="1"/>
  <c r="Y147" i="1"/>
  <c r="Y149" i="1" s="1"/>
  <c r="Y151" i="1" s="1"/>
  <c r="Y21" i="8" s="1"/>
  <c r="W88" i="11"/>
  <c r="W91" i="11" s="1"/>
  <c r="W72" i="11"/>
  <c r="W75" i="11" s="1"/>
  <c r="R138" i="21" l="1"/>
  <c r="S135" i="21" s="1"/>
  <c r="W76" i="11"/>
  <c r="W77" i="11" s="1"/>
  <c r="AA136" i="21"/>
  <c r="Z141" i="21" s="1"/>
  <c r="Z144" i="21"/>
  <c r="Z184" i="21"/>
  <c r="W92" i="11"/>
  <c r="W93" i="11" s="1"/>
  <c r="AA176" i="21"/>
  <c r="Y181" i="21"/>
  <c r="R187" i="21"/>
  <c r="R188" i="21" s="1"/>
  <c r="R182" i="21"/>
  <c r="R183" i="21" s="1"/>
  <c r="R185" i="21" s="1"/>
  <c r="S177" i="21" s="1"/>
  <c r="S175" i="21"/>
  <c r="N24" i="21"/>
  <c r="N18" i="21"/>
  <c r="N19" i="21" s="1"/>
  <c r="N21" i="21" s="1"/>
  <c r="O13" i="21" s="1"/>
  <c r="O11" i="21"/>
  <c r="N34" i="21"/>
  <c r="Z189" i="1"/>
  <c r="Z191" i="1" s="1"/>
  <c r="Z193" i="1" s="1"/>
  <c r="Z27" i="8" s="1"/>
  <c r="Y168" i="1"/>
  <c r="Y170" i="1" s="1"/>
  <c r="Y172" i="1" s="1"/>
  <c r="Y24" i="8" s="1"/>
  <c r="Y154" i="1"/>
  <c r="Y156" i="1" s="1"/>
  <c r="Y158" i="1" s="1"/>
  <c r="Y22" i="8" s="1"/>
  <c r="Y196" i="1"/>
  <c r="Y198" i="1" s="1"/>
  <c r="Y200" i="1" s="1"/>
  <c r="Y28" i="8" s="1"/>
  <c r="Y182" i="1"/>
  <c r="Y184" i="1" s="1"/>
  <c r="Y186" i="1" s="1"/>
  <c r="Y26" i="8" s="1"/>
  <c r="Z161" i="1"/>
  <c r="Z163" i="1" s="1"/>
  <c r="Z165" i="1" s="1"/>
  <c r="Z23" i="8" s="1"/>
  <c r="Y175" i="1"/>
  <c r="Y177" i="1" s="1"/>
  <c r="Y179" i="1" s="1"/>
  <c r="Y25" i="8" s="1"/>
  <c r="Z147" i="1"/>
  <c r="Z149" i="1" s="1"/>
  <c r="Z151" i="1" s="1"/>
  <c r="Z21" i="8" s="1"/>
  <c r="D142" i="1"/>
  <c r="X88" i="11"/>
  <c r="X91" i="11" s="1"/>
  <c r="X72" i="11"/>
  <c r="X75" i="11" s="1"/>
  <c r="R147" i="21" l="1"/>
  <c r="R148" i="21" s="1"/>
  <c r="R142" i="21"/>
  <c r="R143" i="21" s="1"/>
  <c r="R145" i="21" s="1"/>
  <c r="S137" i="21" s="1"/>
  <c r="S138" i="21" s="1"/>
  <c r="S147" i="21" s="1"/>
  <c r="AA144" i="21"/>
  <c r="X76" i="11"/>
  <c r="X77" i="11" s="1"/>
  <c r="AB136" i="21"/>
  <c r="AA141" i="21" s="1"/>
  <c r="S178" i="21"/>
  <c r="T175" i="21" s="1"/>
  <c r="AA184" i="21"/>
  <c r="X92" i="11"/>
  <c r="X93" i="11" s="1"/>
  <c r="AB176" i="21"/>
  <c r="Z181" i="21"/>
  <c r="O14" i="21"/>
  <c r="P11" i="21" s="1"/>
  <c r="O31" i="21"/>
  <c r="N38" i="21"/>
  <c r="N39" i="21" s="1"/>
  <c r="N41" i="21" s="1"/>
  <c r="O33" i="21" s="1"/>
  <c r="O43" i="21" s="1"/>
  <c r="O44" i="21" s="1"/>
  <c r="Z196" i="1"/>
  <c r="Z198" i="1" s="1"/>
  <c r="Z200" i="1" s="1"/>
  <c r="Z28" i="8" s="1"/>
  <c r="Z168" i="1"/>
  <c r="Z170" i="1" s="1"/>
  <c r="Z172" i="1" s="1"/>
  <c r="Z24" i="8" s="1"/>
  <c r="AA161" i="1"/>
  <c r="AA163" i="1" s="1"/>
  <c r="AA165" i="1" s="1"/>
  <c r="AA23" i="8" s="1"/>
  <c r="Z175" i="1"/>
  <c r="Z177" i="1" s="1"/>
  <c r="Z179" i="1" s="1"/>
  <c r="Z25" i="8" s="1"/>
  <c r="Z182" i="1"/>
  <c r="Z184" i="1" s="1"/>
  <c r="Z186" i="1" s="1"/>
  <c r="Z26" i="8" s="1"/>
  <c r="Z154" i="1"/>
  <c r="Z156" i="1" s="1"/>
  <c r="Z158" i="1" s="1"/>
  <c r="Z22" i="8" s="1"/>
  <c r="AA189" i="1"/>
  <c r="AA191" i="1" s="1"/>
  <c r="AA193" i="1" s="1"/>
  <c r="AA27" i="8" s="1"/>
  <c r="AA147" i="1"/>
  <c r="AA149" i="1" s="1"/>
  <c r="AA151" i="1" s="1"/>
  <c r="AA21" i="8" s="1"/>
  <c r="D144" i="1"/>
  <c r="D20" i="8" s="1"/>
  <c r="Y88" i="11"/>
  <c r="Y91" i="11" s="1"/>
  <c r="Y72" i="11"/>
  <c r="Y75" i="11" s="1"/>
  <c r="E83" i="11"/>
  <c r="M65" i="14"/>
  <c r="G22" i="11"/>
  <c r="F16" i="8" s="1"/>
  <c r="F84" i="8" s="1"/>
  <c r="C14" i="18"/>
  <c r="A1" i="9"/>
  <c r="C58" i="2"/>
  <c r="C57" i="2"/>
  <c r="AM130" i="1"/>
  <c r="AL130" i="1"/>
  <c r="AK130" i="1"/>
  <c r="AJ130" i="1"/>
  <c r="AI130" i="1"/>
  <c r="AH130" i="1"/>
  <c r="AG130" i="1"/>
  <c r="AF130" i="1"/>
  <c r="AE130" i="1"/>
  <c r="AD130" i="1"/>
  <c r="AC130" i="1"/>
  <c r="AB130" i="1"/>
  <c r="AA130" i="1"/>
  <c r="Z130" i="1"/>
  <c r="Y130" i="1"/>
  <c r="X130" i="1"/>
  <c r="W130" i="1"/>
  <c r="V130" i="1"/>
  <c r="U130" i="1"/>
  <c r="T130" i="1"/>
  <c r="S130" i="1"/>
  <c r="R130" i="1"/>
  <c r="Q130" i="1"/>
  <c r="P130" i="1"/>
  <c r="O130" i="1"/>
  <c r="N130" i="1"/>
  <c r="M130" i="1"/>
  <c r="L130" i="1"/>
  <c r="K130" i="1"/>
  <c r="J130" i="1"/>
  <c r="I130" i="1"/>
  <c r="H130" i="1"/>
  <c r="G130" i="1"/>
  <c r="F130" i="1"/>
  <c r="E130" i="1"/>
  <c r="D130" i="1"/>
  <c r="E127" i="2"/>
  <c r="E165" i="2" s="1"/>
  <c r="B37" i="10"/>
  <c r="B36" i="10"/>
  <c r="D35" i="10"/>
  <c r="B35" i="10"/>
  <c r="D7" i="10"/>
  <c r="D16" i="8"/>
  <c r="D84" i="8" s="1"/>
  <c r="D7" i="9"/>
  <c r="D75" i="9" s="1"/>
  <c r="AJ62" i="8"/>
  <c r="AC99" i="9"/>
  <c r="AG99" i="9"/>
  <c r="AI99" i="9"/>
  <c r="AJ99" i="9"/>
  <c r="AM99" i="9"/>
  <c r="AC103" i="9"/>
  <c r="AF103" i="9"/>
  <c r="AI103" i="9"/>
  <c r="AL103" i="9"/>
  <c r="AL24" i="10" s="1"/>
  <c r="R99" i="9"/>
  <c r="U99" i="9"/>
  <c r="X99" i="9"/>
  <c r="Z99" i="9"/>
  <c r="AA99" i="9"/>
  <c r="T103" i="9"/>
  <c r="T24" i="10" s="1"/>
  <c r="W103" i="9"/>
  <c r="Y103" i="9"/>
  <c r="Y24" i="10" s="1"/>
  <c r="P103" i="9"/>
  <c r="F99" i="9"/>
  <c r="F21" i="10" s="1"/>
  <c r="H99" i="9"/>
  <c r="H101" i="8" s="1"/>
  <c r="I99" i="9"/>
  <c r="L99" i="9"/>
  <c r="O99" i="9"/>
  <c r="E103" i="9"/>
  <c r="G103" i="9"/>
  <c r="J103" i="9"/>
  <c r="K103" i="9"/>
  <c r="M103" i="9"/>
  <c r="N103" i="9"/>
  <c r="D91" i="1"/>
  <c r="E91" i="1" s="1"/>
  <c r="E126" i="1" s="1"/>
  <c r="F40" i="11"/>
  <c r="G40" i="11"/>
  <c r="H40" i="11"/>
  <c r="I40" i="11"/>
  <c r="J40" i="11"/>
  <c r="M40" i="11"/>
  <c r="N40" i="11"/>
  <c r="O40" i="11"/>
  <c r="P40" i="11"/>
  <c r="E40" i="11"/>
  <c r="F35" i="11"/>
  <c r="G35" i="11"/>
  <c r="H35" i="11"/>
  <c r="I35" i="11"/>
  <c r="J35" i="11"/>
  <c r="L35" i="11"/>
  <c r="N35" i="11"/>
  <c r="O35" i="11"/>
  <c r="P35" i="11"/>
  <c r="E35" i="11"/>
  <c r="G30" i="11"/>
  <c r="H30" i="11"/>
  <c r="I30" i="11"/>
  <c r="J30" i="11"/>
  <c r="K30" i="11"/>
  <c r="L30" i="11"/>
  <c r="M30" i="11"/>
  <c r="N30" i="11"/>
  <c r="O30" i="11"/>
  <c r="P30" i="11"/>
  <c r="F25" i="14"/>
  <c r="F26" i="14" s="1"/>
  <c r="C36" i="11" s="1"/>
  <c r="G14" i="14"/>
  <c r="G13" i="14" s="1"/>
  <c r="F14" i="14"/>
  <c r="F13" i="14" s="1"/>
  <c r="E13" i="14"/>
  <c r="AM147" i="8"/>
  <c r="AL147" i="8"/>
  <c r="AK147" i="8"/>
  <c r="AJ147" i="8"/>
  <c r="AI147" i="8"/>
  <c r="AH147" i="8"/>
  <c r="AG147" i="8"/>
  <c r="AF147" i="8"/>
  <c r="AE147" i="8"/>
  <c r="AD147" i="8"/>
  <c r="AC147" i="8"/>
  <c r="AB147" i="8"/>
  <c r="AA147" i="8"/>
  <c r="Z147" i="8"/>
  <c r="Y147" i="8"/>
  <c r="X147" i="8"/>
  <c r="W147" i="8"/>
  <c r="V147" i="8"/>
  <c r="U147" i="8"/>
  <c r="T147" i="8"/>
  <c r="S147" i="8"/>
  <c r="R147" i="8"/>
  <c r="Q147" i="8"/>
  <c r="P147" i="8"/>
  <c r="O147" i="8"/>
  <c r="N147" i="8"/>
  <c r="M147" i="8"/>
  <c r="L147" i="8"/>
  <c r="K147" i="8"/>
  <c r="J147" i="8"/>
  <c r="I147" i="8"/>
  <c r="H147" i="8"/>
  <c r="G147" i="8"/>
  <c r="F147" i="8"/>
  <c r="E147" i="8"/>
  <c r="E107" i="8"/>
  <c r="G107" i="8"/>
  <c r="H107" i="8"/>
  <c r="I107" i="8"/>
  <c r="J107" i="8"/>
  <c r="K107" i="8"/>
  <c r="L107" i="8"/>
  <c r="M107" i="8"/>
  <c r="N107" i="8"/>
  <c r="O107" i="8"/>
  <c r="P107" i="8"/>
  <c r="Q107" i="8"/>
  <c r="R107" i="8"/>
  <c r="S107" i="8"/>
  <c r="T107" i="8"/>
  <c r="U107" i="8"/>
  <c r="V107" i="8"/>
  <c r="W107" i="8"/>
  <c r="X107" i="8"/>
  <c r="Y107" i="8"/>
  <c r="Z107" i="8"/>
  <c r="AA107" i="8"/>
  <c r="AB107" i="8"/>
  <c r="AC107" i="8"/>
  <c r="AD107" i="8"/>
  <c r="AE107" i="8"/>
  <c r="AF107" i="8"/>
  <c r="AG107" i="8"/>
  <c r="AH107" i="8"/>
  <c r="AI107" i="8"/>
  <c r="AJ107" i="8"/>
  <c r="AK107" i="8"/>
  <c r="AL107" i="8"/>
  <c r="AM107" i="8"/>
  <c r="X36" i="10"/>
  <c r="X37" i="10"/>
  <c r="X41" i="10"/>
  <c r="X50" i="10"/>
  <c r="X52" i="10"/>
  <c r="D52" i="10"/>
  <c r="E36" i="10"/>
  <c r="E37" i="10"/>
  <c r="E41" i="10"/>
  <c r="E50" i="10"/>
  <c r="E52" i="10"/>
  <c r="F36" i="10"/>
  <c r="F37" i="10"/>
  <c r="F50" i="10"/>
  <c r="F52" i="10"/>
  <c r="G36" i="10"/>
  <c r="G37" i="10"/>
  <c r="G41" i="10"/>
  <c r="G50" i="10"/>
  <c r="G52" i="10"/>
  <c r="H36" i="10"/>
  <c r="H37" i="10"/>
  <c r="H41" i="10"/>
  <c r="H50" i="10"/>
  <c r="H52" i="10"/>
  <c r="I36" i="10"/>
  <c r="I37" i="10"/>
  <c r="I41" i="10"/>
  <c r="I50" i="10"/>
  <c r="I52" i="10"/>
  <c r="J36" i="10"/>
  <c r="J37" i="10"/>
  <c r="J41" i="10"/>
  <c r="J50" i="10"/>
  <c r="J52" i="10"/>
  <c r="K36" i="10"/>
  <c r="K37" i="10"/>
  <c r="K41" i="10"/>
  <c r="K50" i="10"/>
  <c r="K52" i="10"/>
  <c r="L36" i="10"/>
  <c r="L37" i="10"/>
  <c r="L41" i="10"/>
  <c r="L50" i="10"/>
  <c r="L52" i="10"/>
  <c r="M36" i="10"/>
  <c r="M37" i="10"/>
  <c r="M38" i="10" s="1"/>
  <c r="M41" i="10"/>
  <c r="M50" i="10"/>
  <c r="M52" i="10"/>
  <c r="N36" i="10"/>
  <c r="N37" i="10"/>
  <c r="N41" i="10"/>
  <c r="N50" i="10"/>
  <c r="N52" i="10"/>
  <c r="O36" i="10"/>
  <c r="O37" i="10"/>
  <c r="O41" i="10"/>
  <c r="O50" i="10"/>
  <c r="O52" i="10"/>
  <c r="P36" i="10"/>
  <c r="P37" i="10"/>
  <c r="P41" i="10"/>
  <c r="P50" i="10"/>
  <c r="P52" i="10"/>
  <c r="Q36" i="10"/>
  <c r="Q37" i="10"/>
  <c r="Q38" i="10" s="1"/>
  <c r="Q41" i="10"/>
  <c r="Q50" i="10"/>
  <c r="Q52" i="10"/>
  <c r="R36" i="10"/>
  <c r="R37" i="10"/>
  <c r="R41" i="10"/>
  <c r="R50" i="10"/>
  <c r="R52" i="10"/>
  <c r="S36" i="10"/>
  <c r="S37" i="10"/>
  <c r="S41" i="10"/>
  <c r="S50" i="10"/>
  <c r="S52" i="10"/>
  <c r="T36" i="10"/>
  <c r="T37" i="10"/>
  <c r="T41" i="10"/>
  <c r="T50" i="10"/>
  <c r="T52" i="10"/>
  <c r="U36" i="10"/>
  <c r="U37" i="10"/>
  <c r="U38" i="10" s="1"/>
  <c r="U41" i="10"/>
  <c r="U50" i="10"/>
  <c r="U52" i="10"/>
  <c r="V36" i="10"/>
  <c r="V37" i="10"/>
  <c r="V41" i="10"/>
  <c r="V50" i="10"/>
  <c r="V52" i="10"/>
  <c r="W36" i="10"/>
  <c r="W37" i="10"/>
  <c r="W41" i="10"/>
  <c r="W50" i="10"/>
  <c r="W52" i="10"/>
  <c r="Y36" i="10"/>
  <c r="Y37" i="10"/>
  <c r="Y41" i="10"/>
  <c r="Y50" i="10"/>
  <c r="Y52" i="10"/>
  <c r="Z36" i="10"/>
  <c r="Z37" i="10"/>
  <c r="Z38" i="10" s="1"/>
  <c r="Z41" i="10"/>
  <c r="Z50" i="10"/>
  <c r="Z52" i="10"/>
  <c r="AA36" i="10"/>
  <c r="AA37" i="10"/>
  <c r="AA41" i="10"/>
  <c r="AA50" i="10"/>
  <c r="AA52" i="10"/>
  <c r="AB36" i="10"/>
  <c r="AB37" i="10"/>
  <c r="AB41" i="10"/>
  <c r="AB50" i="10"/>
  <c r="AB52" i="10"/>
  <c r="AC36" i="10"/>
  <c r="AC37" i="10"/>
  <c r="AC41" i="10"/>
  <c r="AC50" i="10"/>
  <c r="AC52" i="10"/>
  <c r="AD36" i="10"/>
  <c r="AD37" i="10"/>
  <c r="AD41" i="10"/>
  <c r="AD50" i="10"/>
  <c r="AD52" i="10"/>
  <c r="AE36" i="10"/>
  <c r="AE37" i="10"/>
  <c r="AE41" i="10"/>
  <c r="AE50" i="10"/>
  <c r="AE52" i="10"/>
  <c r="AF36" i="10"/>
  <c r="AF37" i="10"/>
  <c r="AF41" i="10"/>
  <c r="AF50" i="10"/>
  <c r="AF52" i="10"/>
  <c r="AG36" i="10"/>
  <c r="AG37" i="10"/>
  <c r="AG41" i="10"/>
  <c r="AG50" i="10"/>
  <c r="AG52" i="10"/>
  <c r="AH36" i="10"/>
  <c r="AH37" i="10"/>
  <c r="AH41" i="10"/>
  <c r="AH50" i="10"/>
  <c r="AH52" i="10"/>
  <c r="AI36" i="10"/>
  <c r="AI37" i="10"/>
  <c r="AI41" i="10"/>
  <c r="AI50" i="10"/>
  <c r="AI52" i="10"/>
  <c r="AJ36" i="10"/>
  <c r="AJ37" i="10"/>
  <c r="AJ41" i="10"/>
  <c r="AJ50" i="10"/>
  <c r="AJ52" i="10"/>
  <c r="AK36" i="10"/>
  <c r="AK37" i="10"/>
  <c r="AK41" i="10"/>
  <c r="AK50" i="10"/>
  <c r="AK52" i="10"/>
  <c r="AL36" i="10"/>
  <c r="AL37" i="10"/>
  <c r="AL41" i="10"/>
  <c r="AL50" i="10"/>
  <c r="AL52" i="10"/>
  <c r="AM36" i="10"/>
  <c r="AM37" i="10"/>
  <c r="AM41" i="10"/>
  <c r="AM50" i="10"/>
  <c r="AM52" i="10"/>
  <c r="AM8" i="9"/>
  <c r="AM147" i="9" s="1"/>
  <c r="AM49" i="9" s="1"/>
  <c r="AM110" i="9"/>
  <c r="AK110" i="9"/>
  <c r="AL110" i="9"/>
  <c r="AL116" i="9" s="1"/>
  <c r="AM152" i="9"/>
  <c r="AM56" i="10" s="1"/>
  <c r="AL8" i="9"/>
  <c r="AL121" i="9" s="1"/>
  <c r="AL21" i="9" s="1"/>
  <c r="AL152" i="9"/>
  <c r="AL124" i="8" s="1"/>
  <c r="AK8" i="9"/>
  <c r="AK121" i="9" s="1"/>
  <c r="AK21" i="9" s="1"/>
  <c r="AK152" i="9"/>
  <c r="AK56" i="10" s="1"/>
  <c r="AJ8" i="9"/>
  <c r="AJ147" i="9" s="1"/>
  <c r="AJ110" i="9"/>
  <c r="AH110" i="9"/>
  <c r="AH116" i="9" s="1"/>
  <c r="AH42" i="10" s="1"/>
  <c r="AI110" i="9"/>
  <c r="AI116" i="9" s="1"/>
  <c r="AJ152" i="9"/>
  <c r="AJ56" i="10" s="1"/>
  <c r="AI8" i="9"/>
  <c r="AI121" i="9" s="1"/>
  <c r="AI21" i="9" s="1"/>
  <c r="AI152" i="9"/>
  <c r="AI56" i="10" s="1"/>
  <c r="AH8" i="9"/>
  <c r="AH147" i="9" s="1"/>
  <c r="AH49" i="9" s="1"/>
  <c r="AH152" i="9"/>
  <c r="AH56" i="10" s="1"/>
  <c r="AG8" i="9"/>
  <c r="AG147" i="9" s="1"/>
  <c r="AG110" i="9"/>
  <c r="AE110" i="9"/>
  <c r="AF110" i="9"/>
  <c r="AF116" i="9" s="1"/>
  <c r="AG152" i="9"/>
  <c r="AG124" i="8" s="1"/>
  <c r="AF8" i="9"/>
  <c r="AF147" i="9" s="1"/>
  <c r="AF49" i="9" s="1"/>
  <c r="AF152" i="9"/>
  <c r="AF56" i="10" s="1"/>
  <c r="AE8" i="9"/>
  <c r="AE147" i="9" s="1"/>
  <c r="AE55" i="10" s="1"/>
  <c r="AE152" i="9"/>
  <c r="AE56" i="10" s="1"/>
  <c r="AD8" i="9"/>
  <c r="AD121" i="9" s="1"/>
  <c r="AD21" i="9" s="1"/>
  <c r="AD110" i="9"/>
  <c r="AB110" i="9"/>
  <c r="AB116" i="9" s="1"/>
  <c r="AC110" i="9"/>
  <c r="AC116" i="9" s="1"/>
  <c r="AC42" i="10" s="1"/>
  <c r="AD152" i="9"/>
  <c r="AD56" i="10" s="1"/>
  <c r="AC8" i="9"/>
  <c r="AC147" i="9" s="1"/>
  <c r="AC152" i="9"/>
  <c r="AC56" i="10" s="1"/>
  <c r="AB8" i="9"/>
  <c r="AB152" i="9"/>
  <c r="AB124" i="8" s="1"/>
  <c r="AA8" i="9"/>
  <c r="AA147" i="9" s="1"/>
  <c r="AA110" i="9"/>
  <c r="Y110" i="9"/>
  <c r="Y116" i="9" s="1"/>
  <c r="Z110" i="9"/>
  <c r="Z116" i="9" s="1"/>
  <c r="AA152" i="9"/>
  <c r="AA56" i="10" s="1"/>
  <c r="Z8" i="9"/>
  <c r="Z147" i="9" s="1"/>
  <c r="Z55" i="10" s="1"/>
  <c r="Z152" i="9"/>
  <c r="Z56" i="10" s="1"/>
  <c r="Y8" i="9"/>
  <c r="Y121" i="9" s="1"/>
  <c r="Y21" i="9" s="1"/>
  <c r="Y152" i="9"/>
  <c r="Y56" i="10" s="1"/>
  <c r="X8" i="9"/>
  <c r="X147" i="9" s="1"/>
  <c r="X110" i="9"/>
  <c r="V110" i="9"/>
  <c r="W110" i="9"/>
  <c r="W116" i="9" s="1"/>
  <c r="X152" i="9"/>
  <c r="X124" i="8" s="1"/>
  <c r="W8" i="9"/>
  <c r="W147" i="9" s="1"/>
  <c r="W152" i="9"/>
  <c r="W56" i="10" s="1"/>
  <c r="V8" i="9"/>
  <c r="V147" i="9" s="1"/>
  <c r="V152" i="9"/>
  <c r="V56" i="10" s="1"/>
  <c r="U8" i="9"/>
  <c r="U147" i="9" s="1"/>
  <c r="U110" i="9"/>
  <c r="S110" i="9"/>
  <c r="S116" i="9" s="1"/>
  <c r="T110" i="9"/>
  <c r="U152" i="9"/>
  <c r="U56" i="10" s="1"/>
  <c r="T8" i="9"/>
  <c r="T121" i="9" s="1"/>
  <c r="T21" i="9" s="1"/>
  <c r="T152" i="9"/>
  <c r="T56" i="10" s="1"/>
  <c r="S8" i="9"/>
  <c r="S147" i="9" s="1"/>
  <c r="S152" i="9"/>
  <c r="S124" i="8" s="1"/>
  <c r="R8" i="9"/>
  <c r="R147" i="9" s="1"/>
  <c r="R110" i="9"/>
  <c r="P110" i="9"/>
  <c r="P116" i="9" s="1"/>
  <c r="Q110" i="9"/>
  <c r="Q116" i="9" s="1"/>
  <c r="Q42" i="10" s="1"/>
  <c r="R152" i="9"/>
  <c r="R124" i="8" s="1"/>
  <c r="Q8" i="9"/>
  <c r="Q147" i="9" s="1"/>
  <c r="Q49" i="9" s="1"/>
  <c r="Q152" i="9"/>
  <c r="Q124" i="8" s="1"/>
  <c r="P8" i="9"/>
  <c r="P121" i="9" s="1"/>
  <c r="P21" i="9" s="1"/>
  <c r="P152" i="9"/>
  <c r="P124" i="8" s="1"/>
  <c r="O110" i="9"/>
  <c r="M110" i="9"/>
  <c r="M116" i="9" s="1"/>
  <c r="N110" i="9"/>
  <c r="N116" i="9" s="1"/>
  <c r="N42" i="10" s="1"/>
  <c r="N43" i="10" s="1"/>
  <c r="O8" i="9"/>
  <c r="O147" i="9" s="1"/>
  <c r="O152" i="9"/>
  <c r="O56" i="10" s="1"/>
  <c r="N8" i="9"/>
  <c r="N147" i="9" s="1"/>
  <c r="N152" i="9"/>
  <c r="N124" i="8" s="1"/>
  <c r="M8" i="9"/>
  <c r="M147" i="9" s="1"/>
  <c r="M55" i="10" s="1"/>
  <c r="M152" i="9"/>
  <c r="M124" i="8" s="1"/>
  <c r="L110" i="9"/>
  <c r="J110" i="9"/>
  <c r="J116" i="9" s="1"/>
  <c r="J130" i="8" s="1"/>
  <c r="K110" i="9"/>
  <c r="K116" i="9" s="1"/>
  <c r="L8" i="9"/>
  <c r="L147" i="9" s="1"/>
  <c r="L152" i="9"/>
  <c r="L56" i="10" s="1"/>
  <c r="K8" i="9"/>
  <c r="K147" i="9" s="1"/>
  <c r="K152" i="9"/>
  <c r="K56" i="10" s="1"/>
  <c r="J8" i="9"/>
  <c r="J147" i="9" s="1"/>
  <c r="J152" i="9"/>
  <c r="J124" i="8" s="1"/>
  <c r="I110" i="9"/>
  <c r="G110" i="9"/>
  <c r="G116" i="9" s="1"/>
  <c r="G130" i="8" s="1"/>
  <c r="H110" i="9"/>
  <c r="H116" i="9" s="1"/>
  <c r="I8" i="9"/>
  <c r="I147" i="9" s="1"/>
  <c r="I49" i="9" s="1"/>
  <c r="I152" i="9"/>
  <c r="I124" i="8" s="1"/>
  <c r="H8" i="9"/>
  <c r="H147" i="9" s="1"/>
  <c r="H152" i="9"/>
  <c r="H56" i="10" s="1"/>
  <c r="G8" i="9"/>
  <c r="G147" i="9" s="1"/>
  <c r="G152" i="9"/>
  <c r="G124" i="8" s="1"/>
  <c r="F110" i="9"/>
  <c r="D36" i="10"/>
  <c r="E110" i="9"/>
  <c r="E116" i="9" s="1"/>
  <c r="E130" i="8" s="1"/>
  <c r="F8" i="9"/>
  <c r="F147" i="9" s="1"/>
  <c r="F152" i="9"/>
  <c r="F56" i="10" s="1"/>
  <c r="E8" i="9"/>
  <c r="E147" i="9" s="1"/>
  <c r="E152" i="9"/>
  <c r="E56" i="10" s="1"/>
  <c r="D80" i="9"/>
  <c r="D92" i="9"/>
  <c r="D16" i="9" s="1"/>
  <c r="D43" i="9"/>
  <c r="D50" i="10" s="1"/>
  <c r="D146" i="9"/>
  <c r="D45" i="9" s="1"/>
  <c r="D8" i="9"/>
  <c r="D147" i="9" s="1"/>
  <c r="H68" i="1" s="1"/>
  <c r="N43" i="24" s="1"/>
  <c r="D150" i="9"/>
  <c r="D152" i="9" s="1"/>
  <c r="AM8" i="10"/>
  <c r="AL8" i="10"/>
  <c r="AK8" i="10"/>
  <c r="AJ8" i="10"/>
  <c r="AI8" i="10"/>
  <c r="AH8"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AJ124" i="8"/>
  <c r="AC124" i="8"/>
  <c r="E115" i="1"/>
  <c r="F115" i="1"/>
  <c r="G115" i="1"/>
  <c r="H115" i="1"/>
  <c r="I115" i="1"/>
  <c r="J115" i="1"/>
  <c r="K115" i="1"/>
  <c r="L115" i="1"/>
  <c r="E21" i="9"/>
  <c r="F21" i="9"/>
  <c r="G21" i="9"/>
  <c r="H21" i="9"/>
  <c r="I21" i="9"/>
  <c r="J21" i="9"/>
  <c r="K21" i="9"/>
  <c r="L21" i="9"/>
  <c r="I50" i="9"/>
  <c r="I51" i="9"/>
  <c r="I46" i="9"/>
  <c r="J50" i="9"/>
  <c r="J51" i="9"/>
  <c r="J46" i="9"/>
  <c r="M115" i="1"/>
  <c r="N115" i="1"/>
  <c r="O115" i="1"/>
  <c r="P115" i="1"/>
  <c r="Q115" i="1"/>
  <c r="R115" i="1"/>
  <c r="S115" i="1"/>
  <c r="T115" i="1"/>
  <c r="U115" i="1"/>
  <c r="V115" i="1"/>
  <c r="W115" i="1"/>
  <c r="X115" i="1"/>
  <c r="Y115" i="1"/>
  <c r="Z115" i="1"/>
  <c r="AA115" i="1"/>
  <c r="AB115" i="1"/>
  <c r="AC115" i="1"/>
  <c r="AD115" i="1"/>
  <c r="AE115" i="1"/>
  <c r="AF115" i="1"/>
  <c r="AG115" i="1"/>
  <c r="AG50" i="9"/>
  <c r="AG51" i="9"/>
  <c r="AG46" i="9"/>
  <c r="AH115" i="1"/>
  <c r="AI115" i="1"/>
  <c r="AJ50" i="9"/>
  <c r="AJ51" i="9"/>
  <c r="AJ115" i="1"/>
  <c r="AK115" i="1"/>
  <c r="AL115" i="1"/>
  <c r="AM115" i="1"/>
  <c r="D116" i="8"/>
  <c r="E119" i="8"/>
  <c r="E45" i="8" s="1"/>
  <c r="F119" i="8"/>
  <c r="F45" i="8" s="1"/>
  <c r="G119" i="8"/>
  <c r="G45" i="8" s="1"/>
  <c r="H119" i="8"/>
  <c r="H45" i="8" s="1"/>
  <c r="I119" i="8"/>
  <c r="I45" i="8" s="1"/>
  <c r="J119" i="8"/>
  <c r="J45" i="8" s="1"/>
  <c r="K119" i="8"/>
  <c r="K45" i="8" s="1"/>
  <c r="L119" i="8"/>
  <c r="L45" i="8" s="1"/>
  <c r="M119" i="8"/>
  <c r="M45" i="8" s="1"/>
  <c r="N119" i="8"/>
  <c r="N45" i="8" s="1"/>
  <c r="O119" i="8"/>
  <c r="O45" i="8" s="1"/>
  <c r="E71" i="2" s="1"/>
  <c r="P119" i="8"/>
  <c r="P45" i="8" s="1"/>
  <c r="Q119" i="8"/>
  <c r="Q45" i="8" s="1"/>
  <c r="R119" i="8"/>
  <c r="R45" i="8" s="1"/>
  <c r="S119" i="8"/>
  <c r="S45" i="8" s="1"/>
  <c r="T119" i="8"/>
  <c r="T45" i="8" s="1"/>
  <c r="U119" i="8"/>
  <c r="U45" i="8" s="1"/>
  <c r="V119" i="8"/>
  <c r="V45" i="8" s="1"/>
  <c r="W119" i="8"/>
  <c r="W45" i="8" s="1"/>
  <c r="X119" i="8"/>
  <c r="X45" i="8" s="1"/>
  <c r="Y119" i="8"/>
  <c r="Y45" i="8" s="1"/>
  <c r="Z119" i="8"/>
  <c r="Z45" i="8" s="1"/>
  <c r="AA119" i="8"/>
  <c r="AA45" i="8" s="1"/>
  <c r="F71" i="2" s="1"/>
  <c r="AB119" i="8"/>
  <c r="AB45" i="8" s="1"/>
  <c r="AC119" i="8"/>
  <c r="AC45" i="8" s="1"/>
  <c r="AD119" i="8"/>
  <c r="AD45" i="8" s="1"/>
  <c r="AE119" i="8"/>
  <c r="AE45" i="8" s="1"/>
  <c r="AF119" i="8"/>
  <c r="AF45" i="8" s="1"/>
  <c r="AG119" i="8"/>
  <c r="AG45" i="8" s="1"/>
  <c r="AH119" i="8"/>
  <c r="AH45" i="8" s="1"/>
  <c r="AI119" i="8"/>
  <c r="AI45" i="8" s="1"/>
  <c r="AJ119" i="8"/>
  <c r="AJ45" i="8" s="1"/>
  <c r="AK119" i="8"/>
  <c r="AK45" i="8" s="1"/>
  <c r="AL119" i="8"/>
  <c r="AL45" i="8" s="1"/>
  <c r="AM119" i="8"/>
  <c r="AM45" i="8" s="1"/>
  <c r="G71" i="2" s="1"/>
  <c r="D119" i="8"/>
  <c r="D45" i="8" s="1"/>
  <c r="Q51" i="9"/>
  <c r="Q50" i="9"/>
  <c r="AC51" i="9"/>
  <c r="AI51" i="9"/>
  <c r="D141" i="8"/>
  <c r="E141" i="8"/>
  <c r="F141" i="8"/>
  <c r="G141" i="8"/>
  <c r="H141" i="8"/>
  <c r="I141" i="8"/>
  <c r="J141" i="8"/>
  <c r="K141" i="8"/>
  <c r="L141" i="8"/>
  <c r="M141" i="8"/>
  <c r="N141" i="8"/>
  <c r="O141" i="8"/>
  <c r="P141" i="8"/>
  <c r="Q141" i="8"/>
  <c r="R141" i="8"/>
  <c r="S141" i="8"/>
  <c r="T141" i="8"/>
  <c r="U141" i="8"/>
  <c r="V141" i="8"/>
  <c r="W141" i="8"/>
  <c r="X141" i="8"/>
  <c r="Y141" i="8"/>
  <c r="Z141" i="8"/>
  <c r="AA141" i="8"/>
  <c r="AB141" i="8"/>
  <c r="AC141" i="8"/>
  <c r="AD141" i="8"/>
  <c r="AE141" i="8"/>
  <c r="AF141" i="8"/>
  <c r="AG141" i="8"/>
  <c r="AH141" i="8"/>
  <c r="AI141" i="8"/>
  <c r="AJ141" i="8"/>
  <c r="AK141" i="8"/>
  <c r="AL141" i="8"/>
  <c r="AM141" i="8"/>
  <c r="E141" i="9"/>
  <c r="E143" i="9" s="1"/>
  <c r="E35" i="9" s="1"/>
  <c r="E46" i="9"/>
  <c r="E50" i="9"/>
  <c r="E51" i="9"/>
  <c r="F141" i="9"/>
  <c r="F46" i="9"/>
  <c r="F50" i="9"/>
  <c r="F51" i="9"/>
  <c r="G141" i="9"/>
  <c r="G143" i="9" s="1"/>
  <c r="G35" i="9" s="1"/>
  <c r="G46" i="9"/>
  <c r="G50" i="9"/>
  <c r="G51" i="9"/>
  <c r="H141" i="9"/>
  <c r="H143" i="9" s="1"/>
  <c r="H35" i="9" s="1"/>
  <c r="H46" i="9"/>
  <c r="H50" i="9"/>
  <c r="H51" i="9"/>
  <c r="I141" i="9"/>
  <c r="I143" i="9" s="1"/>
  <c r="I35" i="9" s="1"/>
  <c r="J141" i="9"/>
  <c r="J143" i="9" s="1"/>
  <c r="J35" i="9" s="1"/>
  <c r="K141" i="9"/>
  <c r="K143" i="9" s="1"/>
  <c r="K35" i="9" s="1"/>
  <c r="K46" i="9"/>
  <c r="K50" i="9"/>
  <c r="K51" i="9"/>
  <c r="L141" i="9"/>
  <c r="L143" i="9" s="1"/>
  <c r="L35" i="9" s="1"/>
  <c r="L46" i="9"/>
  <c r="L50" i="9"/>
  <c r="L51" i="9"/>
  <c r="M21" i="9"/>
  <c r="M141" i="9"/>
  <c r="M143" i="9" s="1"/>
  <c r="M35" i="9" s="1"/>
  <c r="M46" i="9"/>
  <c r="M50" i="9"/>
  <c r="M51" i="9"/>
  <c r="N21" i="9"/>
  <c r="N141" i="9"/>
  <c r="N143" i="9" s="1"/>
  <c r="N35" i="9" s="1"/>
  <c r="N46" i="9"/>
  <c r="N50" i="9"/>
  <c r="N51" i="9"/>
  <c r="O21" i="9"/>
  <c r="O141" i="9"/>
  <c r="O143" i="9" s="1"/>
  <c r="O35" i="9" s="1"/>
  <c r="O46" i="9"/>
  <c r="O50" i="9"/>
  <c r="O51" i="9"/>
  <c r="P35" i="9"/>
  <c r="P46" i="9"/>
  <c r="P50" i="9"/>
  <c r="P51" i="9"/>
  <c r="Q141" i="9"/>
  <c r="Q143" i="9" s="1"/>
  <c r="Q35" i="9" s="1"/>
  <c r="Q46" i="9"/>
  <c r="R141" i="9"/>
  <c r="R143" i="9" s="1"/>
  <c r="R35" i="9" s="1"/>
  <c r="R46" i="9"/>
  <c r="R50" i="9"/>
  <c r="R51" i="9"/>
  <c r="S141" i="9"/>
  <c r="S143" i="9" s="1"/>
  <c r="S35" i="9" s="1"/>
  <c r="S46" i="9"/>
  <c r="S50" i="9"/>
  <c r="S51" i="9"/>
  <c r="T141" i="9"/>
  <c r="T143" i="9" s="1"/>
  <c r="T35" i="9" s="1"/>
  <c r="T46" i="9"/>
  <c r="T50" i="9"/>
  <c r="T51" i="9"/>
  <c r="U141" i="9"/>
  <c r="U143" i="9" s="1"/>
  <c r="U35" i="9" s="1"/>
  <c r="U46" i="9"/>
  <c r="U50" i="9"/>
  <c r="U51" i="9"/>
  <c r="V141" i="9"/>
  <c r="V143" i="9" s="1"/>
  <c r="V35" i="9" s="1"/>
  <c r="V46" i="9"/>
  <c r="V50" i="9"/>
  <c r="V51" i="9"/>
  <c r="W141" i="9"/>
  <c r="W143" i="9" s="1"/>
  <c r="W35" i="9" s="1"/>
  <c r="W46" i="9"/>
  <c r="W50" i="9"/>
  <c r="W51" i="9"/>
  <c r="X141" i="9"/>
  <c r="X143" i="9" s="1"/>
  <c r="X35" i="9" s="1"/>
  <c r="X46" i="9"/>
  <c r="X50" i="9"/>
  <c r="X51" i="9"/>
  <c r="Y141" i="9"/>
  <c r="Y143" i="9" s="1"/>
  <c r="Y35" i="9" s="1"/>
  <c r="Y46" i="9"/>
  <c r="Y50" i="9"/>
  <c r="Y51" i="9"/>
  <c r="Z141" i="9"/>
  <c r="Z143" i="9" s="1"/>
  <c r="Z35" i="9" s="1"/>
  <c r="Z46" i="9"/>
  <c r="Z50" i="9"/>
  <c r="Z51" i="9"/>
  <c r="AA141" i="9"/>
  <c r="AA143" i="9" s="1"/>
  <c r="AA35" i="9" s="1"/>
  <c r="AA46" i="9"/>
  <c r="AA50" i="9"/>
  <c r="AA51" i="9"/>
  <c r="AB46" i="9"/>
  <c r="AB50" i="9"/>
  <c r="AB51" i="9"/>
  <c r="AC141" i="9"/>
  <c r="AC143" i="9" s="1"/>
  <c r="AC35" i="9" s="1"/>
  <c r="AC46" i="9"/>
  <c r="AC50" i="9"/>
  <c r="AD141" i="9"/>
  <c r="AD143" i="9" s="1"/>
  <c r="AD35" i="9" s="1"/>
  <c r="AD46" i="9"/>
  <c r="AD50" i="9"/>
  <c r="AD51" i="9"/>
  <c r="AE141" i="9"/>
  <c r="AE143" i="9" s="1"/>
  <c r="AE35" i="9" s="1"/>
  <c r="AE46" i="9"/>
  <c r="AE50" i="9"/>
  <c r="AE51" i="9"/>
  <c r="AF141" i="9"/>
  <c r="AF143" i="9" s="1"/>
  <c r="AF35" i="9" s="1"/>
  <c r="AF46" i="9"/>
  <c r="AF50" i="9"/>
  <c r="AF51" i="9"/>
  <c r="AG141" i="9"/>
  <c r="AG143" i="9" s="1"/>
  <c r="AG35" i="9" s="1"/>
  <c r="AH141" i="9"/>
  <c r="AH143" i="9" s="1"/>
  <c r="AH35" i="9" s="1"/>
  <c r="AH46" i="9"/>
  <c r="AH50" i="9"/>
  <c r="AH51" i="9"/>
  <c r="AI141" i="9"/>
  <c r="AI143" i="9" s="1"/>
  <c r="AI35" i="9" s="1"/>
  <c r="AI46" i="9"/>
  <c r="AI50" i="9"/>
  <c r="AJ141" i="9"/>
  <c r="AJ143" i="9" s="1"/>
  <c r="AJ35" i="9" s="1"/>
  <c r="AJ46" i="9"/>
  <c r="AK141" i="9"/>
  <c r="AK143" i="9" s="1"/>
  <c r="AK35" i="9" s="1"/>
  <c r="AK46" i="9"/>
  <c r="AK50" i="9"/>
  <c r="AK51" i="9"/>
  <c r="AL141" i="9"/>
  <c r="AL143" i="9" s="1"/>
  <c r="AL35" i="9" s="1"/>
  <c r="AL46" i="9"/>
  <c r="AL50" i="9"/>
  <c r="AL51" i="9"/>
  <c r="AM141" i="9"/>
  <c r="AM143" i="9" s="1"/>
  <c r="AM35" i="9" s="1"/>
  <c r="AM46" i="9"/>
  <c r="AM50" i="9"/>
  <c r="AM51" i="9"/>
  <c r="D50" i="9"/>
  <c r="D51" i="9"/>
  <c r="C75" i="9"/>
  <c r="C87" i="2"/>
  <c r="C88" i="2"/>
  <c r="C89" i="2"/>
  <c r="C91" i="2"/>
  <c r="B214" i="2" s="1"/>
  <c r="C56" i="2"/>
  <c r="C61" i="2"/>
  <c r="B211" i="2" s="1"/>
  <c r="C62" i="2"/>
  <c r="C63" i="2"/>
  <c r="C64" i="2"/>
  <c r="C65" i="2"/>
  <c r="C68" i="2"/>
  <c r="B212" i="2" s="1"/>
  <c r="C69" i="2"/>
  <c r="C70" i="2"/>
  <c r="C71" i="2"/>
  <c r="C72" i="2"/>
  <c r="C73" i="2"/>
  <c r="C76" i="2"/>
  <c r="B213" i="2" s="1"/>
  <c r="C78" i="2"/>
  <c r="C79" i="2"/>
  <c r="C80" i="2"/>
  <c r="C83" i="2"/>
  <c r="C86" i="2"/>
  <c r="C55" i="2"/>
  <c r="B210" i="2" s="1"/>
  <c r="C29" i="2"/>
  <c r="B222" i="2" s="1"/>
  <c r="C26" i="2"/>
  <c r="C31" i="2"/>
  <c r="B223" i="2" s="1"/>
  <c r="C32" i="2"/>
  <c r="B224" i="2" s="1"/>
  <c r="C34" i="2"/>
  <c r="B225" i="2" s="1"/>
  <c r="C35" i="2"/>
  <c r="B226" i="2" s="1"/>
  <c r="C37" i="2"/>
  <c r="B227" i="2" s="1"/>
  <c r="C38" i="2"/>
  <c r="B228" i="2" s="1"/>
  <c r="C84" i="8"/>
  <c r="C126" i="1"/>
  <c r="G31" i="9"/>
  <c r="G32" i="9" s="1"/>
  <c r="G19" i="9"/>
  <c r="D19" i="9"/>
  <c r="D31" i="9"/>
  <c r="D32" i="9" s="1"/>
  <c r="D114" i="9"/>
  <c r="G114" i="9"/>
  <c r="E19" i="9"/>
  <c r="H19" i="9"/>
  <c r="E114" i="9"/>
  <c r="E31" i="9"/>
  <c r="E32" i="9" s="1"/>
  <c r="H31" i="9"/>
  <c r="H32" i="9" s="1"/>
  <c r="H114" i="9"/>
  <c r="J19" i="9"/>
  <c r="J114" i="9"/>
  <c r="K19" i="9"/>
  <c r="J31" i="9"/>
  <c r="J32" i="9" s="1"/>
  <c r="K114" i="9"/>
  <c r="K31" i="9"/>
  <c r="K32" i="9" s="1"/>
  <c r="M31" i="9"/>
  <c r="M32" i="9" s="1"/>
  <c r="M19" i="9"/>
  <c r="M114" i="9"/>
  <c r="N19" i="9"/>
  <c r="N114" i="9"/>
  <c r="N31" i="9"/>
  <c r="N32" i="9" s="1"/>
  <c r="P31" i="9"/>
  <c r="P32" i="9" s="1"/>
  <c r="P19" i="9"/>
  <c r="P114" i="9"/>
  <c r="Q19" i="9"/>
  <c r="Q114" i="9"/>
  <c r="Q31" i="9"/>
  <c r="Q32" i="9" s="1"/>
  <c r="Q37" i="9" s="1"/>
  <c r="S19" i="9"/>
  <c r="S114" i="9"/>
  <c r="S31" i="9"/>
  <c r="S32" i="9" s="1"/>
  <c r="T31" i="9"/>
  <c r="T32" i="9" s="1"/>
  <c r="T19" i="9"/>
  <c r="T114" i="9"/>
  <c r="V31" i="9"/>
  <c r="V32" i="9" s="1"/>
  <c r="V19" i="9"/>
  <c r="V114" i="9"/>
  <c r="W19" i="9"/>
  <c r="W114" i="9"/>
  <c r="W31" i="9"/>
  <c r="W32" i="9" s="1"/>
  <c r="Y19" i="9"/>
  <c r="Y114" i="9"/>
  <c r="Y31" i="9"/>
  <c r="Y32" i="9" s="1"/>
  <c r="Z31" i="9"/>
  <c r="Z32" i="9" s="1"/>
  <c r="Z19" i="9"/>
  <c r="Z114" i="9"/>
  <c r="AB31" i="9"/>
  <c r="AB32" i="9" s="1"/>
  <c r="AB19" i="9"/>
  <c r="AB114" i="9"/>
  <c r="AC19" i="9"/>
  <c r="AC114" i="9"/>
  <c r="AC31" i="9"/>
  <c r="AC32" i="9" s="1"/>
  <c r="AE19" i="9"/>
  <c r="AE114" i="9"/>
  <c r="AE31" i="9"/>
  <c r="AE32" i="9" s="1"/>
  <c r="AF19" i="9"/>
  <c r="AF114" i="9"/>
  <c r="AF31" i="9"/>
  <c r="AF32" i="9" s="1"/>
  <c r="AH31" i="9"/>
  <c r="AH32" i="9" s="1"/>
  <c r="AH19" i="9"/>
  <c r="AH114" i="9"/>
  <c r="AI31" i="9"/>
  <c r="AI32" i="9" s="1"/>
  <c r="AI19" i="9"/>
  <c r="AI114" i="9"/>
  <c r="AK19" i="9"/>
  <c r="AK114" i="9"/>
  <c r="AK31" i="9"/>
  <c r="AK32" i="9" s="1"/>
  <c r="AL31" i="9"/>
  <c r="AL32" i="9" s="1"/>
  <c r="AL19" i="9"/>
  <c r="AL114" i="9"/>
  <c r="AA62" i="8"/>
  <c r="F88" i="2" s="1"/>
  <c r="AC62" i="8"/>
  <c r="S148" i="21" l="1"/>
  <c r="M66" i="14"/>
  <c r="C54" i="11" s="1"/>
  <c r="J67" i="1"/>
  <c r="I67" i="1"/>
  <c r="H67" i="1"/>
  <c r="H66" i="1" s="1"/>
  <c r="N41" i="24" s="1"/>
  <c r="E76" i="24"/>
  <c r="AD20" i="9"/>
  <c r="AD76" i="24"/>
  <c r="R20" i="9"/>
  <c r="R76" i="24"/>
  <c r="H20" i="9"/>
  <c r="H76" i="24"/>
  <c r="AJ20" i="9"/>
  <c r="AJ76" i="24"/>
  <c r="AH20" i="9"/>
  <c r="AH76" i="24"/>
  <c r="AG20" i="9"/>
  <c r="AG76" i="24"/>
  <c r="AC20" i="9"/>
  <c r="AC76" i="24"/>
  <c r="Y20" i="9"/>
  <c r="Y76" i="24"/>
  <c r="U20" i="9"/>
  <c r="U76" i="24"/>
  <c r="Q20" i="9"/>
  <c r="Q76" i="24"/>
  <c r="M20" i="9"/>
  <c r="M76" i="24"/>
  <c r="K20" i="9"/>
  <c r="K76" i="24"/>
  <c r="G20" i="9"/>
  <c r="G76" i="24"/>
  <c r="AK20" i="9"/>
  <c r="AK76" i="24"/>
  <c r="Z20" i="9"/>
  <c r="Z76" i="24"/>
  <c r="N20" i="9"/>
  <c r="N76" i="24"/>
  <c r="AM20" i="9"/>
  <c r="AM76" i="24"/>
  <c r="AF20" i="9"/>
  <c r="AF76" i="24"/>
  <c r="AB20" i="9"/>
  <c r="X20" i="9"/>
  <c r="X76" i="24"/>
  <c r="T20" i="9"/>
  <c r="T76" i="24"/>
  <c r="P20" i="9"/>
  <c r="P76" i="24"/>
  <c r="J20" i="9"/>
  <c r="J76" i="24"/>
  <c r="F20" i="9"/>
  <c r="F76" i="24"/>
  <c r="AI20" i="9"/>
  <c r="AI76" i="24"/>
  <c r="V20" i="9"/>
  <c r="V76" i="24"/>
  <c r="L20" i="9"/>
  <c r="L76" i="24"/>
  <c r="AL20" i="9"/>
  <c r="AL76" i="24"/>
  <c r="AE20" i="9"/>
  <c r="AE76" i="24"/>
  <c r="AA20" i="9"/>
  <c r="AA76" i="24"/>
  <c r="W20" i="9"/>
  <c r="W76" i="24"/>
  <c r="S20" i="9"/>
  <c r="S76" i="24"/>
  <c r="O20" i="9"/>
  <c r="O76" i="24"/>
  <c r="I20" i="9"/>
  <c r="I76" i="24"/>
  <c r="T135" i="21"/>
  <c r="S142" i="21"/>
  <c r="S143" i="21" s="1"/>
  <c r="S145" i="21" s="1"/>
  <c r="T137" i="21" s="1"/>
  <c r="T138" i="21" s="1"/>
  <c r="Y76" i="11"/>
  <c r="Y77" i="11" s="1"/>
  <c r="AC136" i="21"/>
  <c r="AB141" i="21" s="1"/>
  <c r="AB144" i="21"/>
  <c r="S187" i="21"/>
  <c r="S188" i="21" s="1"/>
  <c r="S182" i="21"/>
  <c r="S183" i="21" s="1"/>
  <c r="S185" i="21" s="1"/>
  <c r="T177" i="21" s="1"/>
  <c r="T178" i="21" s="1"/>
  <c r="AB184" i="21"/>
  <c r="Y92" i="11"/>
  <c r="Y93" i="11" s="1"/>
  <c r="AC176" i="21"/>
  <c r="AB181" i="21" s="1"/>
  <c r="AA181" i="21"/>
  <c r="F80" i="11"/>
  <c r="F83" i="11" s="1"/>
  <c r="J156" i="21" s="1"/>
  <c r="I156" i="21"/>
  <c r="E20" i="9"/>
  <c r="E43" i="11"/>
  <c r="E64" i="11" s="1"/>
  <c r="M43" i="11"/>
  <c r="I43" i="11"/>
  <c r="H43" i="11"/>
  <c r="AL38" i="10"/>
  <c r="W38" i="10"/>
  <c r="G38" i="10"/>
  <c r="T124" i="8"/>
  <c r="Z37" i="9"/>
  <c r="H74" i="22"/>
  <c r="F43" i="11"/>
  <c r="P43" i="11"/>
  <c r="O43" i="11"/>
  <c r="G43" i="11"/>
  <c r="N43" i="11"/>
  <c r="J43" i="11"/>
  <c r="M64" i="11"/>
  <c r="I64" i="11"/>
  <c r="N64" i="11"/>
  <c r="J64" i="11"/>
  <c r="P64" i="11"/>
  <c r="H64" i="11"/>
  <c r="F64" i="11"/>
  <c r="O64" i="11"/>
  <c r="G64" i="11"/>
  <c r="O18" i="21"/>
  <c r="O19" i="21" s="1"/>
  <c r="O21" i="21" s="1"/>
  <c r="P13" i="21" s="1"/>
  <c r="P14" i="21" s="1"/>
  <c r="Q11" i="21" s="1"/>
  <c r="O23" i="21"/>
  <c r="O24" i="21" s="1"/>
  <c r="AJ53" i="11"/>
  <c r="K31" i="11"/>
  <c r="L31" i="11"/>
  <c r="O34" i="21"/>
  <c r="E56" i="2"/>
  <c r="F56" i="2"/>
  <c r="G56" i="2"/>
  <c r="AA154" i="1"/>
  <c r="AA156" i="1" s="1"/>
  <c r="AA158" i="1" s="1"/>
  <c r="AA22" i="8" s="1"/>
  <c r="AA175" i="1"/>
  <c r="AA177" i="1" s="1"/>
  <c r="AA179" i="1" s="1"/>
  <c r="AA25" i="8" s="1"/>
  <c r="AA168" i="1"/>
  <c r="AA170" i="1" s="1"/>
  <c r="AA172" i="1" s="1"/>
  <c r="AA24" i="8" s="1"/>
  <c r="D49" i="9"/>
  <c r="D52" i="9" s="1"/>
  <c r="D91" i="20"/>
  <c r="D89" i="20" s="1"/>
  <c r="D41" i="10"/>
  <c r="AB189" i="1"/>
  <c r="AB191" i="1" s="1"/>
  <c r="AB193" i="1" s="1"/>
  <c r="AB27" i="8" s="1"/>
  <c r="AA182" i="1"/>
  <c r="AA184" i="1" s="1"/>
  <c r="AA186" i="1" s="1"/>
  <c r="AA26" i="8" s="1"/>
  <c r="AB161" i="1"/>
  <c r="AA196" i="1"/>
  <c r="AA198" i="1" s="1"/>
  <c r="AA200" i="1" s="1"/>
  <c r="AA28" i="8" s="1"/>
  <c r="E38" i="10"/>
  <c r="AB121" i="9"/>
  <c r="AB21" i="9" s="1"/>
  <c r="AB147" i="9"/>
  <c r="F143" i="9"/>
  <c r="F35" i="9" s="1"/>
  <c r="D107" i="8"/>
  <c r="AB147" i="1"/>
  <c r="AB149" i="1" s="1"/>
  <c r="AB151" i="1" s="1"/>
  <c r="AB21" i="8" s="1"/>
  <c r="E140" i="1"/>
  <c r="E142" i="1" s="1"/>
  <c r="E144" i="1" s="1"/>
  <c r="E20" i="8" s="1"/>
  <c r="X38" i="10"/>
  <c r="AI38" i="10"/>
  <c r="F38" i="10"/>
  <c r="Z124" i="8"/>
  <c r="AA124" i="8"/>
  <c r="AF124" i="8"/>
  <c r="P56" i="10"/>
  <c r="H42" i="10"/>
  <c r="H43" i="10" s="1"/>
  <c r="H130" i="8"/>
  <c r="AC37" i="9"/>
  <c r="U113" i="9"/>
  <c r="U116" i="9" s="1"/>
  <c r="AL56" i="10"/>
  <c r="O124" i="8"/>
  <c r="K42" i="10"/>
  <c r="K43" i="10" s="1"/>
  <c r="K130" i="8"/>
  <c r="U124" i="8"/>
  <c r="V37" i="9"/>
  <c r="AM124" i="8"/>
  <c r="AM113" i="9"/>
  <c r="AM31" i="9" s="1"/>
  <c r="AM32" i="9" s="1"/>
  <c r="AM37" i="9" s="1"/>
  <c r="AH124" i="8"/>
  <c r="S56" i="10"/>
  <c r="X113" i="9"/>
  <c r="X116" i="9" s="1"/>
  <c r="X42" i="10" s="1"/>
  <c r="X43" i="10" s="1"/>
  <c r="AG113" i="9"/>
  <c r="AG31" i="9" s="1"/>
  <c r="AG32" i="9" s="1"/>
  <c r="AG37" i="9" s="1"/>
  <c r="F62" i="8"/>
  <c r="E43" i="2"/>
  <c r="AE62" i="8"/>
  <c r="D135" i="1"/>
  <c r="D137" i="1" s="1"/>
  <c r="D19" i="8" s="1"/>
  <c r="D33" i="8" s="1"/>
  <c r="G112" i="1"/>
  <c r="G209" i="1" s="1"/>
  <c r="K112" i="1"/>
  <c r="K15" i="10" s="1"/>
  <c r="O112" i="1"/>
  <c r="O15" i="10" s="1"/>
  <c r="S112" i="1"/>
  <c r="S209" i="1" s="1"/>
  <c r="AA112" i="1"/>
  <c r="AA15" i="10" s="1"/>
  <c r="AI112" i="1"/>
  <c r="AI209" i="1" s="1"/>
  <c r="H112" i="1"/>
  <c r="H209" i="1" s="1"/>
  <c r="L112" i="1"/>
  <c r="P112" i="1"/>
  <c r="P15" i="10" s="1"/>
  <c r="I112" i="1"/>
  <c r="I209" i="1" s="1"/>
  <c r="AC112" i="1"/>
  <c r="AC15" i="10" s="1"/>
  <c r="F112" i="1"/>
  <c r="F209" i="1" s="1"/>
  <c r="V112" i="1"/>
  <c r="V209" i="1" s="1"/>
  <c r="AH112" i="1"/>
  <c r="AH15" i="10" s="1"/>
  <c r="Z88" i="11"/>
  <c r="Z91" i="11" s="1"/>
  <c r="V36" i="11"/>
  <c r="W36" i="11"/>
  <c r="Z72" i="11"/>
  <c r="Z75" i="11" s="1"/>
  <c r="Z121" i="9"/>
  <c r="Z21" i="9" s="1"/>
  <c r="S36" i="11"/>
  <c r="T36" i="11"/>
  <c r="R36" i="11"/>
  <c r="AG36" i="11"/>
  <c r="AB36" i="11"/>
  <c r="AD36" i="11"/>
  <c r="Z36" i="11"/>
  <c r="Y36" i="11"/>
  <c r="Q36" i="11"/>
  <c r="AA36" i="11"/>
  <c r="AF36" i="11"/>
  <c r="X36" i="11"/>
  <c r="AE36" i="11"/>
  <c r="U36" i="11"/>
  <c r="AC36" i="11"/>
  <c r="AH36" i="11"/>
  <c r="AI36" i="11"/>
  <c r="AM36" i="11"/>
  <c r="AJ36" i="11"/>
  <c r="AK36" i="11"/>
  <c r="AL36" i="11"/>
  <c r="AN36" i="11"/>
  <c r="F31" i="11"/>
  <c r="S31" i="11"/>
  <c r="V31" i="11"/>
  <c r="U31" i="11"/>
  <c r="R31" i="11"/>
  <c r="T31" i="11"/>
  <c r="AA31" i="11"/>
  <c r="Y31" i="11"/>
  <c r="Q31" i="11"/>
  <c r="AB31" i="11"/>
  <c r="Z31" i="11"/>
  <c r="W31" i="11"/>
  <c r="X31" i="11"/>
  <c r="AC31" i="11"/>
  <c r="AM31" i="11"/>
  <c r="AN31" i="11"/>
  <c r="AD31" i="11"/>
  <c r="AE31" i="11"/>
  <c r="AF31" i="11"/>
  <c r="AG31" i="11"/>
  <c r="AK31" i="11"/>
  <c r="AJ31" i="11"/>
  <c r="AI31" i="11"/>
  <c r="AH31" i="11"/>
  <c r="AL31" i="11"/>
  <c r="AD147" i="9"/>
  <c r="AD49" i="9" s="1"/>
  <c r="AD52" i="9" s="1"/>
  <c r="AD54" i="9" s="1"/>
  <c r="AF121" i="9"/>
  <c r="AF21" i="9" s="1"/>
  <c r="M49" i="9"/>
  <c r="M52" i="9" s="1"/>
  <c r="M54" i="9" s="1"/>
  <c r="AF55" i="10"/>
  <c r="AF58" i="10" s="1"/>
  <c r="M117" i="8"/>
  <c r="V121" i="9"/>
  <c r="V21" i="9" s="1"/>
  <c r="S121" i="9"/>
  <c r="S21" i="9" s="1"/>
  <c r="A1" i="14"/>
  <c r="C4" i="15"/>
  <c r="A1" i="1"/>
  <c r="A1" i="8"/>
  <c r="A1" i="2"/>
  <c r="A1" i="11"/>
  <c r="AC43" i="10"/>
  <c r="AM38" i="10"/>
  <c r="AG38" i="10"/>
  <c r="R38" i="10"/>
  <c r="L38" i="10"/>
  <c r="J38" i="10"/>
  <c r="AD62" i="8"/>
  <c r="T62" i="8"/>
  <c r="D62" i="8"/>
  <c r="Q62" i="8"/>
  <c r="U62" i="8"/>
  <c r="S62" i="8"/>
  <c r="P62" i="8"/>
  <c r="AK62" i="8"/>
  <c r="AH37" i="9"/>
  <c r="E121" i="2"/>
  <c r="X62" i="8"/>
  <c r="AL62" i="8"/>
  <c r="AF37" i="9"/>
  <c r="AH62" i="8"/>
  <c r="H62" i="8"/>
  <c r="A1" i="10"/>
  <c r="AB62" i="8"/>
  <c r="N62" i="8"/>
  <c r="I113" i="9"/>
  <c r="I31" i="9" s="1"/>
  <c r="I32" i="9" s="1"/>
  <c r="I37" i="9" s="1"/>
  <c r="AB56" i="10"/>
  <c r="A1" i="7"/>
  <c r="AF62" i="8"/>
  <c r="AM62" i="8"/>
  <c r="G88" i="2" s="1"/>
  <c r="AG62" i="8"/>
  <c r="E62" i="8"/>
  <c r="M62" i="8"/>
  <c r="W62" i="8"/>
  <c r="O62" i="8"/>
  <c r="E88" i="2" s="1"/>
  <c r="AK37" i="9"/>
  <c r="AI62" i="8"/>
  <c r="Z62" i="8"/>
  <c r="Y62" i="8"/>
  <c r="R62" i="8"/>
  <c r="K62" i="8"/>
  <c r="L62" i="8"/>
  <c r="I62" i="8"/>
  <c r="E183" i="2"/>
  <c r="V62" i="8"/>
  <c r="G62" i="8"/>
  <c r="J62" i="8"/>
  <c r="L124" i="8"/>
  <c r="N130" i="8"/>
  <c r="Q130" i="8"/>
  <c r="J42" i="10"/>
  <c r="J43" i="10" s="1"/>
  <c r="O113" i="9"/>
  <c r="O31" i="9" s="1"/>
  <c r="O32" i="9" s="1"/>
  <c r="O37" i="9" s="1"/>
  <c r="AG56" i="10"/>
  <c r="AI37" i="9"/>
  <c r="AJ38" i="10"/>
  <c r="AD38" i="10"/>
  <c r="AB38" i="10"/>
  <c r="V124" i="8"/>
  <c r="J56" i="10"/>
  <c r="N56" i="10"/>
  <c r="X56" i="10"/>
  <c r="F124" i="8"/>
  <c r="E124" i="8"/>
  <c r="R56" i="10"/>
  <c r="H124" i="8"/>
  <c r="AE37" i="9"/>
  <c r="AE124" i="8"/>
  <c r="V116" i="9"/>
  <c r="V42" i="10" s="1"/>
  <c r="V43" i="10" s="1"/>
  <c r="AK38" i="10"/>
  <c r="T38" i="10"/>
  <c r="H38" i="10"/>
  <c r="U121" i="9"/>
  <c r="U21" i="9" s="1"/>
  <c r="AH38" i="10"/>
  <c r="AF38" i="10"/>
  <c r="Q43" i="10"/>
  <c r="Q45" i="10" s="1"/>
  <c r="AH43" i="10"/>
  <c r="AE38" i="10"/>
  <c r="AI42" i="10"/>
  <c r="AI43" i="10" s="1"/>
  <c r="AI130" i="8"/>
  <c r="AF42" i="10"/>
  <c r="AF43" i="10" s="1"/>
  <c r="AF130" i="8"/>
  <c r="AB42" i="10"/>
  <c r="AB43" i="10" s="1"/>
  <c r="AB130" i="8"/>
  <c r="W130" i="8"/>
  <c r="W42" i="10"/>
  <c r="W43" i="10" s="1"/>
  <c r="AL42" i="10"/>
  <c r="AL43" i="10" s="1"/>
  <c r="AL45" i="10" s="1"/>
  <c r="AL130" i="8"/>
  <c r="M130" i="8"/>
  <c r="M42" i="10"/>
  <c r="M43" i="10" s="1"/>
  <c r="M45" i="10" s="1"/>
  <c r="J37" i="9"/>
  <c r="P37" i="9"/>
  <c r="AM52" i="9"/>
  <c r="AM54" i="9" s="1"/>
  <c r="S38" i="10"/>
  <c r="O38" i="10"/>
  <c r="K38" i="10"/>
  <c r="I38" i="10"/>
  <c r="Y37" i="9"/>
  <c r="M56" i="10"/>
  <c r="M58" i="10" s="1"/>
  <c r="AH130" i="8"/>
  <c r="T37" i="9"/>
  <c r="Q56" i="10"/>
  <c r="Y124" i="8"/>
  <c r="I56" i="10"/>
  <c r="G37" i="9"/>
  <c r="AC38" i="10"/>
  <c r="AB37" i="9"/>
  <c r="AA38" i="10"/>
  <c r="Y38" i="10"/>
  <c r="V38" i="10"/>
  <c r="P38" i="10"/>
  <c r="N38" i="10"/>
  <c r="N45" i="10" s="1"/>
  <c r="L113" i="9"/>
  <c r="L31" i="9" s="1"/>
  <c r="L32" i="9" s="1"/>
  <c r="L37" i="9" s="1"/>
  <c r="H37" i="9"/>
  <c r="G56" i="10"/>
  <c r="K37" i="9"/>
  <c r="AE116" i="9"/>
  <c r="R113" i="9"/>
  <c r="R31" i="9" s="1"/>
  <c r="R32" i="9" s="1"/>
  <c r="R37" i="9" s="1"/>
  <c r="T116" i="9"/>
  <c r="AD113" i="9"/>
  <c r="AD31" i="9" s="1"/>
  <c r="AD32" i="9" s="1"/>
  <c r="AD37" i="9" s="1"/>
  <c r="AJ113" i="9"/>
  <c r="AJ31" i="9" s="1"/>
  <c r="AJ32" i="9" s="1"/>
  <c r="AJ37" i="9" s="1"/>
  <c r="P130" i="8"/>
  <c r="P42" i="10"/>
  <c r="P43" i="10" s="1"/>
  <c r="N37" i="9"/>
  <c r="Y130" i="8"/>
  <c r="Y42" i="10"/>
  <c r="Y43" i="10" s="1"/>
  <c r="E37" i="9"/>
  <c r="AL37" i="9"/>
  <c r="M37" i="9"/>
  <c r="S37" i="9"/>
  <c r="S42" i="10"/>
  <c r="S43" i="10" s="1"/>
  <c r="S130" i="8"/>
  <c r="W37" i="9"/>
  <c r="Z130" i="8"/>
  <c r="Z42" i="10"/>
  <c r="Z43" i="10" s="1"/>
  <c r="Z45" i="10" s="1"/>
  <c r="AD124" i="8"/>
  <c r="I52" i="9"/>
  <c r="I54" i="9" s="1"/>
  <c r="K124" i="8"/>
  <c r="AK116" i="9"/>
  <c r="AC130" i="8"/>
  <c r="Q52" i="9"/>
  <c r="Q54" i="9" s="1"/>
  <c r="AA113" i="9"/>
  <c r="Z58" i="10"/>
  <c r="AE58" i="10"/>
  <c r="E42" i="10"/>
  <c r="E43" i="10" s="1"/>
  <c r="W124" i="8"/>
  <c r="AH52" i="9"/>
  <c r="AH54" i="9" s="1"/>
  <c r="AI124" i="8"/>
  <c r="G42" i="10"/>
  <c r="G43" i="10" s="1"/>
  <c r="G45" i="10" s="1"/>
  <c r="AK124" i="8"/>
  <c r="AF52" i="9"/>
  <c r="AF54" i="9" s="1"/>
  <c r="AL147" i="9"/>
  <c r="AL55" i="10" s="1"/>
  <c r="AL58" i="10" s="1"/>
  <c r="AA121" i="9"/>
  <c r="AA21" i="9" s="1"/>
  <c r="AC121" i="9"/>
  <c r="AC21" i="9" s="1"/>
  <c r="T108" i="1"/>
  <c r="T18" i="9" s="1"/>
  <c r="AI108" i="1"/>
  <c r="AI18" i="9" s="1"/>
  <c r="AD108" i="1"/>
  <c r="AF117" i="8"/>
  <c r="T147" i="9"/>
  <c r="T55" i="10" s="1"/>
  <c r="T58" i="10" s="1"/>
  <c r="AH121" i="9"/>
  <c r="AH21" i="9" s="1"/>
  <c r="I108" i="1"/>
  <c r="AK147" i="9"/>
  <c r="AK117" i="8" s="1"/>
  <c r="Y108" i="1"/>
  <c r="AE108" i="1"/>
  <c r="AC108" i="1"/>
  <c r="AC18" i="9" s="1"/>
  <c r="H108" i="1"/>
  <c r="H18" i="9" s="1"/>
  <c r="Z108" i="1"/>
  <c r="Z18" i="9" s="1"/>
  <c r="AF108" i="1"/>
  <c r="AF18" i="9" s="1"/>
  <c r="L108" i="1"/>
  <c r="K108" i="1"/>
  <c r="K18" i="9" s="1"/>
  <c r="J108" i="1"/>
  <c r="Z117" i="8"/>
  <c r="AA108" i="1"/>
  <c r="Q108" i="1"/>
  <c r="Q18" i="9" s="1"/>
  <c r="R108" i="1"/>
  <c r="AM21" i="10"/>
  <c r="AM101" i="8"/>
  <c r="AL99" i="9"/>
  <c r="AL101" i="8" s="1"/>
  <c r="AK98" i="9"/>
  <c r="X108" i="1"/>
  <c r="W108" i="1"/>
  <c r="W18" i="9" s="1"/>
  <c r="V108" i="1"/>
  <c r="U108" i="1"/>
  <c r="AM108" i="1"/>
  <c r="AL108" i="1"/>
  <c r="AL18" i="9" s="1"/>
  <c r="AK108" i="1"/>
  <c r="P147" i="9"/>
  <c r="AL112" i="8"/>
  <c r="S108" i="1"/>
  <c r="G108" i="1"/>
  <c r="F108" i="1"/>
  <c r="AG108" i="1"/>
  <c r="Z49" i="9"/>
  <c r="Z52" i="9" s="1"/>
  <c r="Z54" i="9" s="1"/>
  <c r="AG121" i="9"/>
  <c r="AG21" i="9" s="1"/>
  <c r="AE121" i="9"/>
  <c r="AE21" i="9" s="1"/>
  <c r="Q121" i="9"/>
  <c r="Q21" i="9" s="1"/>
  <c r="AK103" i="9"/>
  <c r="AK24" i="10" s="1"/>
  <c r="AM102" i="9"/>
  <c r="N24" i="10"/>
  <c r="N112" i="8"/>
  <c r="R55" i="10"/>
  <c r="R49" i="9"/>
  <c r="R52" i="9" s="1"/>
  <c r="R54" i="9" s="1"/>
  <c r="R117" i="8"/>
  <c r="L101" i="8"/>
  <c r="L21" i="10"/>
  <c r="K55" i="10"/>
  <c r="K58" i="10" s="1"/>
  <c r="K49" i="9"/>
  <c r="K52" i="9" s="1"/>
  <c r="K54" i="9" s="1"/>
  <c r="K117" i="8"/>
  <c r="D37" i="10"/>
  <c r="D38" i="10" s="1"/>
  <c r="M108" i="1"/>
  <c r="W121" i="9"/>
  <c r="W21" i="9" s="1"/>
  <c r="R121" i="9"/>
  <c r="R21" i="9" s="1"/>
  <c r="D44" i="9"/>
  <c r="D46" i="9" s="1"/>
  <c r="AM121" i="9"/>
  <c r="AM21" i="9" s="1"/>
  <c r="AI147" i="9"/>
  <c r="AI117" i="8" s="1"/>
  <c r="AH108" i="1"/>
  <c r="O108" i="1"/>
  <c r="N108" i="1"/>
  <c r="N18" i="9" s="1"/>
  <c r="Q117" i="8"/>
  <c r="E108" i="1"/>
  <c r="E18" i="9" s="1"/>
  <c r="H21" i="10"/>
  <c r="Q55" i="10"/>
  <c r="P108" i="1"/>
  <c r="D147" i="8"/>
  <c r="D148" i="8" s="1"/>
  <c r="O21" i="10"/>
  <c r="O101" i="8"/>
  <c r="S117" i="8"/>
  <c r="S49" i="9"/>
  <c r="S52" i="9" s="1"/>
  <c r="S54" i="9" s="1"/>
  <c r="S55" i="10"/>
  <c r="AF24" i="10"/>
  <c r="AF112" i="8"/>
  <c r="AE98" i="9"/>
  <c r="AE105" i="9" s="1"/>
  <c r="AF99" i="9"/>
  <c r="X101" i="8"/>
  <c r="X21" i="10"/>
  <c r="G55" i="10"/>
  <c r="G49" i="9"/>
  <c r="G52" i="9" s="1"/>
  <c r="G54" i="9" s="1"/>
  <c r="G117" i="8"/>
  <c r="W117" i="8"/>
  <c r="W49" i="9"/>
  <c r="W52" i="9" s="1"/>
  <c r="W54" i="9" s="1"/>
  <c r="W55" i="10"/>
  <c r="W58" i="10" s="1"/>
  <c r="T99" i="9"/>
  <c r="T101" i="8" s="1"/>
  <c r="S98" i="9"/>
  <c r="N117" i="8"/>
  <c r="N55" i="10"/>
  <c r="N49" i="9"/>
  <c r="N52" i="9" s="1"/>
  <c r="N54" i="9" s="1"/>
  <c r="O102" i="9"/>
  <c r="R21" i="10"/>
  <c r="R101" i="8"/>
  <c r="AA21" i="10"/>
  <c r="AA101" i="8"/>
  <c r="D98" i="9"/>
  <c r="E99" i="9"/>
  <c r="E21" i="10" s="1"/>
  <c r="W24" i="10"/>
  <c r="W112" i="8"/>
  <c r="AE49" i="9"/>
  <c r="AE52" i="9" s="1"/>
  <c r="AE54" i="9" s="1"/>
  <c r="F34" i="2"/>
  <c r="D225" i="2" s="1"/>
  <c r="AE117" i="8"/>
  <c r="Y147" i="9"/>
  <c r="F101" i="8"/>
  <c r="Y98" i="9"/>
  <c r="Y112" i="8"/>
  <c r="N99" i="9"/>
  <c r="N101" i="8" s="1"/>
  <c r="M98" i="9"/>
  <c r="M105" i="9" s="1"/>
  <c r="J55" i="10"/>
  <c r="J117" i="8"/>
  <c r="J49" i="9"/>
  <c r="J52" i="9" s="1"/>
  <c r="J54" i="9" s="1"/>
  <c r="AB103" i="9"/>
  <c r="AD102" i="9"/>
  <c r="AD105" i="9" s="1"/>
  <c r="AC101" i="8"/>
  <c r="AC21" i="10"/>
  <c r="M24" i="10"/>
  <c r="M112" i="8"/>
  <c r="D56" i="10"/>
  <c r="D124" i="8"/>
  <c r="D125" i="8" s="1"/>
  <c r="H49" i="9"/>
  <c r="H52" i="9" s="1"/>
  <c r="H54" i="9" s="1"/>
  <c r="H117" i="8"/>
  <c r="H55" i="10"/>
  <c r="H58" i="10" s="1"/>
  <c r="AG55" i="10"/>
  <c r="AG49" i="9"/>
  <c r="AG52" i="9" s="1"/>
  <c r="AG54" i="9" s="1"/>
  <c r="AG117" i="8"/>
  <c r="P24" i="10"/>
  <c r="P112" i="8"/>
  <c r="AJ55" i="10"/>
  <c r="AJ58" i="10" s="1"/>
  <c r="AJ117" i="8"/>
  <c r="AJ49" i="9"/>
  <c r="AJ52" i="9" s="1"/>
  <c r="AJ54" i="9" s="1"/>
  <c r="I102" i="9"/>
  <c r="I105" i="9" s="1"/>
  <c r="H103" i="9"/>
  <c r="H112" i="8" s="1"/>
  <c r="AI101" i="8"/>
  <c r="AI21" i="10"/>
  <c r="X55" i="10"/>
  <c r="X49" i="9"/>
  <c r="X52" i="9" s="1"/>
  <c r="X54" i="9" s="1"/>
  <c r="X117" i="8"/>
  <c r="AJ101" i="8"/>
  <c r="AJ21" i="10"/>
  <c r="I101" i="8"/>
  <c r="I21" i="10"/>
  <c r="T112" i="8"/>
  <c r="G98" i="9"/>
  <c r="AH98" i="9"/>
  <c r="AH105" i="9" s="1"/>
  <c r="D55" i="10"/>
  <c r="D117" i="8"/>
  <c r="J98" i="9"/>
  <c r="J105" i="9" s="1"/>
  <c r="K99" i="9"/>
  <c r="W99" i="9"/>
  <c r="V98" i="9"/>
  <c r="V105" i="9" s="1"/>
  <c r="Z21" i="10"/>
  <c r="Z101" i="8"/>
  <c r="AC24" i="10"/>
  <c r="AC112" i="8"/>
  <c r="V49" i="9"/>
  <c r="V52" i="9" s="1"/>
  <c r="V54" i="9" s="1"/>
  <c r="V117" i="8"/>
  <c r="V55" i="10"/>
  <c r="V58" i="10" s="1"/>
  <c r="I117" i="8"/>
  <c r="I55" i="10"/>
  <c r="AM55" i="10"/>
  <c r="AM58" i="10" s="1"/>
  <c r="AM117" i="8"/>
  <c r="AG102" i="9"/>
  <c r="AG105" i="9" s="1"/>
  <c r="AE103" i="9"/>
  <c r="E24" i="10"/>
  <c r="E112" i="8"/>
  <c r="G24" i="10"/>
  <c r="G112" i="8"/>
  <c r="S103" i="9"/>
  <c r="U102" i="9"/>
  <c r="U105" i="9" s="1"/>
  <c r="AG101" i="8"/>
  <c r="AG21" i="10"/>
  <c r="L49" i="9"/>
  <c r="L52" i="9" s="1"/>
  <c r="L54" i="9" s="1"/>
  <c r="L117" i="8"/>
  <c r="L55" i="10"/>
  <c r="L58" i="10" s="1"/>
  <c r="AC55" i="10"/>
  <c r="AC58" i="10" s="1"/>
  <c r="AC117" i="8"/>
  <c r="AC49" i="9"/>
  <c r="AC52" i="9" s="1"/>
  <c r="AC54" i="9" s="1"/>
  <c r="F102" i="9"/>
  <c r="F105" i="9" s="1"/>
  <c r="D103" i="9"/>
  <c r="AA102" i="9"/>
  <c r="AA105" i="9" s="1"/>
  <c r="Z103" i="9"/>
  <c r="AD99" i="9"/>
  <c r="AB98" i="9"/>
  <c r="AB105" i="9" s="1"/>
  <c r="Q103" i="9"/>
  <c r="R102" i="9"/>
  <c r="R105" i="9" s="1"/>
  <c r="E55" i="10"/>
  <c r="E58" i="10" s="1"/>
  <c r="E117" i="8"/>
  <c r="E49" i="9"/>
  <c r="E52" i="9" s="1"/>
  <c r="E54" i="9" s="1"/>
  <c r="O117" i="8"/>
  <c r="O49" i="9"/>
  <c r="O52" i="9" s="1"/>
  <c r="O54" i="9" s="1"/>
  <c r="O55" i="10"/>
  <c r="O58" i="10" s="1"/>
  <c r="L102" i="9"/>
  <c r="L105" i="9" s="1"/>
  <c r="K112" i="8"/>
  <c r="K24" i="10"/>
  <c r="AH55" i="10"/>
  <c r="AH58" i="10" s="1"/>
  <c r="AH117" i="8"/>
  <c r="P98" i="9"/>
  <c r="P105" i="9" s="1"/>
  <c r="Q99" i="9"/>
  <c r="J24" i="10"/>
  <c r="J112" i="8"/>
  <c r="U101" i="8"/>
  <c r="U21" i="10"/>
  <c r="AI112" i="8"/>
  <c r="AI24" i="10"/>
  <c r="F49" i="9"/>
  <c r="F52" i="9" s="1"/>
  <c r="F54" i="9" s="1"/>
  <c r="F55" i="10"/>
  <c r="F58" i="10" s="1"/>
  <c r="F117" i="8"/>
  <c r="U55" i="10"/>
  <c r="U58" i="10" s="1"/>
  <c r="U117" i="8"/>
  <c r="U49" i="9"/>
  <c r="U52" i="9" s="1"/>
  <c r="U54" i="9" s="1"/>
  <c r="AA49" i="9"/>
  <c r="AA52" i="9" s="1"/>
  <c r="AA54" i="9" s="1"/>
  <c r="AA55" i="10"/>
  <c r="AA58" i="10" s="1"/>
  <c r="AA117" i="8"/>
  <c r="X102" i="9"/>
  <c r="X105" i="9" s="1"/>
  <c r="V103" i="9"/>
  <c r="E7" i="10"/>
  <c r="E84" i="11"/>
  <c r="E104" i="11" s="1"/>
  <c r="E16" i="8"/>
  <c r="E84" i="8" s="1"/>
  <c r="H31" i="11"/>
  <c r="D126" i="1"/>
  <c r="D93" i="1"/>
  <c r="E7" i="9"/>
  <c r="E75" i="9" s="1"/>
  <c r="G31" i="11"/>
  <c r="I36" i="11"/>
  <c r="O31" i="11"/>
  <c r="E93" i="1"/>
  <c r="J31" i="11"/>
  <c r="I31" i="11"/>
  <c r="J36" i="11"/>
  <c r="G36" i="11"/>
  <c r="P31" i="11"/>
  <c r="K36" i="11"/>
  <c r="H36" i="11"/>
  <c r="L36" i="11"/>
  <c r="O36" i="11"/>
  <c r="P36" i="11"/>
  <c r="F36" i="11"/>
  <c r="E36" i="11"/>
  <c r="N31" i="11"/>
  <c r="M36" i="11"/>
  <c r="N36" i="11"/>
  <c r="F91" i="1"/>
  <c r="M31" i="11"/>
  <c r="H22" i="11"/>
  <c r="F7" i="10"/>
  <c r="D95" i="1" l="1"/>
  <c r="AF54" i="11"/>
  <c r="AK54" i="11"/>
  <c r="AC54" i="11"/>
  <c r="AG54" i="11"/>
  <c r="AM54" i="11"/>
  <c r="AD54" i="11"/>
  <c r="AI54" i="11"/>
  <c r="AL54" i="11"/>
  <c r="AE54" i="11"/>
  <c r="AH54" i="11"/>
  <c r="AN54" i="11"/>
  <c r="I68" i="1"/>
  <c r="J68" i="1"/>
  <c r="S99" i="9"/>
  <c r="S21" i="10" s="1"/>
  <c r="S105" i="9"/>
  <c r="S18" i="9" s="1"/>
  <c r="Y99" i="9"/>
  <c r="Y21" i="10" s="1"/>
  <c r="Y105" i="9"/>
  <c r="Y18" i="9" s="1"/>
  <c r="G99" i="9"/>
  <c r="G101" i="8" s="1"/>
  <c r="G105" i="9"/>
  <c r="G18" i="9" s="1"/>
  <c r="D105" i="9"/>
  <c r="D18" i="9" s="1"/>
  <c r="D22" i="9" s="1"/>
  <c r="G80" i="11"/>
  <c r="G83" i="11" s="1"/>
  <c r="K156" i="21" s="1"/>
  <c r="K164" i="21" s="1"/>
  <c r="F84" i="11"/>
  <c r="F104" i="11" s="1"/>
  <c r="E95" i="1" s="1"/>
  <c r="T142" i="21"/>
  <c r="T143" i="21" s="1"/>
  <c r="T145" i="21" s="1"/>
  <c r="U137" i="21" s="1"/>
  <c r="T147" i="21"/>
  <c r="T148" i="21" s="1"/>
  <c r="U135" i="21"/>
  <c r="Z76" i="11"/>
  <c r="Z77" i="11" s="1"/>
  <c r="AD136" i="21"/>
  <c r="AC141" i="21" s="1"/>
  <c r="AC144" i="21"/>
  <c r="T187" i="21"/>
  <c r="T188" i="21" s="1"/>
  <c r="T182" i="21"/>
  <c r="T183" i="21" s="1"/>
  <c r="T185" i="21" s="1"/>
  <c r="U177" i="21" s="1"/>
  <c r="U175" i="21"/>
  <c r="Z92" i="11"/>
  <c r="Z93" i="11" s="1"/>
  <c r="AD176" i="21"/>
  <c r="AC184" i="21"/>
  <c r="I161" i="21"/>
  <c r="I164" i="21"/>
  <c r="I158" i="21"/>
  <c r="J164" i="21"/>
  <c r="AK99" i="9"/>
  <c r="AK101" i="8" s="1"/>
  <c r="AK105" i="9"/>
  <c r="AK18" i="9" s="1"/>
  <c r="O103" i="9"/>
  <c r="O112" i="8" s="1"/>
  <c r="O105" i="9"/>
  <c r="O18" i="9" s="1"/>
  <c r="AM103" i="9"/>
  <c r="AM24" i="10" s="1"/>
  <c r="AM105" i="9"/>
  <c r="AM18" i="9" s="1"/>
  <c r="E111" i="11"/>
  <c r="W45" i="10"/>
  <c r="E45" i="10"/>
  <c r="AI45" i="10"/>
  <c r="J45" i="10"/>
  <c r="D37" i="9"/>
  <c r="I74" i="22"/>
  <c r="AJ54" i="11"/>
  <c r="P18" i="21"/>
  <c r="P19" i="21" s="1"/>
  <c r="P21" i="21" s="1"/>
  <c r="Q13" i="21" s="1"/>
  <c r="Q14" i="21" s="1"/>
  <c r="P23" i="21"/>
  <c r="P24" i="21" s="1"/>
  <c r="O38" i="21"/>
  <c r="O39" i="21" s="1"/>
  <c r="O41" i="21" s="1"/>
  <c r="P33" i="21" s="1"/>
  <c r="P43" i="21" s="1"/>
  <c r="P44" i="21" s="1"/>
  <c r="P31" i="21"/>
  <c r="F91" i="20"/>
  <c r="F89" i="20" s="1"/>
  <c r="AB196" i="1"/>
  <c r="AB198" i="1" s="1"/>
  <c r="AB200" i="1" s="1"/>
  <c r="AB28" i="8" s="1"/>
  <c r="AB182" i="1"/>
  <c r="AB184" i="1" s="1"/>
  <c r="AB186" i="1" s="1"/>
  <c r="AB26" i="8" s="1"/>
  <c r="AB168" i="1"/>
  <c r="AB170" i="1" s="1"/>
  <c r="AB172" i="1" s="1"/>
  <c r="AB24" i="8" s="1"/>
  <c r="AB154" i="1"/>
  <c r="AB156" i="1" s="1"/>
  <c r="AB158" i="1" s="1"/>
  <c r="AB22" i="8" s="1"/>
  <c r="P49" i="9"/>
  <c r="P52" i="9" s="1"/>
  <c r="P54" i="9" s="1"/>
  <c r="E91" i="20"/>
  <c r="E89" i="20" s="1"/>
  <c r="AB163" i="1"/>
  <c r="AB165" i="1" s="1"/>
  <c r="AB23" i="8" s="1"/>
  <c r="AC189" i="1"/>
  <c r="AC191" i="1" s="1"/>
  <c r="AC193" i="1" s="1"/>
  <c r="AC27" i="8" s="1"/>
  <c r="AB175" i="1"/>
  <c r="AB177" i="1" s="1"/>
  <c r="AB179" i="1" s="1"/>
  <c r="AB25" i="8" s="1"/>
  <c r="D54" i="9"/>
  <c r="E47" i="2" s="1"/>
  <c r="F107" i="8"/>
  <c r="F41" i="10"/>
  <c r="D118" i="8"/>
  <c r="D120" i="8" s="1"/>
  <c r="D53" i="8" s="1"/>
  <c r="X45" i="10"/>
  <c r="AC147" i="1"/>
  <c r="AC149" i="1" s="1"/>
  <c r="AC151" i="1" s="1"/>
  <c r="AC21" i="8" s="1"/>
  <c r="F140" i="1"/>
  <c r="F142" i="1" s="1"/>
  <c r="F144" i="1" s="1"/>
  <c r="F20" i="8" s="1"/>
  <c r="H45" i="10"/>
  <c r="N58" i="10"/>
  <c r="S58" i="10"/>
  <c r="P45" i="10"/>
  <c r="AG116" i="9"/>
  <c r="AG130" i="8" s="1"/>
  <c r="X130" i="8"/>
  <c r="U31" i="9"/>
  <c r="U32" i="9" s="1"/>
  <c r="U37" i="9" s="1"/>
  <c r="AD116" i="9"/>
  <c r="AD42" i="10" s="1"/>
  <c r="AD43" i="10" s="1"/>
  <c r="AD45" i="10" s="1"/>
  <c r="I116" i="9"/>
  <c r="I130" i="8" s="1"/>
  <c r="X31" i="9"/>
  <c r="X32" i="9" s="1"/>
  <c r="X37" i="9" s="1"/>
  <c r="AM116" i="9"/>
  <c r="AM42" i="10" s="1"/>
  <c r="AM43" i="10" s="1"/>
  <c r="AM45" i="10" s="1"/>
  <c r="V45" i="10"/>
  <c r="AG58" i="10"/>
  <c r="R58" i="10"/>
  <c r="I58" i="10"/>
  <c r="AC45" i="10"/>
  <c r="AH45" i="10"/>
  <c r="J58" i="10"/>
  <c r="E133" i="1"/>
  <c r="AA88" i="11"/>
  <c r="AA91" i="11" s="1"/>
  <c r="AA72" i="11"/>
  <c r="AA75" i="11" s="1"/>
  <c r="AD55" i="10"/>
  <c r="AD58" i="10" s="1"/>
  <c r="AD117" i="8"/>
  <c r="D110" i="9"/>
  <c r="O116" i="9"/>
  <c r="O130" i="8" s="1"/>
  <c r="W112" i="1"/>
  <c r="W15" i="10" s="1"/>
  <c r="X58" i="10"/>
  <c r="Q58" i="10"/>
  <c r="R116" i="9"/>
  <c r="R130" i="8" s="1"/>
  <c r="Y45" i="10"/>
  <c r="T112" i="1"/>
  <c r="T209" i="1" s="1"/>
  <c r="Q112" i="1"/>
  <c r="Q209" i="1" s="1"/>
  <c r="E112" i="1"/>
  <c r="E15" i="10" s="1"/>
  <c r="J112" i="1"/>
  <c r="J209" i="1" s="1"/>
  <c r="AD112" i="1"/>
  <c r="AD15" i="10" s="1"/>
  <c r="AM112" i="1"/>
  <c r="AM15" i="10" s="1"/>
  <c r="M112" i="1"/>
  <c r="M15" i="10" s="1"/>
  <c r="AB15" i="10"/>
  <c r="R112" i="1"/>
  <c r="R15" i="10" s="1"/>
  <c r="N112" i="1"/>
  <c r="AE112" i="1"/>
  <c r="AE209" i="1" s="1"/>
  <c r="AL112" i="1"/>
  <c r="Z112" i="1"/>
  <c r="X112" i="1"/>
  <c r="AK112" i="1"/>
  <c r="AJ112" i="1"/>
  <c r="Y112" i="1"/>
  <c r="AG112" i="1"/>
  <c r="AF112" i="1"/>
  <c r="U112" i="1"/>
  <c r="D15" i="10"/>
  <c r="V130" i="8"/>
  <c r="AB45" i="10"/>
  <c r="AF45" i="10"/>
  <c r="G46" i="2"/>
  <c r="O209" i="1"/>
  <c r="H15" i="10"/>
  <c r="AA209" i="1"/>
  <c r="G58" i="10"/>
  <c r="S45" i="10"/>
  <c r="K45" i="10"/>
  <c r="AJ116" i="9"/>
  <c r="AJ130" i="8" s="1"/>
  <c r="T42" i="10"/>
  <c r="T43" i="10" s="1"/>
  <c r="T45" i="10" s="1"/>
  <c r="T130" i="8"/>
  <c r="AE42" i="10"/>
  <c r="AE43" i="10" s="1"/>
  <c r="AE45" i="10" s="1"/>
  <c r="AE130" i="8"/>
  <c r="AL117" i="8"/>
  <c r="AL49" i="9"/>
  <c r="AL52" i="9" s="1"/>
  <c r="AL54" i="9" s="1"/>
  <c r="L116" i="9"/>
  <c r="AK42" i="10"/>
  <c r="AK43" i="10" s="1"/>
  <c r="AK45" i="10" s="1"/>
  <c r="AK130" i="8"/>
  <c r="U130" i="8"/>
  <c r="U42" i="10"/>
  <c r="U43" i="10" s="1"/>
  <c r="U45" i="10" s="1"/>
  <c r="AA116" i="9"/>
  <c r="AA31" i="9"/>
  <c r="AA32" i="9" s="1"/>
  <c r="AA37" i="9" s="1"/>
  <c r="K209" i="1"/>
  <c r="T117" i="8"/>
  <c r="I18" i="9"/>
  <c r="S15" i="10"/>
  <c r="P209" i="1"/>
  <c r="T49" i="9"/>
  <c r="T52" i="9" s="1"/>
  <c r="T54" i="9" s="1"/>
  <c r="AI15" i="10"/>
  <c r="AK49" i="9"/>
  <c r="AK52" i="9" s="1"/>
  <c r="AK54" i="9" s="1"/>
  <c r="AK55" i="10"/>
  <c r="AK58" i="10" s="1"/>
  <c r="H24" i="10"/>
  <c r="AH209" i="1"/>
  <c r="P55" i="10"/>
  <c r="P58" i="10" s="1"/>
  <c r="AC209" i="1"/>
  <c r="L18" i="9"/>
  <c r="AL21" i="10"/>
  <c r="AI55" i="10"/>
  <c r="AI58" i="10" s="1"/>
  <c r="P117" i="8"/>
  <c r="AI49" i="9"/>
  <c r="AI52" i="9" s="1"/>
  <c r="AI54" i="9" s="1"/>
  <c r="AB55" i="10"/>
  <c r="AB58" i="10" s="1"/>
  <c r="AB117" i="8"/>
  <c r="AB49" i="9"/>
  <c r="AB52" i="9" s="1"/>
  <c r="AB54" i="9" s="1"/>
  <c r="AK112" i="8"/>
  <c r="F27" i="2"/>
  <c r="I15" i="10"/>
  <c r="F15" i="10"/>
  <c r="X18" i="9"/>
  <c r="D58" i="10"/>
  <c r="E27" i="2"/>
  <c r="AJ102" i="9"/>
  <c r="AJ105" i="9" s="1"/>
  <c r="AH103" i="9"/>
  <c r="N21" i="10"/>
  <c r="G15" i="10"/>
  <c r="D61" i="8"/>
  <c r="E146" i="8"/>
  <c r="E148" i="8" s="1"/>
  <c r="D99" i="9"/>
  <c r="D21" i="10" s="1"/>
  <c r="AH18" i="9"/>
  <c r="L15" i="10"/>
  <c r="L209" i="1"/>
  <c r="AE99" i="9"/>
  <c r="AE18" i="9"/>
  <c r="Y55" i="10"/>
  <c r="Y58" i="10" s="1"/>
  <c r="Y117" i="8"/>
  <c r="Y49" i="9"/>
  <c r="Y52" i="9" s="1"/>
  <c r="Y54" i="9" s="1"/>
  <c r="T21" i="10"/>
  <c r="AH99" i="9"/>
  <c r="AH21" i="10" s="1"/>
  <c r="V15" i="10"/>
  <c r="E101" i="8"/>
  <c r="AF101" i="8"/>
  <c r="AF21" i="10"/>
  <c r="D54" i="8"/>
  <c r="E123" i="8"/>
  <c r="E125" i="8" s="1"/>
  <c r="AB112" i="8"/>
  <c r="AB24" i="10"/>
  <c r="AD103" i="9"/>
  <c r="AD18" i="9"/>
  <c r="I103" i="9"/>
  <c r="I24" i="10" s="1"/>
  <c r="F121" i="2"/>
  <c r="F43" i="2"/>
  <c r="F127" i="2"/>
  <c r="F165" i="2" s="1"/>
  <c r="F183" i="2"/>
  <c r="M99" i="9"/>
  <c r="M18" i="9"/>
  <c r="K101" i="8"/>
  <c r="K21" i="10"/>
  <c r="J18" i="9"/>
  <c r="J99" i="9"/>
  <c r="P18" i="9"/>
  <c r="P99" i="9"/>
  <c r="R18" i="9"/>
  <c r="R103" i="9"/>
  <c r="AD101" i="8"/>
  <c r="AD21" i="10"/>
  <c r="Z24" i="10"/>
  <c r="Z112" i="8"/>
  <c r="G121" i="2"/>
  <c r="G127" i="2"/>
  <c r="G165" i="2" s="1"/>
  <c r="G43" i="2"/>
  <c r="G183" i="2"/>
  <c r="Q24" i="10"/>
  <c r="Q112" i="8"/>
  <c r="AA103" i="9"/>
  <c r="AA18" i="9"/>
  <c r="Q21" i="10"/>
  <c r="Q101" i="8"/>
  <c r="AB99" i="9"/>
  <c r="AB18" i="9"/>
  <c r="S112" i="8"/>
  <c r="S24" i="10"/>
  <c r="X103" i="9"/>
  <c r="L103" i="9"/>
  <c r="F103" i="9"/>
  <c r="F18" i="9"/>
  <c r="AE24" i="10"/>
  <c r="AE112" i="8"/>
  <c r="V99" i="9"/>
  <c r="V18" i="9"/>
  <c r="U103" i="9"/>
  <c r="U18" i="9"/>
  <c r="D24" i="10"/>
  <c r="D112" i="8"/>
  <c r="D113" i="8" s="1"/>
  <c r="V24" i="10"/>
  <c r="V112" i="8"/>
  <c r="AG103" i="9"/>
  <c r="AG18" i="9"/>
  <c r="W21" i="10"/>
  <c r="W101" i="8"/>
  <c r="E85" i="11"/>
  <c r="E105" i="11" s="1"/>
  <c r="E106" i="11" s="1"/>
  <c r="G84" i="11"/>
  <c r="G104" i="11" s="1"/>
  <c r="F95" i="1" s="1"/>
  <c r="H80" i="11"/>
  <c r="H83" i="11" s="1"/>
  <c r="L156" i="21" s="1"/>
  <c r="F7" i="9"/>
  <c r="G7" i="9" s="1"/>
  <c r="F93" i="1"/>
  <c r="G91" i="1"/>
  <c r="F126" i="1"/>
  <c r="I22" i="11"/>
  <c r="G16" i="8"/>
  <c r="G84" i="8" s="1"/>
  <c r="G7" i="10"/>
  <c r="J66" i="1" l="1"/>
  <c r="P41" i="24" s="1"/>
  <c r="P43" i="24"/>
  <c r="I66" i="1"/>
  <c r="O41" i="24" s="1"/>
  <c r="O43" i="24"/>
  <c r="F85" i="11"/>
  <c r="F105" i="11" s="1"/>
  <c r="F106" i="11" s="1"/>
  <c r="S101" i="8"/>
  <c r="G21" i="10"/>
  <c r="O24" i="10"/>
  <c r="Y101" i="8"/>
  <c r="J161" i="21"/>
  <c r="U138" i="21"/>
  <c r="V135" i="21" s="1"/>
  <c r="AA76" i="11"/>
  <c r="AA77" i="11" s="1"/>
  <c r="AE136" i="21"/>
  <c r="AD141" i="21" s="1"/>
  <c r="AD144" i="21"/>
  <c r="U178" i="21"/>
  <c r="V175" i="21" s="1"/>
  <c r="AA92" i="11"/>
  <c r="AA93" i="11" s="1"/>
  <c r="AE176" i="21"/>
  <c r="AD181" i="21" s="1"/>
  <c r="AD184" i="21"/>
  <c r="AC181" i="21"/>
  <c r="I162" i="21"/>
  <c r="I163" i="21" s="1"/>
  <c r="I165" i="21" s="1"/>
  <c r="J157" i="21" s="1"/>
  <c r="I167" i="21"/>
  <c r="I168" i="21" s="1"/>
  <c r="I212" i="21" s="1"/>
  <c r="D88" i="9" s="1"/>
  <c r="J155" i="21"/>
  <c r="D55" i="24"/>
  <c r="D78" i="9" s="1"/>
  <c r="L164" i="21"/>
  <c r="K161" i="21"/>
  <c r="AK21" i="10"/>
  <c r="AM112" i="8"/>
  <c r="F113" i="9"/>
  <c r="F31" i="9" s="1"/>
  <c r="Q23" i="21"/>
  <c r="Q24" i="21" s="1"/>
  <c r="R11" i="21"/>
  <c r="Q18" i="21"/>
  <c r="Q19" i="21" s="1"/>
  <c r="Q21" i="21" s="1"/>
  <c r="R13" i="21" s="1"/>
  <c r="P34" i="21"/>
  <c r="AC175" i="1"/>
  <c r="AC177" i="1" s="1"/>
  <c r="AC179" i="1" s="1"/>
  <c r="AC25" i="8" s="1"/>
  <c r="AC154" i="1"/>
  <c r="AC156" i="1" s="1"/>
  <c r="AC158" i="1" s="1"/>
  <c r="AC22" i="8" s="1"/>
  <c r="AC161" i="1"/>
  <c r="AC163" i="1" s="1"/>
  <c r="AC165" i="1" s="1"/>
  <c r="AC23" i="8" s="1"/>
  <c r="AD189" i="1"/>
  <c r="AD191" i="1" s="1"/>
  <c r="AD193" i="1" s="1"/>
  <c r="AD27" i="8" s="1"/>
  <c r="AC168" i="1"/>
  <c r="AC170" i="1" s="1"/>
  <c r="AC172" i="1" s="1"/>
  <c r="AC24" i="8" s="1"/>
  <c r="AC196" i="1"/>
  <c r="AC198" i="1" s="1"/>
  <c r="AC200" i="1" s="1"/>
  <c r="AC28" i="8" s="1"/>
  <c r="AC182" i="1"/>
  <c r="AC184" i="1" s="1"/>
  <c r="AC186" i="1" s="1"/>
  <c r="AC26" i="8" s="1"/>
  <c r="AG42" i="10"/>
  <c r="AG43" i="10" s="1"/>
  <c r="AG45" i="10" s="1"/>
  <c r="I42" i="10"/>
  <c r="I43" i="10" s="1"/>
  <c r="I45" i="10" s="1"/>
  <c r="E118" i="8"/>
  <c r="E120" i="8" s="1"/>
  <c r="E53" i="8" s="1"/>
  <c r="D55" i="8"/>
  <c r="AD147" i="1"/>
  <c r="AD149" i="1" s="1"/>
  <c r="AD151" i="1" s="1"/>
  <c r="AD21" i="8" s="1"/>
  <c r="G140" i="1"/>
  <c r="G142" i="1" s="1"/>
  <c r="G144" i="1" s="1"/>
  <c r="G20" i="8" s="1"/>
  <c r="AE15" i="10"/>
  <c r="AD130" i="8"/>
  <c r="O42" i="10"/>
  <c r="O43" i="10" s="1"/>
  <c r="O45" i="10" s="1"/>
  <c r="AM130" i="8"/>
  <c r="F46" i="2"/>
  <c r="AJ42" i="10"/>
  <c r="AJ43" i="10" s="1"/>
  <c r="AJ45" i="10" s="1"/>
  <c r="E135" i="1"/>
  <c r="E137" i="1" s="1"/>
  <c r="E19" i="8" s="1"/>
  <c r="E33" i="8" s="1"/>
  <c r="W209" i="1"/>
  <c r="D116" i="9"/>
  <c r="D130" i="8" s="1"/>
  <c r="AM209" i="1"/>
  <c r="AD209" i="1"/>
  <c r="AB88" i="11"/>
  <c r="AB91" i="11" s="1"/>
  <c r="AB72" i="11"/>
  <c r="AB75" i="11" s="1"/>
  <c r="M209" i="1"/>
  <c r="R209" i="1"/>
  <c r="AB209" i="1"/>
  <c r="Q15" i="10"/>
  <c r="R42" i="10"/>
  <c r="R43" i="10" s="1"/>
  <c r="R45" i="10" s="1"/>
  <c r="T15" i="10"/>
  <c r="J15" i="10"/>
  <c r="E209" i="1"/>
  <c r="N209" i="1"/>
  <c r="N15" i="10"/>
  <c r="Y209" i="1"/>
  <c r="Y15" i="10"/>
  <c r="AJ209" i="1"/>
  <c r="AJ15" i="10"/>
  <c r="AK15" i="10"/>
  <c r="AK209" i="1"/>
  <c r="X209" i="1"/>
  <c r="X15" i="10"/>
  <c r="Z15" i="10"/>
  <c r="Z209" i="1"/>
  <c r="AL15" i="10"/>
  <c r="AL209" i="1"/>
  <c r="U209" i="1"/>
  <c r="U15" i="10"/>
  <c r="AF15" i="10"/>
  <c r="AF209" i="1"/>
  <c r="AG15" i="10"/>
  <c r="AG209" i="1"/>
  <c r="L130" i="8"/>
  <c r="L42" i="10"/>
  <c r="L43" i="10" s="1"/>
  <c r="L45" i="10" s="1"/>
  <c r="AA42" i="10"/>
  <c r="AA43" i="10" s="1"/>
  <c r="AA45" i="10" s="1"/>
  <c r="AA130" i="8"/>
  <c r="F47" i="2"/>
  <c r="G47" i="2"/>
  <c r="D101" i="8"/>
  <c r="D102" i="8" s="1"/>
  <c r="D38" i="8" s="1"/>
  <c r="F146" i="8"/>
  <c r="F148" i="8" s="1"/>
  <c r="E61" i="8"/>
  <c r="AJ103" i="9"/>
  <c r="AJ18" i="9"/>
  <c r="AH24" i="10"/>
  <c r="AH112" i="8"/>
  <c r="AH101" i="8"/>
  <c r="AE101" i="8"/>
  <c r="AE21" i="10"/>
  <c r="M101" i="8"/>
  <c r="M21" i="10"/>
  <c r="I112" i="8"/>
  <c r="AD24" i="10"/>
  <c r="AD112" i="8"/>
  <c r="E54" i="8"/>
  <c r="F123" i="8"/>
  <c r="F125" i="8" s="1"/>
  <c r="R112" i="8"/>
  <c r="R24" i="10"/>
  <c r="AA112" i="8"/>
  <c r="AA24" i="10"/>
  <c r="F112" i="8"/>
  <c r="F24" i="10"/>
  <c r="J21" i="10"/>
  <c r="J101" i="8"/>
  <c r="E111" i="8"/>
  <c r="E113" i="8" s="1"/>
  <c r="D44" i="8"/>
  <c r="L112" i="8"/>
  <c r="L24" i="10"/>
  <c r="V101" i="8"/>
  <c r="V21" i="10"/>
  <c r="AG112" i="8"/>
  <c r="AG24" i="10"/>
  <c r="X24" i="10"/>
  <c r="X112" i="8"/>
  <c r="P101" i="8"/>
  <c r="P21" i="10"/>
  <c r="U112" i="8"/>
  <c r="U24" i="10"/>
  <c r="AB101" i="8"/>
  <c r="AB21" i="10"/>
  <c r="G85" i="11"/>
  <c r="G105" i="11" s="1"/>
  <c r="G106" i="11" s="1"/>
  <c r="H84" i="11"/>
  <c r="H104" i="11" s="1"/>
  <c r="G95" i="1" s="1"/>
  <c r="I80" i="11"/>
  <c r="I83" i="11" s="1"/>
  <c r="M156" i="21" s="1"/>
  <c r="L161" i="21" s="1"/>
  <c r="F75" i="9"/>
  <c r="G126" i="1"/>
  <c r="H91" i="1"/>
  <c r="G93" i="1"/>
  <c r="J22" i="11"/>
  <c r="H7" i="10"/>
  <c r="H16" i="8"/>
  <c r="H84" i="8" s="1"/>
  <c r="G75" i="9"/>
  <c r="H7" i="9"/>
  <c r="U147" i="21" l="1"/>
  <c r="U148" i="21" s="1"/>
  <c r="U142" i="21"/>
  <c r="U143" i="21" s="1"/>
  <c r="U145" i="21" s="1"/>
  <c r="V137" i="21" s="1"/>
  <c r="V138" i="21" s="1"/>
  <c r="V142" i="21" s="1"/>
  <c r="V143" i="21" s="1"/>
  <c r="V145" i="21" s="1"/>
  <c r="W137" i="21" s="1"/>
  <c r="J158" i="21"/>
  <c r="J167" i="21" s="1"/>
  <c r="J168" i="21" s="1"/>
  <c r="AE144" i="21"/>
  <c r="AB76" i="11"/>
  <c r="AB77" i="11" s="1"/>
  <c r="AF136" i="21"/>
  <c r="AE141" i="21" s="1"/>
  <c r="U187" i="21"/>
  <c r="U188" i="21" s="1"/>
  <c r="U182" i="21"/>
  <c r="U183" i="21" s="1"/>
  <c r="U185" i="21" s="1"/>
  <c r="V177" i="21" s="1"/>
  <c r="V178" i="21" s="1"/>
  <c r="AB92" i="11"/>
  <c r="AB93" i="11" s="1"/>
  <c r="AF176" i="21"/>
  <c r="AE184" i="21"/>
  <c r="J162" i="21"/>
  <c r="J163" i="21" s="1"/>
  <c r="J165" i="21" s="1"/>
  <c r="K157" i="21" s="1"/>
  <c r="D91" i="8"/>
  <c r="D92" i="8" s="1"/>
  <c r="D19" i="10"/>
  <c r="M164" i="21"/>
  <c r="F32" i="9"/>
  <c r="F37" i="9" s="1"/>
  <c r="E46" i="2" s="1"/>
  <c r="F116" i="9"/>
  <c r="F42" i="10" s="1"/>
  <c r="F43" i="10" s="1"/>
  <c r="F45" i="10" s="1"/>
  <c r="F118" i="8"/>
  <c r="G118" i="8" s="1"/>
  <c r="G120" i="8" s="1"/>
  <c r="G53" i="8" s="1"/>
  <c r="Q31" i="21"/>
  <c r="P38" i="21"/>
  <c r="P39" i="21" s="1"/>
  <c r="P41" i="21" s="1"/>
  <c r="Q33" i="21" s="1"/>
  <c r="Q43" i="21" s="1"/>
  <c r="Q44" i="21" s="1"/>
  <c r="E55" i="8"/>
  <c r="R14" i="21"/>
  <c r="AD196" i="1"/>
  <c r="AD198" i="1" s="1"/>
  <c r="AD200" i="1" s="1"/>
  <c r="AD28" i="8" s="1"/>
  <c r="AE189" i="1"/>
  <c r="AE191" i="1" s="1"/>
  <c r="AE193" i="1" s="1"/>
  <c r="AE27" i="8" s="1"/>
  <c r="AD154" i="1"/>
  <c r="AD156" i="1" s="1"/>
  <c r="AD158" i="1" s="1"/>
  <c r="AD22" i="8" s="1"/>
  <c r="AD161" i="1"/>
  <c r="AD163" i="1" s="1"/>
  <c r="AD165" i="1" s="1"/>
  <c r="AD23" i="8" s="1"/>
  <c r="AD182" i="1"/>
  <c r="AD184" i="1" s="1"/>
  <c r="AD186" i="1" s="1"/>
  <c r="AD26" i="8" s="1"/>
  <c r="AD168" i="1"/>
  <c r="AD170" i="1" s="1"/>
  <c r="AD172" i="1" s="1"/>
  <c r="AD24" i="8" s="1"/>
  <c r="AD175" i="1"/>
  <c r="AD177" i="1" s="1"/>
  <c r="AD179" i="1" s="1"/>
  <c r="AD25" i="8" s="1"/>
  <c r="AE147" i="1"/>
  <c r="AE149" i="1" s="1"/>
  <c r="AE151" i="1" s="1"/>
  <c r="AE21" i="8" s="1"/>
  <c r="H140" i="1"/>
  <c r="H142" i="1" s="1"/>
  <c r="H144" i="1" s="1"/>
  <c r="H20" i="8" s="1"/>
  <c r="F133" i="1"/>
  <c r="F135" i="1" s="1"/>
  <c r="F137" i="1" s="1"/>
  <c r="F19" i="8" s="1"/>
  <c r="F33" i="8" s="1"/>
  <c r="D42" i="10"/>
  <c r="D43" i="10" s="1"/>
  <c r="D45" i="10" s="1"/>
  <c r="AC88" i="11"/>
  <c r="AC91" i="11" s="1"/>
  <c r="AC72" i="11"/>
  <c r="AC75" i="11" s="1"/>
  <c r="E100" i="8"/>
  <c r="E102" i="8" s="1"/>
  <c r="E38" i="8" s="1"/>
  <c r="AJ24" i="10"/>
  <c r="AJ112" i="8"/>
  <c r="G146" i="8"/>
  <c r="G148" i="8" s="1"/>
  <c r="F61" i="8"/>
  <c r="F54" i="8"/>
  <c r="G123" i="8"/>
  <c r="G125" i="8" s="1"/>
  <c r="F111" i="8"/>
  <c r="F113" i="8" s="1"/>
  <c r="E44" i="8"/>
  <c r="H85" i="11"/>
  <c r="H105" i="11" s="1"/>
  <c r="H106" i="11" s="1"/>
  <c r="I84" i="11"/>
  <c r="I104" i="11" s="1"/>
  <c r="H95" i="1" s="1"/>
  <c r="J80" i="11"/>
  <c r="J83" i="11" s="1"/>
  <c r="N156" i="21" s="1"/>
  <c r="M161" i="21" s="1"/>
  <c r="H93" i="1"/>
  <c r="I91" i="1"/>
  <c r="H126" i="1"/>
  <c r="H75" i="9"/>
  <c r="I7" i="9"/>
  <c r="K22" i="11"/>
  <c r="I7" i="10"/>
  <c r="I16" i="8"/>
  <c r="I84" i="8" s="1"/>
  <c r="K155" i="21" l="1"/>
  <c r="K158" i="21" s="1"/>
  <c r="V147" i="21"/>
  <c r="V148" i="21" s="1"/>
  <c r="W135" i="21"/>
  <c r="W138" i="21" s="1"/>
  <c r="AF144" i="21"/>
  <c r="AC76" i="11"/>
  <c r="AC77" i="11" s="1"/>
  <c r="AG136" i="21"/>
  <c r="AC92" i="11"/>
  <c r="AC93" i="11" s="1"/>
  <c r="AG176" i="21"/>
  <c r="AF181" i="21" s="1"/>
  <c r="AF184" i="21"/>
  <c r="AE181" i="21"/>
  <c r="W175" i="21"/>
  <c r="V187" i="21"/>
  <c r="V188" i="21" s="1"/>
  <c r="V182" i="21"/>
  <c r="V183" i="21" s="1"/>
  <c r="V185" i="21" s="1"/>
  <c r="W177" i="21" s="1"/>
  <c r="N164" i="21"/>
  <c r="D36" i="8"/>
  <c r="E90" i="8"/>
  <c r="F130" i="8"/>
  <c r="F120" i="8"/>
  <c r="F53" i="8" s="1"/>
  <c r="F55" i="8" s="1"/>
  <c r="H118" i="8"/>
  <c r="I118" i="8" s="1"/>
  <c r="R23" i="21"/>
  <c r="R24" i="21" s="1"/>
  <c r="R18" i="21"/>
  <c r="R19" i="21" s="1"/>
  <c r="R21" i="21" s="1"/>
  <c r="S13" i="21" s="1"/>
  <c r="S11" i="21"/>
  <c r="Q34" i="21"/>
  <c r="AF189" i="1"/>
  <c r="AF191" i="1" s="1"/>
  <c r="AF193" i="1" s="1"/>
  <c r="AF27" i="8" s="1"/>
  <c r="AE168" i="1"/>
  <c r="AE170" i="1" s="1"/>
  <c r="AE172" i="1" s="1"/>
  <c r="AE24" i="8" s="1"/>
  <c r="AE175" i="1"/>
  <c r="AE177" i="1" s="1"/>
  <c r="AE179" i="1" s="1"/>
  <c r="AE25" i="8" s="1"/>
  <c r="AE182" i="1"/>
  <c r="AE184" i="1" s="1"/>
  <c r="AE186" i="1" s="1"/>
  <c r="AE26" i="8" s="1"/>
  <c r="AE161" i="1"/>
  <c r="AE163" i="1" s="1"/>
  <c r="AE165" i="1" s="1"/>
  <c r="AE23" i="8" s="1"/>
  <c r="AE154" i="1"/>
  <c r="AE156" i="1" s="1"/>
  <c r="AE158" i="1" s="1"/>
  <c r="AE22" i="8" s="1"/>
  <c r="AE196" i="1"/>
  <c r="AE198" i="1" s="1"/>
  <c r="AE200" i="1" s="1"/>
  <c r="AE28" i="8" s="1"/>
  <c r="AF147" i="1"/>
  <c r="AF149" i="1" s="1"/>
  <c r="AF151" i="1" s="1"/>
  <c r="AF21" i="8" s="1"/>
  <c r="I140" i="1"/>
  <c r="I142" i="1" s="1"/>
  <c r="I144" i="1" s="1"/>
  <c r="I20" i="8" s="1"/>
  <c r="G133" i="1"/>
  <c r="G135" i="1" s="1"/>
  <c r="G137" i="1" s="1"/>
  <c r="G19" i="8" s="1"/>
  <c r="G33" i="8" s="1"/>
  <c r="AD88" i="11"/>
  <c r="AD91" i="11" s="1"/>
  <c r="AD72" i="11"/>
  <c r="AD75" i="11" s="1"/>
  <c r="L40" i="11"/>
  <c r="L43" i="11" s="1"/>
  <c r="K40" i="11"/>
  <c r="K43" i="11" s="1"/>
  <c r="X40" i="11"/>
  <c r="X43" i="11" s="1"/>
  <c r="F100" i="8"/>
  <c r="F102" i="8" s="1"/>
  <c r="F38" i="8" s="1"/>
  <c r="G61" i="8"/>
  <c r="H146" i="8"/>
  <c r="H148" i="8" s="1"/>
  <c r="H123" i="8"/>
  <c r="H125" i="8" s="1"/>
  <c r="G54" i="8"/>
  <c r="G55" i="8" s="1"/>
  <c r="G111" i="8"/>
  <c r="G113" i="8" s="1"/>
  <c r="F44" i="8"/>
  <c r="I85" i="11"/>
  <c r="I105" i="11" s="1"/>
  <c r="I106" i="11" s="1"/>
  <c r="J84" i="11"/>
  <c r="J104" i="11" s="1"/>
  <c r="I95" i="1" s="1"/>
  <c r="K80" i="11"/>
  <c r="K83" i="11" s="1"/>
  <c r="O156" i="21" s="1"/>
  <c r="I126" i="1"/>
  <c r="I93" i="1"/>
  <c r="J91" i="1"/>
  <c r="L22" i="11"/>
  <c r="J7" i="10"/>
  <c r="J16" i="8"/>
  <c r="J84" i="8" s="1"/>
  <c r="J7" i="9"/>
  <c r="I75" i="9"/>
  <c r="W142" i="21" l="1"/>
  <c r="W143" i="21" s="1"/>
  <c r="W145" i="21" s="1"/>
  <c r="X137" i="21" s="1"/>
  <c r="W147" i="21"/>
  <c r="W148" i="21" s="1"/>
  <c r="X135" i="21"/>
  <c r="AG144" i="21"/>
  <c r="AD76" i="11"/>
  <c r="AD77" i="11" s="1"/>
  <c r="AH136" i="21"/>
  <c r="AF141" i="21"/>
  <c r="W178" i="21"/>
  <c r="W182" i="21" s="1"/>
  <c r="W183" i="21" s="1"/>
  <c r="W185" i="21" s="1"/>
  <c r="X177" i="21" s="1"/>
  <c r="AD92" i="11"/>
  <c r="AD93" i="11" s="1"/>
  <c r="AH176" i="21"/>
  <c r="AG181" i="21" s="1"/>
  <c r="AG184" i="21"/>
  <c r="L155" i="21"/>
  <c r="K167" i="21"/>
  <c r="K168" i="21" s="1"/>
  <c r="K162" i="21"/>
  <c r="K163" i="21" s="1"/>
  <c r="K165" i="21" s="1"/>
  <c r="L157" i="21" s="1"/>
  <c r="O164" i="21"/>
  <c r="N161" i="21"/>
  <c r="H120" i="8"/>
  <c r="H53" i="8" s="1"/>
  <c r="K64" i="11"/>
  <c r="X64" i="11"/>
  <c r="L64" i="11"/>
  <c r="R31" i="21"/>
  <c r="Q38" i="21"/>
  <c r="Q39" i="21" s="1"/>
  <c r="Q41" i="21" s="1"/>
  <c r="R33" i="21" s="1"/>
  <c r="R43" i="21" s="1"/>
  <c r="R44" i="21" s="1"/>
  <c r="S14" i="21"/>
  <c r="AF154" i="1"/>
  <c r="AF156" i="1" s="1"/>
  <c r="AF158" i="1" s="1"/>
  <c r="AF22" i="8" s="1"/>
  <c r="AF182" i="1"/>
  <c r="AF184" i="1" s="1"/>
  <c r="AF186" i="1" s="1"/>
  <c r="AF26" i="8" s="1"/>
  <c r="AF168" i="1"/>
  <c r="AF170" i="1" s="1"/>
  <c r="AF172" i="1" s="1"/>
  <c r="AF24" i="8" s="1"/>
  <c r="AF196" i="1"/>
  <c r="AF198" i="1" s="1"/>
  <c r="AF200" i="1" s="1"/>
  <c r="AF28" i="8" s="1"/>
  <c r="AF161" i="1"/>
  <c r="AF163" i="1" s="1"/>
  <c r="AF165" i="1" s="1"/>
  <c r="AF23" i="8" s="1"/>
  <c r="H133" i="1"/>
  <c r="H135" i="1" s="1"/>
  <c r="H137" i="1" s="1"/>
  <c r="H19" i="8" s="1"/>
  <c r="H33" i="8" s="1"/>
  <c r="AF175" i="1"/>
  <c r="AF177" i="1" s="1"/>
  <c r="AF179" i="1" s="1"/>
  <c r="AF25" i="8" s="1"/>
  <c r="AG189" i="1"/>
  <c r="AG191" i="1" s="1"/>
  <c r="AG193" i="1" s="1"/>
  <c r="AG27" i="8" s="1"/>
  <c r="AG147" i="1"/>
  <c r="AG149" i="1" s="1"/>
  <c r="AG151" i="1" s="1"/>
  <c r="AG21" i="8" s="1"/>
  <c r="J140" i="1"/>
  <c r="J142" i="1" s="1"/>
  <c r="J144" i="1" s="1"/>
  <c r="J20" i="8" s="1"/>
  <c r="AE88" i="11"/>
  <c r="AE91" i="11" s="1"/>
  <c r="AE72" i="11"/>
  <c r="AE75" i="11" s="1"/>
  <c r="W40" i="11"/>
  <c r="W43" i="11" s="1"/>
  <c r="G100" i="8"/>
  <c r="G102" i="8" s="1"/>
  <c r="H100" i="8" s="1"/>
  <c r="H102" i="8" s="1"/>
  <c r="H61" i="8"/>
  <c r="I146" i="8"/>
  <c r="I148" i="8" s="1"/>
  <c r="I123" i="8"/>
  <c r="I125" i="8" s="1"/>
  <c r="H54" i="8"/>
  <c r="H55" i="8" s="1"/>
  <c r="J118" i="8"/>
  <c r="I120" i="8"/>
  <c r="I53" i="8" s="1"/>
  <c r="G44" i="8"/>
  <c r="H111" i="8"/>
  <c r="H113" i="8" s="1"/>
  <c r="J85" i="11"/>
  <c r="J105" i="11" s="1"/>
  <c r="J106" i="11" s="1"/>
  <c r="K84" i="11"/>
  <c r="K104" i="11" s="1"/>
  <c r="J95" i="1" s="1"/>
  <c r="L80" i="11"/>
  <c r="L83" i="11" s="1"/>
  <c r="P156" i="21" s="1"/>
  <c r="J93" i="1"/>
  <c r="J126" i="1"/>
  <c r="K91" i="1"/>
  <c r="M22" i="11"/>
  <c r="K7" i="10"/>
  <c r="K16" i="8"/>
  <c r="K84" i="8" s="1"/>
  <c r="J75" i="9"/>
  <c r="K7" i="9"/>
  <c r="W187" i="21" l="1"/>
  <c r="W188" i="21" s="1"/>
  <c r="X138" i="21"/>
  <c r="X142" i="21" s="1"/>
  <c r="X143" i="21" s="1"/>
  <c r="X145" i="21" s="1"/>
  <c r="Y137" i="21" s="1"/>
  <c r="AH144" i="21"/>
  <c r="AE76" i="11"/>
  <c r="AE77" i="11" s="1"/>
  <c r="AI136" i="21"/>
  <c r="AG141" i="21"/>
  <c r="X175" i="21"/>
  <c r="X178" i="21" s="1"/>
  <c r="AE92" i="11"/>
  <c r="AE93" i="11" s="1"/>
  <c r="AI176" i="21"/>
  <c r="AH184" i="21"/>
  <c r="P164" i="21"/>
  <c r="O161" i="21"/>
  <c r="L158" i="21"/>
  <c r="W64" i="11"/>
  <c r="T11" i="21"/>
  <c r="S23" i="21"/>
  <c r="S24" i="21" s="1"/>
  <c r="S18" i="21"/>
  <c r="S19" i="21" s="1"/>
  <c r="S21" i="21" s="1"/>
  <c r="T13" i="21" s="1"/>
  <c r="R34" i="21"/>
  <c r="AH189" i="1"/>
  <c r="AH191" i="1" s="1"/>
  <c r="AH193" i="1" s="1"/>
  <c r="AH27" i="8" s="1"/>
  <c r="AG196" i="1"/>
  <c r="AG198" i="1" s="1"/>
  <c r="AG200" i="1" s="1"/>
  <c r="AG28" i="8" s="1"/>
  <c r="AG161" i="1"/>
  <c r="AG163" i="1" s="1"/>
  <c r="AG165" i="1" s="1"/>
  <c r="AG23" i="8" s="1"/>
  <c r="AG182" i="1"/>
  <c r="AG184" i="1" s="1"/>
  <c r="AG186" i="1" s="1"/>
  <c r="AG26" i="8" s="1"/>
  <c r="AG175" i="1"/>
  <c r="AG177" i="1" s="1"/>
  <c r="AG179" i="1" s="1"/>
  <c r="AG25" i="8" s="1"/>
  <c r="AG168" i="1"/>
  <c r="AG170" i="1" s="1"/>
  <c r="AG172" i="1" s="1"/>
  <c r="AG24" i="8" s="1"/>
  <c r="AG154" i="1"/>
  <c r="AG156" i="1" s="1"/>
  <c r="AG158" i="1" s="1"/>
  <c r="AG22" i="8" s="1"/>
  <c r="AH147" i="1"/>
  <c r="AH149" i="1" s="1"/>
  <c r="AH151" i="1" s="1"/>
  <c r="AH21" i="8" s="1"/>
  <c r="K140" i="1"/>
  <c r="K142" i="1" s="1"/>
  <c r="K144" i="1" s="1"/>
  <c r="K20" i="8" s="1"/>
  <c r="G38" i="8"/>
  <c r="AF88" i="11"/>
  <c r="AF91" i="11" s="1"/>
  <c r="AF72" i="11"/>
  <c r="AF75" i="11" s="1"/>
  <c r="AC40" i="11"/>
  <c r="AC43" i="11" s="1"/>
  <c r="I133" i="1"/>
  <c r="I135" i="1" s="1"/>
  <c r="I137" i="1" s="1"/>
  <c r="I19" i="8" s="1"/>
  <c r="I33" i="8" s="1"/>
  <c r="J146" i="8"/>
  <c r="J148" i="8" s="1"/>
  <c r="I61" i="8"/>
  <c r="J123" i="8"/>
  <c r="J125" i="8" s="1"/>
  <c r="I54" i="8"/>
  <c r="I55" i="8" s="1"/>
  <c r="H38" i="8"/>
  <c r="I100" i="8"/>
  <c r="I102" i="8" s="1"/>
  <c r="J120" i="8"/>
  <c r="J53" i="8" s="1"/>
  <c r="K118" i="8"/>
  <c r="H44" i="8"/>
  <c r="I111" i="8"/>
  <c r="I113" i="8" s="1"/>
  <c r="K85" i="11"/>
  <c r="K105" i="11" s="1"/>
  <c r="K106" i="11" s="1"/>
  <c r="L84" i="11"/>
  <c r="L104" i="11" s="1"/>
  <c r="K95" i="1" s="1"/>
  <c r="M80" i="11"/>
  <c r="M83" i="11" s="1"/>
  <c r="Q156" i="21" s="1"/>
  <c r="P161" i="21" s="1"/>
  <c r="K93" i="1"/>
  <c r="L91" i="1"/>
  <c r="K126" i="1"/>
  <c r="K75" i="9"/>
  <c r="L7" i="9"/>
  <c r="N22" i="11"/>
  <c r="L7" i="10"/>
  <c r="L16" i="8"/>
  <c r="L84" i="8" s="1"/>
  <c r="Y135" i="21" l="1"/>
  <c r="Y138" i="21" s="1"/>
  <c r="Y147" i="21" s="1"/>
  <c r="X147" i="21"/>
  <c r="X148" i="21" s="1"/>
  <c r="AI144" i="21"/>
  <c r="AH141" i="21"/>
  <c r="AF76" i="11"/>
  <c r="AF77" i="11" s="1"/>
  <c r="AJ136" i="21"/>
  <c r="AI141" i="21" s="1"/>
  <c r="X187" i="21"/>
  <c r="X188" i="21" s="1"/>
  <c r="X182" i="21"/>
  <c r="X183" i="21" s="1"/>
  <c r="X185" i="21" s="1"/>
  <c r="Y177" i="21" s="1"/>
  <c r="Y175" i="21"/>
  <c r="AI184" i="21"/>
  <c r="AF92" i="11"/>
  <c r="AF93" i="11" s="1"/>
  <c r="AJ176" i="21"/>
  <c r="AH181" i="21"/>
  <c r="L167" i="21"/>
  <c r="L168" i="21" s="1"/>
  <c r="L162" i="21"/>
  <c r="L163" i="21" s="1"/>
  <c r="L165" i="21" s="1"/>
  <c r="M157" i="21" s="1"/>
  <c r="M155" i="21"/>
  <c r="Q164" i="21"/>
  <c r="R38" i="21"/>
  <c r="R39" i="21" s="1"/>
  <c r="R41" i="21" s="1"/>
  <c r="S33" i="21" s="1"/>
  <c r="S43" i="21" s="1"/>
  <c r="S44" i="21" s="1"/>
  <c r="S31" i="21"/>
  <c r="T14" i="21"/>
  <c r="AH168" i="1"/>
  <c r="AH170" i="1" s="1"/>
  <c r="AH172" i="1" s="1"/>
  <c r="AH24" i="8" s="1"/>
  <c r="AH182" i="1"/>
  <c r="AH184" i="1" s="1"/>
  <c r="AH186" i="1" s="1"/>
  <c r="AH26" i="8" s="1"/>
  <c r="AH196" i="1"/>
  <c r="AH198" i="1" s="1"/>
  <c r="AH200" i="1" s="1"/>
  <c r="AH28" i="8" s="1"/>
  <c r="AH161" i="1"/>
  <c r="AH163" i="1" s="1"/>
  <c r="AH165" i="1" s="1"/>
  <c r="AH23" i="8" s="1"/>
  <c r="AH154" i="1"/>
  <c r="AH156" i="1" s="1"/>
  <c r="AH158" i="1" s="1"/>
  <c r="AH22" i="8" s="1"/>
  <c r="AH175" i="1"/>
  <c r="AH177" i="1" s="1"/>
  <c r="AH179" i="1" s="1"/>
  <c r="AH25" i="8" s="1"/>
  <c r="AI189" i="1"/>
  <c r="AI191" i="1" s="1"/>
  <c r="AI193" i="1" s="1"/>
  <c r="AI27" i="8" s="1"/>
  <c r="AI147" i="1"/>
  <c r="AI149" i="1" s="1"/>
  <c r="AI151" i="1" s="1"/>
  <c r="AI21" i="8" s="1"/>
  <c r="L140" i="1"/>
  <c r="L142" i="1" s="1"/>
  <c r="L144" i="1" s="1"/>
  <c r="L20" i="8" s="1"/>
  <c r="AG88" i="11"/>
  <c r="AG91" i="11" s="1"/>
  <c r="AG72" i="11"/>
  <c r="AG75" i="11" s="1"/>
  <c r="AD40" i="11"/>
  <c r="AD43" i="11" s="1"/>
  <c r="K146" i="8"/>
  <c r="K148" i="8" s="1"/>
  <c r="J61" i="8"/>
  <c r="K123" i="8"/>
  <c r="K125" i="8" s="1"/>
  <c r="J54" i="8"/>
  <c r="J55" i="8" s="1"/>
  <c r="I38" i="8"/>
  <c r="J100" i="8"/>
  <c r="J102" i="8" s="1"/>
  <c r="K120" i="8"/>
  <c r="K53" i="8" s="1"/>
  <c r="L118" i="8"/>
  <c r="J111" i="8"/>
  <c r="J113" i="8" s="1"/>
  <c r="I44" i="8"/>
  <c r="L85" i="11"/>
  <c r="L105" i="11" s="1"/>
  <c r="L106" i="11" s="1"/>
  <c r="M84" i="11"/>
  <c r="M104" i="11" s="1"/>
  <c r="L95" i="1" s="1"/>
  <c r="N80" i="11"/>
  <c r="N83" i="11" s="1"/>
  <c r="R156" i="21" s="1"/>
  <c r="M91" i="1"/>
  <c r="L93" i="1"/>
  <c r="L126" i="1"/>
  <c r="O22" i="11"/>
  <c r="M7" i="10"/>
  <c r="M16" i="8"/>
  <c r="M84" i="8" s="1"/>
  <c r="M7" i="9"/>
  <c r="L75" i="9"/>
  <c r="Z135" i="21" l="1"/>
  <c r="Y142" i="21"/>
  <c r="Y143" i="21" s="1"/>
  <c r="Y145" i="21" s="1"/>
  <c r="Z137" i="21" s="1"/>
  <c r="Z138" i="21" s="1"/>
  <c r="Z147" i="21" s="1"/>
  <c r="Z148" i="21" s="1"/>
  <c r="Y148" i="21"/>
  <c r="AG76" i="11"/>
  <c r="AG77" i="11" s="1"/>
  <c r="AK136" i="21"/>
  <c r="AJ141" i="21" s="1"/>
  <c r="AJ144" i="21"/>
  <c r="Y178" i="21"/>
  <c r="Y182" i="21" s="1"/>
  <c r="Y183" i="21" s="1"/>
  <c r="Y185" i="21" s="1"/>
  <c r="Z177" i="21" s="1"/>
  <c r="AJ184" i="21"/>
  <c r="AG92" i="11"/>
  <c r="AG93" i="11" s="1"/>
  <c r="AK176" i="21"/>
  <c r="AJ181" i="21" s="1"/>
  <c r="Y187" i="21"/>
  <c r="Y188" i="21" s="1"/>
  <c r="AI181" i="21"/>
  <c r="M158" i="21"/>
  <c r="M162" i="21" s="1"/>
  <c r="M163" i="21" s="1"/>
  <c r="M165" i="21" s="1"/>
  <c r="N157" i="21" s="1"/>
  <c r="R164" i="21"/>
  <c r="Q161" i="21"/>
  <c r="U11" i="21"/>
  <c r="T18" i="21"/>
  <c r="T19" i="21" s="1"/>
  <c r="T21" i="21" s="1"/>
  <c r="U13" i="21" s="1"/>
  <c r="T23" i="21"/>
  <c r="T24" i="21" s="1"/>
  <c r="S34" i="21"/>
  <c r="AI161" i="1"/>
  <c r="AI163" i="1" s="1"/>
  <c r="AI165" i="1" s="1"/>
  <c r="AI23" i="8" s="1"/>
  <c r="AI175" i="1"/>
  <c r="AI177" i="1" s="1"/>
  <c r="AI179" i="1" s="1"/>
  <c r="AI25" i="8" s="1"/>
  <c r="AI182" i="1"/>
  <c r="AI184" i="1" s="1"/>
  <c r="AI186" i="1" s="1"/>
  <c r="AI26" i="8" s="1"/>
  <c r="AJ189" i="1"/>
  <c r="AJ191" i="1" s="1"/>
  <c r="AJ193" i="1" s="1"/>
  <c r="AJ27" i="8" s="1"/>
  <c r="AI154" i="1"/>
  <c r="AI156" i="1" s="1"/>
  <c r="AI158" i="1" s="1"/>
  <c r="AI22" i="8" s="1"/>
  <c r="AI196" i="1"/>
  <c r="AI198" i="1" s="1"/>
  <c r="AI200" i="1" s="1"/>
  <c r="AI28" i="8" s="1"/>
  <c r="AI168" i="1"/>
  <c r="AI170" i="1" s="1"/>
  <c r="AI172" i="1" s="1"/>
  <c r="AI24" i="8" s="1"/>
  <c r="AJ147" i="1"/>
  <c r="AJ149" i="1" s="1"/>
  <c r="AJ151" i="1" s="1"/>
  <c r="AJ21" i="8" s="1"/>
  <c r="M140" i="1"/>
  <c r="M142" i="1" s="1"/>
  <c r="M144" i="1" s="1"/>
  <c r="M20" i="8" s="1"/>
  <c r="AH88" i="11"/>
  <c r="AH91" i="11" s="1"/>
  <c r="AH72" i="11"/>
  <c r="AH75" i="11" s="1"/>
  <c r="AE40" i="11"/>
  <c r="AE43" i="11" s="1"/>
  <c r="J133" i="1"/>
  <c r="J135" i="1" s="1"/>
  <c r="J137" i="1" s="1"/>
  <c r="J19" i="8" s="1"/>
  <c r="J33" i="8" s="1"/>
  <c r="K61" i="8"/>
  <c r="L146" i="8"/>
  <c r="L148" i="8" s="1"/>
  <c r="K54" i="8"/>
  <c r="K55" i="8" s="1"/>
  <c r="L123" i="8"/>
  <c r="L125" i="8" s="1"/>
  <c r="M118" i="8"/>
  <c r="L120" i="8"/>
  <c r="L53" i="8" s="1"/>
  <c r="K111" i="8"/>
  <c r="K113" i="8" s="1"/>
  <c r="J44" i="8"/>
  <c r="K100" i="8"/>
  <c r="K102" i="8" s="1"/>
  <c r="J38" i="8"/>
  <c r="M85" i="11"/>
  <c r="M105" i="11" s="1"/>
  <c r="M106" i="11" s="1"/>
  <c r="N84" i="11"/>
  <c r="N104" i="11" s="1"/>
  <c r="M95" i="1" s="1"/>
  <c r="O80" i="11"/>
  <c r="O83" i="11" s="1"/>
  <c r="S156" i="21" s="1"/>
  <c r="R161" i="21" s="1"/>
  <c r="M126" i="1"/>
  <c r="M93" i="1"/>
  <c r="N91" i="1"/>
  <c r="N7" i="9"/>
  <c r="M75" i="9"/>
  <c r="P22" i="11"/>
  <c r="N7" i="10"/>
  <c r="N16" i="8"/>
  <c r="N84" i="8" s="1"/>
  <c r="Z142" i="21" l="1"/>
  <c r="Z143" i="21" s="1"/>
  <c r="Z145" i="21" s="1"/>
  <c r="AA137" i="21" s="1"/>
  <c r="AA135" i="21"/>
  <c r="M167" i="21"/>
  <c r="M168" i="21" s="1"/>
  <c r="AK144" i="21"/>
  <c r="AH76" i="11"/>
  <c r="AH77" i="11" s="1"/>
  <c r="AL136" i="21"/>
  <c r="AK141" i="21" s="1"/>
  <c r="Z175" i="21"/>
  <c r="Z178" i="21" s="1"/>
  <c r="Z187" i="21" s="1"/>
  <c r="Z188" i="21" s="1"/>
  <c r="AH92" i="11"/>
  <c r="AH93" i="11" s="1"/>
  <c r="AL176" i="21"/>
  <c r="AK181" i="21" s="1"/>
  <c r="AK184" i="21"/>
  <c r="N155" i="21"/>
  <c r="N158" i="21" s="1"/>
  <c r="S164" i="21"/>
  <c r="T31" i="21"/>
  <c r="S38" i="21"/>
  <c r="S39" i="21" s="1"/>
  <c r="S41" i="21" s="1"/>
  <c r="T33" i="21" s="1"/>
  <c r="T43" i="21" s="1"/>
  <c r="T44" i="21" s="1"/>
  <c r="U14" i="21"/>
  <c r="AJ196" i="1"/>
  <c r="AJ198" i="1" s="1"/>
  <c r="AJ200" i="1" s="1"/>
  <c r="AJ28" i="8" s="1"/>
  <c r="AK189" i="1"/>
  <c r="AK191" i="1" s="1"/>
  <c r="AK193" i="1" s="1"/>
  <c r="AK27" i="8" s="1"/>
  <c r="AJ175" i="1"/>
  <c r="AJ177" i="1" s="1"/>
  <c r="AJ179" i="1" s="1"/>
  <c r="AJ25" i="8" s="1"/>
  <c r="AJ161" i="1"/>
  <c r="AJ163" i="1" s="1"/>
  <c r="AJ165" i="1" s="1"/>
  <c r="AJ23" i="8" s="1"/>
  <c r="AJ168" i="1"/>
  <c r="AJ170" i="1" s="1"/>
  <c r="AJ172" i="1" s="1"/>
  <c r="AJ24" i="8" s="1"/>
  <c r="AJ154" i="1"/>
  <c r="AJ156" i="1" s="1"/>
  <c r="AJ158" i="1" s="1"/>
  <c r="AJ22" i="8" s="1"/>
  <c r="AJ182" i="1"/>
  <c r="AJ184" i="1" s="1"/>
  <c r="AJ186" i="1" s="1"/>
  <c r="AJ26" i="8" s="1"/>
  <c r="AK147" i="1"/>
  <c r="AK149" i="1" s="1"/>
  <c r="AK151" i="1" s="1"/>
  <c r="AK21" i="8" s="1"/>
  <c r="N140" i="1"/>
  <c r="N142" i="1" s="1"/>
  <c r="N144" i="1" s="1"/>
  <c r="N20" i="8" s="1"/>
  <c r="AI88" i="11"/>
  <c r="AI91" i="11" s="1"/>
  <c r="AI72" i="11"/>
  <c r="AI75" i="11" s="1"/>
  <c r="AF40" i="11"/>
  <c r="AF43" i="11" s="1"/>
  <c r="M146" i="8"/>
  <c r="M148" i="8" s="1"/>
  <c r="L61" i="8"/>
  <c r="L54" i="8"/>
  <c r="L55" i="8" s="1"/>
  <c r="M123" i="8"/>
  <c r="M125" i="8" s="1"/>
  <c r="N118" i="8"/>
  <c r="M120" i="8"/>
  <c r="M53" i="8" s="1"/>
  <c r="L111" i="8"/>
  <c r="L113" i="8" s="1"/>
  <c r="K44" i="8"/>
  <c r="L100" i="8"/>
  <c r="L102" i="8" s="1"/>
  <c r="K38" i="8"/>
  <c r="N85" i="11"/>
  <c r="N105" i="11" s="1"/>
  <c r="N106" i="11" s="1"/>
  <c r="O84" i="11"/>
  <c r="O104" i="11" s="1"/>
  <c r="N95" i="1" s="1"/>
  <c r="P80" i="11"/>
  <c r="P83" i="11" s="1"/>
  <c r="T156" i="21" s="1"/>
  <c r="N93" i="1"/>
  <c r="N126" i="1"/>
  <c r="O91" i="1"/>
  <c r="N75" i="9"/>
  <c r="O7" i="9"/>
  <c r="Q22" i="11"/>
  <c r="O16" i="8"/>
  <c r="O7" i="10"/>
  <c r="AA138" i="21" l="1"/>
  <c r="AA147" i="21" s="1"/>
  <c r="AA148" i="21" s="1"/>
  <c r="N162" i="21"/>
  <c r="N163" i="21" s="1"/>
  <c r="N165" i="21" s="1"/>
  <c r="O157" i="21" s="1"/>
  <c r="O155" i="21"/>
  <c r="N167" i="21"/>
  <c r="N168" i="21" s="1"/>
  <c r="AL144" i="21"/>
  <c r="AI76" i="11"/>
  <c r="AI77" i="11" s="1"/>
  <c r="AM136" i="21"/>
  <c r="AA142" i="21"/>
  <c r="AA143" i="21" s="1"/>
  <c r="AA145" i="21" s="1"/>
  <c r="AB137" i="21" s="1"/>
  <c r="AA175" i="21"/>
  <c r="Z182" i="21"/>
  <c r="Z183" i="21" s="1"/>
  <c r="Z185" i="21" s="1"/>
  <c r="AA177" i="21" s="1"/>
  <c r="AI92" i="11"/>
  <c r="AI93" i="11" s="1"/>
  <c r="AM176" i="21"/>
  <c r="AM184" i="21" s="1"/>
  <c r="AL184" i="21"/>
  <c r="T164" i="21"/>
  <c r="S161" i="21"/>
  <c r="T34" i="21"/>
  <c r="T38" i="21" s="1"/>
  <c r="T39" i="21" s="1"/>
  <c r="T41" i="21" s="1"/>
  <c r="U33" i="21" s="1"/>
  <c r="V11" i="21"/>
  <c r="U18" i="21"/>
  <c r="U19" i="21" s="1"/>
  <c r="U21" i="21" s="1"/>
  <c r="V13" i="21" s="1"/>
  <c r="U23" i="21"/>
  <c r="U24" i="21" s="1"/>
  <c r="AK161" i="1"/>
  <c r="AK163" i="1" s="1"/>
  <c r="AK165" i="1" s="1"/>
  <c r="AK23" i="8" s="1"/>
  <c r="AL189" i="1"/>
  <c r="AL191" i="1" s="1"/>
  <c r="AL193" i="1" s="1"/>
  <c r="AL27" i="8" s="1"/>
  <c r="AK154" i="1"/>
  <c r="AK156" i="1" s="1"/>
  <c r="AK158" i="1" s="1"/>
  <c r="AK22" i="8" s="1"/>
  <c r="AK182" i="1"/>
  <c r="AK184" i="1" s="1"/>
  <c r="AK186" i="1" s="1"/>
  <c r="AK26" i="8" s="1"/>
  <c r="AK168" i="1"/>
  <c r="AK170" i="1" s="1"/>
  <c r="AK172" i="1" s="1"/>
  <c r="AK24" i="8" s="1"/>
  <c r="AK175" i="1"/>
  <c r="AK177" i="1" s="1"/>
  <c r="AK179" i="1" s="1"/>
  <c r="AK25" i="8" s="1"/>
  <c r="AK196" i="1"/>
  <c r="AK198" i="1" s="1"/>
  <c r="AK200" i="1" s="1"/>
  <c r="AK28" i="8" s="1"/>
  <c r="AL147" i="1"/>
  <c r="AL149" i="1" s="1"/>
  <c r="AL151" i="1" s="1"/>
  <c r="AL21" i="8" s="1"/>
  <c r="O140" i="1"/>
  <c r="O142" i="1" s="1"/>
  <c r="O144" i="1" s="1"/>
  <c r="O20" i="8" s="1"/>
  <c r="AJ88" i="11"/>
  <c r="AJ91" i="11" s="1"/>
  <c r="AJ72" i="11"/>
  <c r="AJ75" i="11" s="1"/>
  <c r="AG40" i="11"/>
  <c r="AG43" i="11" s="1"/>
  <c r="K133" i="1"/>
  <c r="K135" i="1" s="1"/>
  <c r="K137" i="1" s="1"/>
  <c r="K19" i="8" s="1"/>
  <c r="K33" i="8" s="1"/>
  <c r="M61" i="8"/>
  <c r="N146" i="8"/>
  <c r="N148" i="8" s="1"/>
  <c r="N123" i="8"/>
  <c r="N125" i="8" s="1"/>
  <c r="M54" i="8"/>
  <c r="M55" i="8" s="1"/>
  <c r="L44" i="8"/>
  <c r="M111" i="8"/>
  <c r="M113" i="8" s="1"/>
  <c r="M100" i="8"/>
  <c r="M102" i="8" s="1"/>
  <c r="L38" i="8"/>
  <c r="N120" i="8"/>
  <c r="N53" i="8" s="1"/>
  <c r="O118" i="8"/>
  <c r="O85" i="11"/>
  <c r="O105" i="11" s="1"/>
  <c r="O106" i="11" s="1"/>
  <c r="P84" i="11"/>
  <c r="P104" i="11" s="1"/>
  <c r="O95" i="1" s="1"/>
  <c r="Q80" i="11"/>
  <c r="Q83" i="11" s="1"/>
  <c r="U156" i="21" s="1"/>
  <c r="T161" i="21" s="1"/>
  <c r="O93" i="1"/>
  <c r="P91" i="1"/>
  <c r="O126" i="1"/>
  <c r="R22" i="11"/>
  <c r="P16" i="8"/>
  <c r="P84" i="8" s="1"/>
  <c r="P7" i="10"/>
  <c r="O75" i="9"/>
  <c r="P7" i="9"/>
  <c r="E53" i="2"/>
  <c r="O84" i="8"/>
  <c r="AB135" i="21" l="1"/>
  <c r="AA178" i="21"/>
  <c r="AB175" i="21" s="1"/>
  <c r="O158" i="21"/>
  <c r="P155" i="21" s="1"/>
  <c r="AM144" i="21"/>
  <c r="AB138" i="21"/>
  <c r="AL141" i="21"/>
  <c r="AJ76" i="11"/>
  <c r="AJ77" i="11" s="1"/>
  <c r="AN136" i="21"/>
  <c r="AL181" i="21"/>
  <c r="AA187" i="21"/>
  <c r="AA188" i="21" s="1"/>
  <c r="AJ92" i="11"/>
  <c r="AJ93" i="11" s="1"/>
  <c r="AN176" i="21"/>
  <c r="U164" i="21"/>
  <c r="O162" i="21"/>
  <c r="O163" i="21" s="1"/>
  <c r="O165" i="21" s="1"/>
  <c r="P157" i="21" s="1"/>
  <c r="U31" i="21"/>
  <c r="U34" i="21" s="1"/>
  <c r="U43" i="21"/>
  <c r="U44" i="21" s="1"/>
  <c r="V14" i="21"/>
  <c r="AL175" i="1"/>
  <c r="AL177" i="1" s="1"/>
  <c r="AL179" i="1" s="1"/>
  <c r="AL25" i="8" s="1"/>
  <c r="AL182" i="1"/>
  <c r="AL184" i="1" s="1"/>
  <c r="AL186" i="1" s="1"/>
  <c r="AL26" i="8" s="1"/>
  <c r="AM189" i="1"/>
  <c r="AM191" i="1" s="1"/>
  <c r="AM193" i="1" s="1"/>
  <c r="AM27" i="8" s="1"/>
  <c r="AL196" i="1"/>
  <c r="AL198" i="1" s="1"/>
  <c r="AL200" i="1" s="1"/>
  <c r="AL28" i="8" s="1"/>
  <c r="AL161" i="1"/>
  <c r="AL163" i="1" s="1"/>
  <c r="AL165" i="1" s="1"/>
  <c r="AL23" i="8" s="1"/>
  <c r="AL168" i="1"/>
  <c r="AL170" i="1" s="1"/>
  <c r="AL172" i="1" s="1"/>
  <c r="AL24" i="8" s="1"/>
  <c r="AL154" i="1"/>
  <c r="AL156" i="1" s="1"/>
  <c r="AL158" i="1" s="1"/>
  <c r="AL22" i="8" s="1"/>
  <c r="AM147" i="1"/>
  <c r="AM149" i="1" s="1"/>
  <c r="AM151" i="1" s="1"/>
  <c r="AM21" i="8" s="1"/>
  <c r="P140" i="1"/>
  <c r="P142" i="1" s="1"/>
  <c r="P144" i="1" s="1"/>
  <c r="P20" i="8" s="1"/>
  <c r="AK88" i="11"/>
  <c r="AK91" i="11" s="1"/>
  <c r="AK72" i="11"/>
  <c r="AK75" i="11" s="1"/>
  <c r="AI40" i="11"/>
  <c r="AI43" i="11" s="1"/>
  <c r="AJ40" i="11"/>
  <c r="AJ43" i="11" s="1"/>
  <c r="AH40" i="11"/>
  <c r="AH43" i="11" s="1"/>
  <c r="O146" i="8"/>
  <c r="O148" i="8" s="1"/>
  <c r="N61" i="8"/>
  <c r="N54" i="8"/>
  <c r="N55" i="8" s="1"/>
  <c r="O123" i="8"/>
  <c r="O125" i="8" s="1"/>
  <c r="P118" i="8"/>
  <c r="O120" i="8"/>
  <c r="O53" i="8" s="1"/>
  <c r="M38" i="8"/>
  <c r="N100" i="8"/>
  <c r="N102" i="8" s="1"/>
  <c r="M44" i="8"/>
  <c r="N111" i="8"/>
  <c r="N113" i="8" s="1"/>
  <c r="P85" i="11"/>
  <c r="P105" i="11" s="1"/>
  <c r="P106" i="11" s="1"/>
  <c r="R80" i="11"/>
  <c r="R83" i="11" s="1"/>
  <c r="V156" i="21" s="1"/>
  <c r="Q84" i="11"/>
  <c r="Q104" i="11" s="1"/>
  <c r="P95" i="1" s="1"/>
  <c r="P126" i="1"/>
  <c r="Q91" i="1"/>
  <c r="P93" i="1"/>
  <c r="E145" i="2"/>
  <c r="E155" i="2"/>
  <c r="S22" i="11"/>
  <c r="Q16" i="8"/>
  <c r="Q84" i="8" s="1"/>
  <c r="Q7" i="10"/>
  <c r="Q7" i="9"/>
  <c r="P75" i="9"/>
  <c r="AA182" i="21" l="1"/>
  <c r="AA183" i="21" s="1"/>
  <c r="AA185" i="21" s="1"/>
  <c r="AB177" i="21" s="1"/>
  <c r="AB178" i="21" s="1"/>
  <c r="AC175" i="21" s="1"/>
  <c r="O167" i="21"/>
  <c r="O168" i="21" s="1"/>
  <c r="AK76" i="11"/>
  <c r="AK77" i="11" s="1"/>
  <c r="AO136" i="21"/>
  <c r="AN141" i="21" s="1"/>
  <c r="AC135" i="21"/>
  <c r="AB142" i="21"/>
  <c r="AB143" i="21" s="1"/>
  <c r="AB145" i="21" s="1"/>
  <c r="AC137" i="21" s="1"/>
  <c r="AB147" i="21"/>
  <c r="AB148" i="21" s="1"/>
  <c r="AN144" i="21"/>
  <c r="AM141" i="21"/>
  <c r="AK92" i="11"/>
  <c r="AK93" i="11" s="1"/>
  <c r="AO176" i="21"/>
  <c r="AN181" i="21" s="1"/>
  <c r="AN184" i="21"/>
  <c r="AM181" i="21"/>
  <c r="V164" i="21"/>
  <c r="U161" i="21"/>
  <c r="P158" i="21"/>
  <c r="W11" i="21"/>
  <c r="V18" i="21"/>
  <c r="V19" i="21" s="1"/>
  <c r="V21" i="21" s="1"/>
  <c r="W13" i="21" s="1"/>
  <c r="V23" i="21"/>
  <c r="V24" i="21" s="1"/>
  <c r="V31" i="21"/>
  <c r="U38" i="21"/>
  <c r="U39" i="21" s="1"/>
  <c r="U41" i="21" s="1"/>
  <c r="V33" i="21" s="1"/>
  <c r="V43" i="21" s="1"/>
  <c r="V44" i="21" s="1"/>
  <c r="AM168" i="1"/>
  <c r="AM170" i="1" s="1"/>
  <c r="AM172" i="1" s="1"/>
  <c r="AM24" i="8" s="1"/>
  <c r="AM196" i="1"/>
  <c r="AM198" i="1" s="1"/>
  <c r="AM200" i="1" s="1"/>
  <c r="AM28" i="8" s="1"/>
  <c r="AM182" i="1"/>
  <c r="AM184" i="1" s="1"/>
  <c r="AM186" i="1" s="1"/>
  <c r="AM26" i="8" s="1"/>
  <c r="AM161" i="1"/>
  <c r="AM163" i="1" s="1"/>
  <c r="AM165" i="1" s="1"/>
  <c r="AM23" i="8" s="1"/>
  <c r="AM154" i="1"/>
  <c r="AM156" i="1" s="1"/>
  <c r="AM158" i="1" s="1"/>
  <c r="AM22" i="8" s="1"/>
  <c r="AM175" i="1"/>
  <c r="AM177" i="1" s="1"/>
  <c r="AM179" i="1" s="1"/>
  <c r="AM25" i="8" s="1"/>
  <c r="Q140" i="1"/>
  <c r="Q142" i="1" s="1"/>
  <c r="Q144" i="1" s="1"/>
  <c r="Q20" i="8" s="1"/>
  <c r="AL88" i="11"/>
  <c r="AL91" i="11" s="1"/>
  <c r="AL72" i="11"/>
  <c r="AL75" i="11" s="1"/>
  <c r="AK40" i="11"/>
  <c r="AK43" i="11" s="1"/>
  <c r="L133" i="1"/>
  <c r="L135" i="1" s="1"/>
  <c r="L137" i="1" s="1"/>
  <c r="L19" i="8" s="1"/>
  <c r="L33" i="8" s="1"/>
  <c r="E58" i="2"/>
  <c r="O61" i="8"/>
  <c r="E87" i="2" s="1"/>
  <c r="P146" i="8"/>
  <c r="P148" i="8" s="1"/>
  <c r="O54" i="8"/>
  <c r="E80" i="2" s="1"/>
  <c r="P123" i="8"/>
  <c r="P125" i="8" s="1"/>
  <c r="O111" i="8"/>
  <c r="O113" i="8" s="1"/>
  <c r="N44" i="8"/>
  <c r="E79" i="2"/>
  <c r="O100" i="8"/>
  <c r="O102" i="8" s="1"/>
  <c r="N38" i="8"/>
  <c r="P120" i="8"/>
  <c r="P53" i="8" s="1"/>
  <c r="Q118" i="8"/>
  <c r="Q85" i="11"/>
  <c r="Q105" i="11" s="1"/>
  <c r="Q106" i="11" s="1"/>
  <c r="R84" i="11"/>
  <c r="R104" i="11" s="1"/>
  <c r="Q95" i="1" s="1"/>
  <c r="S80" i="11"/>
  <c r="S83" i="11" s="1"/>
  <c r="W156" i="21" s="1"/>
  <c r="Q93" i="1"/>
  <c r="Q126" i="1"/>
  <c r="R91" i="1"/>
  <c r="R7" i="9"/>
  <c r="Q75" i="9"/>
  <c r="T22" i="11"/>
  <c r="R16" i="8"/>
  <c r="R84" i="8" s="1"/>
  <c r="R7" i="10"/>
  <c r="AC138" i="21" l="1"/>
  <c r="AC147" i="21" s="1"/>
  <c r="AC148" i="21" s="1"/>
  <c r="AL76" i="11"/>
  <c r="AL77" i="11" s="1"/>
  <c r="AP136" i="21"/>
  <c r="AO141" i="21" s="1"/>
  <c r="AO144" i="21"/>
  <c r="AC142" i="21"/>
  <c r="AC143" i="21" s="1"/>
  <c r="AC145" i="21" s="1"/>
  <c r="AD137" i="21" s="1"/>
  <c r="AB182" i="21"/>
  <c r="AB183" i="21" s="1"/>
  <c r="AB185" i="21" s="1"/>
  <c r="AC177" i="21" s="1"/>
  <c r="AC178" i="21" s="1"/>
  <c r="AC187" i="21" s="1"/>
  <c r="AB187" i="21"/>
  <c r="AB188" i="21" s="1"/>
  <c r="AL92" i="11"/>
  <c r="AL93" i="11" s="1"/>
  <c r="AP176" i="21"/>
  <c r="AO181" i="21" s="1"/>
  <c r="AO184" i="21"/>
  <c r="W164" i="21"/>
  <c r="P162" i="21"/>
  <c r="P163" i="21" s="1"/>
  <c r="P165" i="21" s="1"/>
  <c r="Q157" i="21" s="1"/>
  <c r="P167" i="21"/>
  <c r="P168" i="21" s="1"/>
  <c r="Q155" i="21"/>
  <c r="V161" i="21"/>
  <c r="V34" i="21"/>
  <c r="W31" i="21" s="1"/>
  <c r="W14" i="21"/>
  <c r="R140" i="1"/>
  <c r="R142" i="1" s="1"/>
  <c r="R144" i="1" s="1"/>
  <c r="R20" i="8" s="1"/>
  <c r="AM88" i="11"/>
  <c r="AM91" i="11" s="1"/>
  <c r="AM72" i="11"/>
  <c r="AM75" i="11" s="1"/>
  <c r="AN38" i="11"/>
  <c r="AM38" i="11"/>
  <c r="AM40" i="11" s="1"/>
  <c r="AM43" i="11" s="1"/>
  <c r="AL40" i="11"/>
  <c r="AL43" i="11" s="1"/>
  <c r="Q146" i="8"/>
  <c r="Q148" i="8" s="1"/>
  <c r="P61" i="8"/>
  <c r="O55" i="8"/>
  <c r="E81" i="2" s="1"/>
  <c r="P54" i="8"/>
  <c r="P55" i="8" s="1"/>
  <c r="Q123" i="8"/>
  <c r="Q125" i="8" s="1"/>
  <c r="O38" i="8"/>
  <c r="E64" i="2" s="1"/>
  <c r="P100" i="8"/>
  <c r="P102" i="8" s="1"/>
  <c r="R118" i="8"/>
  <c r="Q120" i="8"/>
  <c r="Q53" i="8" s="1"/>
  <c r="O44" i="8"/>
  <c r="E70" i="2" s="1"/>
  <c r="P111" i="8"/>
  <c r="P113" i="8" s="1"/>
  <c r="R85" i="11"/>
  <c r="R105" i="11" s="1"/>
  <c r="R106" i="11" s="1"/>
  <c r="S84" i="11"/>
  <c r="S104" i="11" s="1"/>
  <c r="R95" i="1" s="1"/>
  <c r="T80" i="11"/>
  <c r="T83" i="11" s="1"/>
  <c r="X156" i="21" s="1"/>
  <c r="W161" i="21" s="1"/>
  <c r="S91" i="1"/>
  <c r="R126" i="1"/>
  <c r="R93" i="1"/>
  <c r="U22" i="11"/>
  <c r="S16" i="8"/>
  <c r="S84" i="8" s="1"/>
  <c r="S7" i="10"/>
  <c r="S7" i="9"/>
  <c r="R75" i="9"/>
  <c r="AD135" i="21" l="1"/>
  <c r="AD138" i="21" s="1"/>
  <c r="AE135" i="21" s="1"/>
  <c r="AC188" i="21"/>
  <c r="AP144" i="21"/>
  <c r="AM76" i="11"/>
  <c r="AM77" i="11" s="1"/>
  <c r="AQ136" i="21"/>
  <c r="AC182" i="21"/>
  <c r="AC183" i="21" s="1"/>
  <c r="AC185" i="21" s="1"/>
  <c r="AD177" i="21" s="1"/>
  <c r="AD175" i="21"/>
  <c r="AM92" i="11"/>
  <c r="AM93" i="11" s="1"/>
  <c r="AQ176" i="21"/>
  <c r="AP184" i="21"/>
  <c r="X164" i="21"/>
  <c r="Q158" i="21"/>
  <c r="V38" i="21"/>
  <c r="V39" i="21" s="1"/>
  <c r="V41" i="21" s="1"/>
  <c r="W33" i="21" s="1"/>
  <c r="W43" i="21" s="1"/>
  <c r="W44" i="21" s="1"/>
  <c r="AN40" i="11"/>
  <c r="AN43" i="11" s="1"/>
  <c r="I52" i="21" a="1"/>
  <c r="W18" i="21"/>
  <c r="W19" i="21" s="1"/>
  <c r="W21" i="21" s="1"/>
  <c r="X13" i="21" s="1"/>
  <c r="X11" i="21"/>
  <c r="W23" i="21"/>
  <c r="W24" i="21" s="1"/>
  <c r="S140" i="1"/>
  <c r="S142" i="1" s="1"/>
  <c r="S144" i="1" s="1"/>
  <c r="S20" i="8" s="1"/>
  <c r="AN88" i="11"/>
  <c r="AN91" i="11" s="1"/>
  <c r="AN72" i="11"/>
  <c r="AN75" i="11" s="1"/>
  <c r="M133" i="1"/>
  <c r="M135" i="1" s="1"/>
  <c r="M137" i="1" s="1"/>
  <c r="M19" i="8" s="1"/>
  <c r="M33" i="8" s="1"/>
  <c r="Q61" i="8"/>
  <c r="R146" i="8"/>
  <c r="R148" i="8" s="1"/>
  <c r="R123" i="8"/>
  <c r="R125" i="8" s="1"/>
  <c r="Q54" i="8"/>
  <c r="Q55" i="8" s="1"/>
  <c r="Q111" i="8"/>
  <c r="Q113" i="8" s="1"/>
  <c r="P44" i="8"/>
  <c r="R120" i="8"/>
  <c r="R53" i="8" s="1"/>
  <c r="S118" i="8"/>
  <c r="P38" i="8"/>
  <c r="Q100" i="8"/>
  <c r="Q102" i="8" s="1"/>
  <c r="S85" i="11"/>
  <c r="S105" i="11" s="1"/>
  <c r="S106" i="11" s="1"/>
  <c r="T84" i="11"/>
  <c r="T104" i="11" s="1"/>
  <c r="S95" i="1" s="1"/>
  <c r="U80" i="11"/>
  <c r="U83" i="11" s="1"/>
  <c r="Y156" i="21" s="1"/>
  <c r="S93" i="1"/>
  <c r="T91" i="1"/>
  <c r="S126" i="1"/>
  <c r="S75" i="9"/>
  <c r="T7" i="9"/>
  <c r="V22" i="11"/>
  <c r="T7" i="10"/>
  <c r="T16" i="8"/>
  <c r="T84" i="8" s="1"/>
  <c r="AD142" i="21" l="1"/>
  <c r="AD143" i="21" s="1"/>
  <c r="AD145" i="21" s="1"/>
  <c r="AE137" i="21" s="1"/>
  <c r="AE138" i="21" s="1"/>
  <c r="AD147" i="21"/>
  <c r="AD148" i="21" s="1"/>
  <c r="AN76" i="11"/>
  <c r="AN77" i="11" s="1"/>
  <c r="AR136" i="21"/>
  <c r="AQ141" i="21" s="1"/>
  <c r="AQ144" i="21"/>
  <c r="AP141" i="21"/>
  <c r="AD178" i="21"/>
  <c r="AD187" i="21" s="1"/>
  <c r="AD188" i="21" s="1"/>
  <c r="AQ184" i="21"/>
  <c r="AN92" i="11"/>
  <c r="AN93" i="11" s="1"/>
  <c r="AR176" i="21"/>
  <c r="AP181" i="21"/>
  <c r="Y164" i="21"/>
  <c r="Q167" i="21"/>
  <c r="Q168" i="21" s="1"/>
  <c r="R155" i="21"/>
  <c r="Q162" i="21"/>
  <c r="Q163" i="21" s="1"/>
  <c r="Q165" i="21" s="1"/>
  <c r="R157" i="21" s="1"/>
  <c r="X161" i="21"/>
  <c r="W34" i="21"/>
  <c r="X31" i="21" s="1"/>
  <c r="X14" i="21"/>
  <c r="X18" i="21" s="1"/>
  <c r="X19" i="21" s="1"/>
  <c r="X21" i="21" s="1"/>
  <c r="Y13" i="21" s="1"/>
  <c r="I52" i="21"/>
  <c r="I60" i="21" s="1"/>
  <c r="L60" i="21"/>
  <c r="P60" i="21"/>
  <c r="T60" i="21"/>
  <c r="X60" i="21"/>
  <c r="AB60" i="21"/>
  <c r="AF60" i="21"/>
  <c r="AJ60" i="21"/>
  <c r="AN60" i="21"/>
  <c r="AR57" i="21"/>
  <c r="AN57" i="21"/>
  <c r="AJ57" i="21"/>
  <c r="AF57" i="21"/>
  <c r="AB57" i="21"/>
  <c r="X57" i="21"/>
  <c r="T57" i="21"/>
  <c r="P57" i="21"/>
  <c r="L57" i="21"/>
  <c r="AR60" i="21"/>
  <c r="M60" i="21"/>
  <c r="Q60" i="21"/>
  <c r="U60" i="21"/>
  <c r="Y60" i="21"/>
  <c r="AC60" i="21"/>
  <c r="AG60" i="21"/>
  <c r="AK60" i="21"/>
  <c r="AO60" i="21"/>
  <c r="AQ57" i="21"/>
  <c r="AM57" i="21"/>
  <c r="AI57" i="21"/>
  <c r="AE57" i="21"/>
  <c r="AA57" i="21"/>
  <c r="W57" i="21"/>
  <c r="S57" i="21"/>
  <c r="O57" i="21"/>
  <c r="K57" i="21"/>
  <c r="J60" i="21"/>
  <c r="N60" i="21"/>
  <c r="R60" i="21"/>
  <c r="V60" i="21"/>
  <c r="Z60" i="21"/>
  <c r="AD60" i="21"/>
  <c r="AH60" i="21"/>
  <c r="AL60" i="21"/>
  <c r="AP60" i="21"/>
  <c r="S60" i="21"/>
  <c r="AI60" i="21"/>
  <c r="AL57" i="21"/>
  <c r="AD57" i="21"/>
  <c r="V57" i="21"/>
  <c r="N57" i="21"/>
  <c r="AK57" i="21"/>
  <c r="AC57" i="21"/>
  <c r="U57" i="21"/>
  <c r="M57" i="21"/>
  <c r="O60" i="21"/>
  <c r="AE60" i="21"/>
  <c r="AO57" i="21"/>
  <c r="AG57" i="21"/>
  <c r="Y57" i="21"/>
  <c r="Q57" i="21"/>
  <c r="W60" i="21"/>
  <c r="AM60" i="21"/>
  <c r="K60" i="21"/>
  <c r="AA60" i="21"/>
  <c r="AQ60" i="21"/>
  <c r="AP57" i="21"/>
  <c r="AH57" i="21"/>
  <c r="Z57" i="21"/>
  <c r="R57" i="21"/>
  <c r="J57" i="21"/>
  <c r="T140" i="1"/>
  <c r="T142" i="1" s="1"/>
  <c r="T144" i="1" s="1"/>
  <c r="T20" i="8" s="1"/>
  <c r="R61" i="8"/>
  <c r="S146" i="8"/>
  <c r="S148" i="8" s="1"/>
  <c r="S123" i="8"/>
  <c r="S125" i="8" s="1"/>
  <c r="R54" i="8"/>
  <c r="R55" i="8" s="1"/>
  <c r="T118" i="8"/>
  <c r="S120" i="8"/>
  <c r="S53" i="8" s="1"/>
  <c r="Q44" i="8"/>
  <c r="R111" i="8"/>
  <c r="R113" i="8" s="1"/>
  <c r="Q38" i="8"/>
  <c r="R100" i="8"/>
  <c r="R102" i="8" s="1"/>
  <c r="T85" i="11"/>
  <c r="T105" i="11" s="1"/>
  <c r="T106" i="11" s="1"/>
  <c r="U84" i="11"/>
  <c r="U104" i="11" s="1"/>
  <c r="T95" i="1" s="1"/>
  <c r="V80" i="11"/>
  <c r="V83" i="11" s="1"/>
  <c r="Z156" i="21" s="1"/>
  <c r="U91" i="1"/>
  <c r="T126" i="1"/>
  <c r="T93" i="1"/>
  <c r="W22" i="11"/>
  <c r="U7" i="10"/>
  <c r="U16" i="8"/>
  <c r="U84" i="8" s="1"/>
  <c r="T75" i="9"/>
  <c r="U7" i="9"/>
  <c r="AE142" i="21" l="1"/>
  <c r="AE143" i="21" s="1"/>
  <c r="AE145" i="21" s="1"/>
  <c r="AF137" i="21" s="1"/>
  <c r="AF135" i="21"/>
  <c r="AE147" i="21"/>
  <c r="AE148" i="21" s="1"/>
  <c r="AR144" i="21"/>
  <c r="AR141" i="21"/>
  <c r="AD182" i="21"/>
  <c r="AD183" i="21" s="1"/>
  <c r="AD185" i="21" s="1"/>
  <c r="AE177" i="21" s="1"/>
  <c r="AE175" i="21"/>
  <c r="AR184" i="21"/>
  <c r="AR181" i="21"/>
  <c r="AQ181" i="21"/>
  <c r="R158" i="21"/>
  <c r="R167" i="21" s="1"/>
  <c r="R168" i="21" s="1"/>
  <c r="Z164" i="21"/>
  <c r="Y161" i="21"/>
  <c r="W38" i="21"/>
  <c r="W39" i="21" s="1"/>
  <c r="W41" i="21" s="1"/>
  <c r="X33" i="21" s="1"/>
  <c r="X34" i="21" s="1"/>
  <c r="AF58" i="11"/>
  <c r="AF61" i="11" s="1"/>
  <c r="AE104" i="22" s="1"/>
  <c r="AC58" i="11"/>
  <c r="AC61" i="11" s="1"/>
  <c r="AB104" i="22" s="1"/>
  <c r="X23" i="21"/>
  <c r="X24" i="21" s="1"/>
  <c r="Y11" i="21"/>
  <c r="Y14" i="21" s="1"/>
  <c r="I54" i="21"/>
  <c r="I57" i="21"/>
  <c r="U140" i="1"/>
  <c r="U142" i="1" s="1"/>
  <c r="U144" i="1" s="1"/>
  <c r="U20" i="8" s="1"/>
  <c r="N133" i="1"/>
  <c r="N135" i="1" s="1"/>
  <c r="N137" i="1" s="1"/>
  <c r="N19" i="8" s="1"/>
  <c r="N33" i="8" s="1"/>
  <c r="T146" i="8"/>
  <c r="T148" i="8" s="1"/>
  <c r="S61" i="8"/>
  <c r="S54" i="8"/>
  <c r="S55" i="8" s="1"/>
  <c r="T123" i="8"/>
  <c r="T125" i="8" s="1"/>
  <c r="S111" i="8"/>
  <c r="S113" i="8" s="1"/>
  <c r="R44" i="8"/>
  <c r="S100" i="8"/>
  <c r="S102" i="8" s="1"/>
  <c r="R38" i="8"/>
  <c r="T120" i="8"/>
  <c r="T53" i="8" s="1"/>
  <c r="U118" i="8"/>
  <c r="U85" i="11"/>
  <c r="U105" i="11" s="1"/>
  <c r="U106" i="11" s="1"/>
  <c r="V84" i="11"/>
  <c r="V104" i="11" s="1"/>
  <c r="U95" i="1" s="1"/>
  <c r="W80" i="11"/>
  <c r="W83" i="11" s="1"/>
  <c r="AA156" i="21" s="1"/>
  <c r="Z161" i="21" s="1"/>
  <c r="U126" i="1"/>
  <c r="U93" i="1"/>
  <c r="V91" i="1"/>
  <c r="U75" i="9"/>
  <c r="V7" i="9"/>
  <c r="X22" i="11"/>
  <c r="V16" i="8"/>
  <c r="V84" i="8" s="1"/>
  <c r="V7" i="10"/>
  <c r="S155" i="21" l="1"/>
  <c r="R162" i="21"/>
  <c r="R163" i="21" s="1"/>
  <c r="R165" i="21" s="1"/>
  <c r="S157" i="21" s="1"/>
  <c r="AF138" i="21"/>
  <c r="AF142" i="21" s="1"/>
  <c r="AF143" i="21" s="1"/>
  <c r="AF145" i="21" s="1"/>
  <c r="AG137" i="21" s="1"/>
  <c r="AE178" i="21"/>
  <c r="AE187" i="21" s="1"/>
  <c r="AE188" i="21" s="1"/>
  <c r="AA164" i="21"/>
  <c r="X43" i="21"/>
  <c r="X44" i="21" s="1"/>
  <c r="AF59" i="11"/>
  <c r="AF62" i="11" s="1"/>
  <c r="AE106" i="22" s="1"/>
  <c r="AF64" i="11"/>
  <c r="AC59" i="11"/>
  <c r="AC62" i="11" s="1"/>
  <c r="AB106" i="22" s="1"/>
  <c r="AB119" i="22" s="1"/>
  <c r="AB122" i="22" s="1"/>
  <c r="AB125" i="22" s="1"/>
  <c r="AB244" i="22" s="1"/>
  <c r="AC64" i="11"/>
  <c r="AD58" i="11"/>
  <c r="AD61" i="11" s="1"/>
  <c r="AC104" i="22" s="1"/>
  <c r="AG58" i="11"/>
  <c r="AG61" i="11" s="1"/>
  <c r="AF104" i="22" s="1"/>
  <c r="AE58" i="11"/>
  <c r="AE61" i="11" s="1"/>
  <c r="AD104" i="22" s="1"/>
  <c r="J51" i="21"/>
  <c r="I58" i="21"/>
  <c r="I59" i="21" s="1"/>
  <c r="I61" i="21" s="1"/>
  <c r="J53" i="21" s="1"/>
  <c r="Z11" i="21"/>
  <c r="Y18" i="21"/>
  <c r="Y19" i="21" s="1"/>
  <c r="Y21" i="21" s="1"/>
  <c r="Z13" i="21" s="1"/>
  <c r="Y23" i="21"/>
  <c r="Y24" i="21" s="1"/>
  <c r="X38" i="21"/>
  <c r="X39" i="21" s="1"/>
  <c r="X41" i="21" s="1"/>
  <c r="Y33" i="21" s="1"/>
  <c r="Y43" i="21" s="1"/>
  <c r="Y31" i="21"/>
  <c r="V140" i="1"/>
  <c r="V142" i="1" s="1"/>
  <c r="V144" i="1" s="1"/>
  <c r="V20" i="8" s="1"/>
  <c r="T61" i="8"/>
  <c r="U146" i="8"/>
  <c r="U148" i="8" s="1"/>
  <c r="U123" i="8"/>
  <c r="U125" i="8" s="1"/>
  <c r="T54" i="8"/>
  <c r="T55" i="8" s="1"/>
  <c r="S38" i="8"/>
  <c r="T100" i="8"/>
  <c r="T102" i="8" s="1"/>
  <c r="U120" i="8"/>
  <c r="U53" i="8" s="1"/>
  <c r="V118" i="8"/>
  <c r="T111" i="8"/>
  <c r="T113" i="8" s="1"/>
  <c r="S44" i="8"/>
  <c r="V85" i="11"/>
  <c r="V105" i="11" s="1"/>
  <c r="V106" i="11" s="1"/>
  <c r="W84" i="11"/>
  <c r="W104" i="11" s="1"/>
  <c r="V95" i="1" s="1"/>
  <c r="X80" i="11"/>
  <c r="X83" i="11" s="1"/>
  <c r="AB156" i="21" s="1"/>
  <c r="V126" i="1"/>
  <c r="W91" i="1"/>
  <c r="V93" i="1"/>
  <c r="Y22" i="11"/>
  <c r="W7" i="10"/>
  <c r="W16" i="8"/>
  <c r="W84" i="8" s="1"/>
  <c r="W7" i="9"/>
  <c r="V75" i="9"/>
  <c r="S158" i="21" l="1"/>
  <c r="S162" i="21" s="1"/>
  <c r="S163" i="21" s="1"/>
  <c r="S165" i="21" s="1"/>
  <c r="T157" i="21" s="1"/>
  <c r="AF147" i="21"/>
  <c r="AF148" i="21" s="1"/>
  <c r="AG135" i="21"/>
  <c r="AG138" i="21" s="1"/>
  <c r="AG147" i="21" s="1"/>
  <c r="AE182" i="21"/>
  <c r="AE183" i="21" s="1"/>
  <c r="AE185" i="21" s="1"/>
  <c r="AF177" i="21" s="1"/>
  <c r="AF175" i="21"/>
  <c r="AB164" i="21"/>
  <c r="AA161" i="21"/>
  <c r="AB105" i="22"/>
  <c r="AE105" i="22"/>
  <c r="Y44" i="21"/>
  <c r="AD59" i="11"/>
  <c r="AD62" i="11" s="1"/>
  <c r="AC106" i="22" s="1"/>
  <c r="AD64" i="11"/>
  <c r="AE59" i="11"/>
  <c r="AE62" i="11" s="1"/>
  <c r="AD106" i="22" s="1"/>
  <c r="AE64" i="11"/>
  <c r="AG59" i="11"/>
  <c r="AG62" i="11" s="1"/>
  <c r="AF106" i="22" s="1"/>
  <c r="AG64" i="11"/>
  <c r="AJ58" i="11"/>
  <c r="AJ61" i="11" s="1"/>
  <c r="AI104" i="22" s="1"/>
  <c r="AI58" i="11"/>
  <c r="AI61" i="11" s="1"/>
  <c r="AH104" i="22" s="1"/>
  <c r="AH58" i="11"/>
  <c r="AH61" i="11" s="1"/>
  <c r="AG104" i="22" s="1"/>
  <c r="Y34" i="21"/>
  <c r="Z31" i="21" s="1"/>
  <c r="Z14" i="21"/>
  <c r="J54" i="21"/>
  <c r="J63" i="21"/>
  <c r="J64" i="21" s="1"/>
  <c r="J212" i="21" s="1"/>
  <c r="E88" i="9" s="1"/>
  <c r="W140" i="1"/>
  <c r="W142" i="1" s="1"/>
  <c r="W144" i="1" s="1"/>
  <c r="W20" i="8" s="1"/>
  <c r="O133" i="1"/>
  <c r="O135" i="1" s="1"/>
  <c r="O137" i="1" s="1"/>
  <c r="O19" i="8" s="1"/>
  <c r="O33" i="8" s="1"/>
  <c r="V146" i="8"/>
  <c r="V148" i="8" s="1"/>
  <c r="U61" i="8"/>
  <c r="U54" i="8"/>
  <c r="U55" i="8" s="1"/>
  <c r="V123" i="8"/>
  <c r="V125" i="8" s="1"/>
  <c r="V120" i="8"/>
  <c r="V53" i="8" s="1"/>
  <c r="W118" i="8"/>
  <c r="T38" i="8"/>
  <c r="U100" i="8"/>
  <c r="U102" i="8" s="1"/>
  <c r="T44" i="8"/>
  <c r="U111" i="8"/>
  <c r="U113" i="8" s="1"/>
  <c r="W85" i="11"/>
  <c r="W105" i="11" s="1"/>
  <c r="W106" i="11" s="1"/>
  <c r="X84" i="11"/>
  <c r="X104" i="11" s="1"/>
  <c r="W95" i="1" s="1"/>
  <c r="Y80" i="11"/>
  <c r="Y83" i="11" s="1"/>
  <c r="AC156" i="21" s="1"/>
  <c r="W93" i="1"/>
  <c r="X91" i="1"/>
  <c r="W126" i="1"/>
  <c r="X7" i="9"/>
  <c r="W75" i="9"/>
  <c r="Z22" i="11"/>
  <c r="X16" i="8"/>
  <c r="X84" i="8" s="1"/>
  <c r="X7" i="10"/>
  <c r="S167" i="21" l="1"/>
  <c r="S168" i="21" s="1"/>
  <c r="T155" i="21"/>
  <c r="T158" i="21" s="1"/>
  <c r="AG148" i="21"/>
  <c r="AG142" i="21"/>
  <c r="AG143" i="21" s="1"/>
  <c r="AG145" i="21" s="1"/>
  <c r="AH137" i="21" s="1"/>
  <c r="AH135" i="21"/>
  <c r="AF178" i="21"/>
  <c r="AG175" i="21" s="1"/>
  <c r="AC164" i="21"/>
  <c r="AB161" i="21"/>
  <c r="AC105" i="22"/>
  <c r="AF105" i="22"/>
  <c r="AD105" i="22"/>
  <c r="AJ59" i="11"/>
  <c r="AJ62" i="11" s="1"/>
  <c r="AI106" i="22" s="1"/>
  <c r="AJ64" i="11"/>
  <c r="AH59" i="11"/>
  <c r="AH62" i="11" s="1"/>
  <c r="AG106" i="22" s="1"/>
  <c r="AH64" i="11"/>
  <c r="AI59" i="11"/>
  <c r="AI62" i="11" s="1"/>
  <c r="AH106" i="22" s="1"/>
  <c r="AI64" i="11"/>
  <c r="AK58" i="11"/>
  <c r="AK61" i="11" s="1"/>
  <c r="AJ104" i="22" s="1"/>
  <c r="Y38" i="21"/>
  <c r="Y39" i="21" s="1"/>
  <c r="Y41" i="21" s="1"/>
  <c r="Z33" i="21" s="1"/>
  <c r="Z43" i="21" s="1"/>
  <c r="Z44" i="21" s="1"/>
  <c r="K51" i="21"/>
  <c r="J58" i="21"/>
  <c r="J59" i="21" s="1"/>
  <c r="J61" i="21" s="1"/>
  <c r="K53" i="21" s="1"/>
  <c r="K63" i="21" s="1"/>
  <c r="K64" i="21" s="1"/>
  <c r="K212" i="21" s="1"/>
  <c r="F88" i="9" s="1"/>
  <c r="Z18" i="21"/>
  <c r="Z19" i="21" s="1"/>
  <c r="Z21" i="21" s="1"/>
  <c r="AA13" i="21" s="1"/>
  <c r="AA11" i="21"/>
  <c r="Z23" i="21"/>
  <c r="Z24" i="21" s="1"/>
  <c r="X140" i="1"/>
  <c r="X142" i="1" s="1"/>
  <c r="X144" i="1" s="1"/>
  <c r="X20" i="8" s="1"/>
  <c r="W146" i="8"/>
  <c r="W148" i="8" s="1"/>
  <c r="V61" i="8"/>
  <c r="W123" i="8"/>
  <c r="W125" i="8" s="1"/>
  <c r="V54" i="8"/>
  <c r="V55" i="8" s="1"/>
  <c r="U44" i="8"/>
  <c r="V111" i="8"/>
  <c r="V113" i="8" s="1"/>
  <c r="V100" i="8"/>
  <c r="V102" i="8" s="1"/>
  <c r="U38" i="8"/>
  <c r="W120" i="8"/>
  <c r="W53" i="8" s="1"/>
  <c r="X118" i="8"/>
  <c r="X85" i="11"/>
  <c r="X105" i="11" s="1"/>
  <c r="X106" i="11" s="1"/>
  <c r="Y84" i="11"/>
  <c r="Y104" i="11" s="1"/>
  <c r="X95" i="1" s="1"/>
  <c r="Z80" i="11"/>
  <c r="Z83" i="11" s="1"/>
  <c r="Y91" i="1"/>
  <c r="X93" i="1"/>
  <c r="X126" i="1"/>
  <c r="AA22" i="11"/>
  <c r="AB22" i="11" s="1"/>
  <c r="Y7" i="10"/>
  <c r="Y16" i="8"/>
  <c r="Y84" i="8" s="1"/>
  <c r="Y7" i="9"/>
  <c r="X75" i="9"/>
  <c r="T167" i="21" l="1"/>
  <c r="T168" i="21" s="1"/>
  <c r="T162" i="21"/>
  <c r="T163" i="21" s="1"/>
  <c r="T165" i="21" s="1"/>
  <c r="U157" i="21" s="1"/>
  <c r="AH138" i="21"/>
  <c r="AH147" i="21" s="1"/>
  <c r="AH148" i="21" s="1"/>
  <c r="U155" i="21"/>
  <c r="AF187" i="21"/>
  <c r="AF188" i="21" s="1"/>
  <c r="AF182" i="21"/>
  <c r="AF183" i="21" s="1"/>
  <c r="AF185" i="21" s="1"/>
  <c r="AG177" i="21" s="1"/>
  <c r="AG178" i="21" s="1"/>
  <c r="AH175" i="21" s="1"/>
  <c r="AA80" i="11"/>
  <c r="AA83" i="11" s="1"/>
  <c r="AE156" i="21" s="1"/>
  <c r="AD156" i="21"/>
  <c r="AH105" i="22"/>
  <c r="AI105" i="22"/>
  <c r="AG105" i="22"/>
  <c r="E19" i="10"/>
  <c r="E91" i="8"/>
  <c r="E92" i="8" s="1"/>
  <c r="E36" i="8" s="1"/>
  <c r="AK59" i="11"/>
  <c r="AK62" i="11" s="1"/>
  <c r="AJ106" i="22" s="1"/>
  <c r="AK64" i="11"/>
  <c r="AL58" i="11"/>
  <c r="AL61" i="11" s="1"/>
  <c r="AK104" i="22" s="1"/>
  <c r="AM58" i="11"/>
  <c r="AM61" i="11" s="1"/>
  <c r="AL104" i="22" s="1"/>
  <c r="AN58" i="11"/>
  <c r="AN61" i="11" s="1"/>
  <c r="AM104" i="22" s="1"/>
  <c r="Z34" i="21"/>
  <c r="AA31" i="21" s="1"/>
  <c r="AA14" i="21"/>
  <c r="AB11" i="21" s="1"/>
  <c r="K54" i="21"/>
  <c r="Y140" i="1"/>
  <c r="Y142" i="1" s="1"/>
  <c r="Y144" i="1" s="1"/>
  <c r="Y20" i="8" s="1"/>
  <c r="P133" i="1"/>
  <c r="P135" i="1" s="1"/>
  <c r="P137" i="1" s="1"/>
  <c r="P19" i="8" s="1"/>
  <c r="P33" i="8" s="1"/>
  <c r="X146" i="8"/>
  <c r="X148" i="8" s="1"/>
  <c r="W61" i="8"/>
  <c r="X123" i="8"/>
  <c r="X125" i="8" s="1"/>
  <c r="W54" i="8"/>
  <c r="W55" i="8" s="1"/>
  <c r="V38" i="8"/>
  <c r="W100" i="8"/>
  <c r="W102" i="8" s="1"/>
  <c r="W111" i="8"/>
  <c r="W113" i="8" s="1"/>
  <c r="V44" i="8"/>
  <c r="Y118" i="8"/>
  <c r="X120" i="8"/>
  <c r="X53" i="8" s="1"/>
  <c r="Y85" i="11"/>
  <c r="Y105" i="11" s="1"/>
  <c r="Y106" i="11" s="1"/>
  <c r="Z84" i="11"/>
  <c r="Z104" i="11" s="1"/>
  <c r="Y95" i="1" s="1"/>
  <c r="Y93" i="1"/>
  <c r="Z91" i="1"/>
  <c r="Y126" i="1"/>
  <c r="Z7" i="9"/>
  <c r="Y75" i="9"/>
  <c r="Z16" i="8"/>
  <c r="Z84" i="8" s="1"/>
  <c r="Z7" i="10"/>
  <c r="U158" i="21" l="1"/>
  <c r="V155" i="21" s="1"/>
  <c r="AH142" i="21"/>
  <c r="AH143" i="21" s="1"/>
  <c r="AH145" i="21" s="1"/>
  <c r="AI137" i="21" s="1"/>
  <c r="AI135" i="21"/>
  <c r="AG187" i="21"/>
  <c r="AG188" i="21" s="1"/>
  <c r="AG182" i="21"/>
  <c r="AG183" i="21" s="1"/>
  <c r="AG185" i="21" s="1"/>
  <c r="AH177" i="21" s="1"/>
  <c r="AH178" i="21" s="1"/>
  <c r="AE164" i="21"/>
  <c r="AD164" i="21"/>
  <c r="AD161" i="21"/>
  <c r="AC161" i="21"/>
  <c r="F19" i="10"/>
  <c r="F91" i="8"/>
  <c r="AJ105" i="22"/>
  <c r="F90" i="8"/>
  <c r="AL59" i="11"/>
  <c r="AL62" i="11" s="1"/>
  <c r="AK106" i="22" s="1"/>
  <c r="AL64" i="11"/>
  <c r="AN59" i="11"/>
  <c r="AN62" i="11" s="1"/>
  <c r="AM106" i="22" s="1"/>
  <c r="AN64" i="11"/>
  <c r="AM59" i="11"/>
  <c r="AM62" i="11" s="1"/>
  <c r="AL106" i="22" s="1"/>
  <c r="AM64" i="11"/>
  <c r="AA18" i="21"/>
  <c r="AA19" i="21" s="1"/>
  <c r="AA21" i="21" s="1"/>
  <c r="AB13" i="21" s="1"/>
  <c r="AB14" i="21" s="1"/>
  <c r="Z38" i="21"/>
  <c r="Z39" i="21" s="1"/>
  <c r="Z41" i="21" s="1"/>
  <c r="AA33" i="21" s="1"/>
  <c r="AA43" i="21" s="1"/>
  <c r="AA44" i="21" s="1"/>
  <c r="AA23" i="21"/>
  <c r="AA24" i="21" s="1"/>
  <c r="L51" i="21"/>
  <c r="K58" i="21"/>
  <c r="K59" i="21" s="1"/>
  <c r="K61" i="21" s="1"/>
  <c r="L53" i="21" s="1"/>
  <c r="L63" i="21" s="1"/>
  <c r="L64" i="21" s="1"/>
  <c r="L212" i="21" s="1"/>
  <c r="G88" i="9" s="1"/>
  <c r="Z140" i="1"/>
  <c r="Z142" i="1" s="1"/>
  <c r="Z144" i="1" s="1"/>
  <c r="Z20" i="8" s="1"/>
  <c r="E57" i="2"/>
  <c r="E59" i="2"/>
  <c r="C210" i="2" s="1"/>
  <c r="Y146" i="8"/>
  <c r="Y148" i="8" s="1"/>
  <c r="X61" i="8"/>
  <c r="X54" i="8"/>
  <c r="X55" i="8" s="1"/>
  <c r="Y123" i="8"/>
  <c r="Y125" i="8" s="1"/>
  <c r="Y120" i="8"/>
  <c r="Y53" i="8" s="1"/>
  <c r="Z118" i="8"/>
  <c r="X111" i="8"/>
  <c r="X113" i="8" s="1"/>
  <c r="W44" i="8"/>
  <c r="W38" i="8"/>
  <c r="X100" i="8"/>
  <c r="X102" i="8" s="1"/>
  <c r="Z85" i="11"/>
  <c r="Z105" i="11" s="1"/>
  <c r="Z106" i="11" s="1"/>
  <c r="AA84" i="11"/>
  <c r="AA104" i="11" s="1"/>
  <c r="Z95" i="1" s="1"/>
  <c r="AB80" i="11"/>
  <c r="AB83" i="11" s="1"/>
  <c r="AF156" i="21" s="1"/>
  <c r="Z93" i="1"/>
  <c r="AA91" i="1"/>
  <c r="Z126" i="1"/>
  <c r="AC22" i="11"/>
  <c r="AA16" i="8"/>
  <c r="AA7" i="10"/>
  <c r="Z75" i="9"/>
  <c r="AA7" i="9"/>
  <c r="U167" i="21" l="1"/>
  <c r="U168" i="21" s="1"/>
  <c r="U162" i="21"/>
  <c r="U163" i="21" s="1"/>
  <c r="U165" i="21" s="1"/>
  <c r="V157" i="21" s="1"/>
  <c r="V158" i="21" s="1"/>
  <c r="AI138" i="21"/>
  <c r="AI147" i="21" s="1"/>
  <c r="AI148" i="21" s="1"/>
  <c r="AH187" i="21"/>
  <c r="AH188" i="21" s="1"/>
  <c r="AI175" i="21"/>
  <c r="AH182" i="21"/>
  <c r="AH183" i="21" s="1"/>
  <c r="AH185" i="21" s="1"/>
  <c r="AI177" i="21" s="1"/>
  <c r="AF164" i="21"/>
  <c r="AE161" i="21"/>
  <c r="F92" i="8"/>
  <c r="F36" i="8" s="1"/>
  <c r="AK105" i="22"/>
  <c r="AL105" i="22"/>
  <c r="AM105" i="22"/>
  <c r="AC11" i="21"/>
  <c r="AB18" i="21"/>
  <c r="AB19" i="21" s="1"/>
  <c r="AB21" i="21" s="1"/>
  <c r="AC13" i="21" s="1"/>
  <c r="AA34" i="21"/>
  <c r="AA38" i="21" s="1"/>
  <c r="AA39" i="21" s="1"/>
  <c r="AA41" i="21" s="1"/>
  <c r="AB33" i="21" s="1"/>
  <c r="AB43" i="21" s="1"/>
  <c r="AB44" i="21" s="1"/>
  <c r="AB23" i="21"/>
  <c r="AB24" i="21" s="1"/>
  <c r="L54" i="21"/>
  <c r="L58" i="21" s="1"/>
  <c r="L59" i="21" s="1"/>
  <c r="L61" i="21" s="1"/>
  <c r="M53" i="21" s="1"/>
  <c r="M63" i="21" s="1"/>
  <c r="M64" i="21" s="1"/>
  <c r="M212" i="21" s="1"/>
  <c r="H88" i="9" s="1"/>
  <c r="AA140" i="1"/>
  <c r="AA142" i="1" s="1"/>
  <c r="AA144" i="1" s="1"/>
  <c r="AA20" i="8" s="1"/>
  <c r="Q133" i="1"/>
  <c r="Q135" i="1" s="1"/>
  <c r="Q137" i="1" s="1"/>
  <c r="Q19" i="8" s="1"/>
  <c r="Q33" i="8" s="1"/>
  <c r="Y61" i="8"/>
  <c r="Z146" i="8"/>
  <c r="Z148" i="8" s="1"/>
  <c r="Z123" i="8"/>
  <c r="Z125" i="8" s="1"/>
  <c r="Y54" i="8"/>
  <c r="Y55" i="8" s="1"/>
  <c r="Y111" i="8"/>
  <c r="Y113" i="8" s="1"/>
  <c r="X44" i="8"/>
  <c r="Z120" i="8"/>
  <c r="Z53" i="8" s="1"/>
  <c r="AA118" i="8"/>
  <c r="X38" i="8"/>
  <c r="Y100" i="8"/>
  <c r="Y102" i="8" s="1"/>
  <c r="AA85" i="11"/>
  <c r="AA105" i="11" s="1"/>
  <c r="AA106" i="11" s="1"/>
  <c r="AB84" i="11"/>
  <c r="AB104" i="11" s="1"/>
  <c r="AA95" i="1" s="1"/>
  <c r="AC80" i="11"/>
  <c r="AC83" i="11" s="1"/>
  <c r="AG156" i="21" s="1"/>
  <c r="AA126" i="1"/>
  <c r="AB91" i="1"/>
  <c r="AA93" i="1"/>
  <c r="AB7" i="9"/>
  <c r="AA75" i="9"/>
  <c r="F53" i="2"/>
  <c r="AA84" i="8"/>
  <c r="AD22" i="11"/>
  <c r="AB7" i="10"/>
  <c r="AB16" i="8"/>
  <c r="AB84" i="8" s="1"/>
  <c r="AJ135" i="21" l="1"/>
  <c r="AI142" i="21"/>
  <c r="AI143" i="21" s="1"/>
  <c r="AI145" i="21" s="1"/>
  <c r="AJ137" i="21" s="1"/>
  <c r="AI178" i="21"/>
  <c r="AI182" i="21" s="1"/>
  <c r="AI183" i="21" s="1"/>
  <c r="AI185" i="21" s="1"/>
  <c r="AJ177" i="21" s="1"/>
  <c r="AG164" i="21"/>
  <c r="V167" i="21"/>
  <c r="V168" i="21" s="1"/>
  <c r="W155" i="21"/>
  <c r="V162" i="21"/>
  <c r="V163" i="21" s="1"/>
  <c r="V165" i="21" s="1"/>
  <c r="W157" i="21" s="1"/>
  <c r="AF161" i="21"/>
  <c r="G90" i="8"/>
  <c r="G91" i="8"/>
  <c r="G19" i="10"/>
  <c r="AC14" i="21"/>
  <c r="AC18" i="21" s="1"/>
  <c r="AC19" i="21" s="1"/>
  <c r="AC21" i="21" s="1"/>
  <c r="AD13" i="21" s="1"/>
  <c r="AB31" i="21"/>
  <c r="AB34" i="21" s="1"/>
  <c r="AC31" i="21" s="1"/>
  <c r="M51" i="21"/>
  <c r="M54" i="21" s="1"/>
  <c r="AB140" i="1"/>
  <c r="AB142" i="1" s="1"/>
  <c r="AB144" i="1" s="1"/>
  <c r="AB20" i="8" s="1"/>
  <c r="F58" i="2"/>
  <c r="AA146" i="8"/>
  <c r="AA148" i="8" s="1"/>
  <c r="Z61" i="8"/>
  <c r="Z54" i="8"/>
  <c r="Z55" i="8" s="1"/>
  <c r="AA123" i="8"/>
  <c r="AA125" i="8" s="1"/>
  <c r="Y38" i="8"/>
  <c r="Z100" i="8"/>
  <c r="Z102" i="8" s="1"/>
  <c r="Y44" i="8"/>
  <c r="Z111" i="8"/>
  <c r="Z113" i="8" s="1"/>
  <c r="AB118" i="8"/>
  <c r="AA120" i="8"/>
  <c r="AA53" i="8" s="1"/>
  <c r="AB85" i="11"/>
  <c r="AB105" i="11" s="1"/>
  <c r="AB106" i="11" s="1"/>
  <c r="AD80" i="11"/>
  <c r="AD83" i="11" s="1"/>
  <c r="AH156" i="21" s="1"/>
  <c r="AC84" i="11"/>
  <c r="AC104" i="11" s="1"/>
  <c r="AB95" i="1" s="1"/>
  <c r="AB126" i="1"/>
  <c r="AB93" i="1"/>
  <c r="AC91" i="1"/>
  <c r="AC7" i="9"/>
  <c r="AB75" i="9"/>
  <c r="F155" i="2"/>
  <c r="F145" i="2"/>
  <c r="AE22" i="11"/>
  <c r="AC7" i="10"/>
  <c r="AC16" i="8"/>
  <c r="AC84" i="8" s="1"/>
  <c r="AJ138" i="21" l="1"/>
  <c r="AJ147" i="21" s="1"/>
  <c r="AJ148" i="21" s="1"/>
  <c r="AI187" i="21"/>
  <c r="AI188" i="21" s="1"/>
  <c r="AJ175" i="21"/>
  <c r="AJ178" i="21" s="1"/>
  <c r="AK175" i="21" s="1"/>
  <c r="G92" i="8"/>
  <c r="G36" i="8" s="1"/>
  <c r="AH164" i="21"/>
  <c r="AG161" i="21"/>
  <c r="W158" i="21"/>
  <c r="H19" i="10"/>
  <c r="H91" i="8"/>
  <c r="AC23" i="21"/>
  <c r="AC24" i="21" s="1"/>
  <c r="AD11" i="21"/>
  <c r="AD14" i="21" s="1"/>
  <c r="AB38" i="21"/>
  <c r="AB39" i="21" s="1"/>
  <c r="AB41" i="21" s="1"/>
  <c r="AC33" i="21" s="1"/>
  <c r="AC43" i="21" s="1"/>
  <c r="AC44" i="21" s="1"/>
  <c r="M58" i="21"/>
  <c r="M59" i="21" s="1"/>
  <c r="M61" i="21" s="1"/>
  <c r="N53" i="21" s="1"/>
  <c r="N63" i="21" s="1"/>
  <c r="N64" i="21" s="1"/>
  <c r="N212" i="21" s="1"/>
  <c r="I88" i="9" s="1"/>
  <c r="N51" i="21"/>
  <c r="AC140" i="1"/>
  <c r="AC142" i="1" s="1"/>
  <c r="AC144" i="1" s="1"/>
  <c r="AC20" i="8" s="1"/>
  <c r="R133" i="1"/>
  <c r="R135" i="1" s="1"/>
  <c r="R137" i="1" s="1"/>
  <c r="R19" i="8" s="1"/>
  <c r="R33" i="8" s="1"/>
  <c r="AA61" i="8"/>
  <c r="F87" i="2" s="1"/>
  <c r="AB146" i="8"/>
  <c r="AB148" i="8" s="1"/>
  <c r="AA54" i="8"/>
  <c r="F80" i="2" s="1"/>
  <c r="AB123" i="8"/>
  <c r="AB125" i="8" s="1"/>
  <c r="F79" i="2"/>
  <c r="AB120" i="8"/>
  <c r="AB53" i="8" s="1"/>
  <c r="AC118" i="8"/>
  <c r="AA111" i="8"/>
  <c r="AA113" i="8" s="1"/>
  <c r="Z44" i="8"/>
  <c r="AA100" i="8"/>
  <c r="AA102" i="8" s="1"/>
  <c r="Z38" i="8"/>
  <c r="AC85" i="11"/>
  <c r="AC105" i="11" s="1"/>
  <c r="AC106" i="11" s="1"/>
  <c r="AD84" i="11"/>
  <c r="AD104" i="11" s="1"/>
  <c r="AC95" i="1" s="1"/>
  <c r="AE80" i="11"/>
  <c r="AE83" i="11" s="1"/>
  <c r="AI156" i="21" s="1"/>
  <c r="AC93" i="1"/>
  <c r="AC126" i="1"/>
  <c r="AD91" i="1"/>
  <c r="AF22" i="11"/>
  <c r="AD7" i="10"/>
  <c r="AD16" i="8"/>
  <c r="AD84" i="8" s="1"/>
  <c r="AC75" i="9"/>
  <c r="AD7" i="9"/>
  <c r="AK135" i="21" l="1"/>
  <c r="AJ142" i="21"/>
  <c r="AJ143" i="21" s="1"/>
  <c r="AJ145" i="21" s="1"/>
  <c r="AK137" i="21" s="1"/>
  <c r="AK138" i="21" s="1"/>
  <c r="H90" i="8"/>
  <c r="AJ182" i="21"/>
  <c r="AJ183" i="21" s="1"/>
  <c r="AJ185" i="21" s="1"/>
  <c r="AK177" i="21" s="1"/>
  <c r="AK178" i="21" s="1"/>
  <c r="AK182" i="21" s="1"/>
  <c r="AK183" i="21" s="1"/>
  <c r="AK185" i="21" s="1"/>
  <c r="AL177" i="21" s="1"/>
  <c r="AJ187" i="21"/>
  <c r="AJ188" i="21" s="1"/>
  <c r="AI164" i="21"/>
  <c r="W167" i="21"/>
  <c r="W168" i="21" s="1"/>
  <c r="W162" i="21"/>
  <c r="W163" i="21" s="1"/>
  <c r="W165" i="21" s="1"/>
  <c r="X157" i="21" s="1"/>
  <c r="X155" i="21"/>
  <c r="AH161" i="21"/>
  <c r="H92" i="8"/>
  <c r="I90" i="8" s="1"/>
  <c r="AC34" i="21"/>
  <c r="AD31" i="21" s="1"/>
  <c r="N54" i="21"/>
  <c r="N58" i="21" s="1"/>
  <c r="N59" i="21" s="1"/>
  <c r="N61" i="21" s="1"/>
  <c r="O53" i="21" s="1"/>
  <c r="O63" i="21" s="1"/>
  <c r="O64" i="21" s="1"/>
  <c r="O212" i="21" s="1"/>
  <c r="J88" i="9" s="1"/>
  <c r="AD18" i="21"/>
  <c r="AD19" i="21" s="1"/>
  <c r="AD21" i="21" s="1"/>
  <c r="AE13" i="21" s="1"/>
  <c r="AE11" i="21"/>
  <c r="AD23" i="21"/>
  <c r="AD24" i="21" s="1"/>
  <c r="AD140" i="1"/>
  <c r="AD142" i="1" s="1"/>
  <c r="AD144" i="1" s="1"/>
  <c r="AD20" i="8" s="1"/>
  <c r="AA55" i="8"/>
  <c r="F81" i="2" s="1"/>
  <c r="AB61" i="8"/>
  <c r="AC146" i="8"/>
  <c r="AC148" i="8" s="1"/>
  <c r="AC123" i="8"/>
  <c r="AC125" i="8" s="1"/>
  <c r="AB54" i="8"/>
  <c r="AB55" i="8" s="1"/>
  <c r="AB100" i="8"/>
  <c r="AB102" i="8" s="1"/>
  <c r="AA38" i="8"/>
  <c r="F64" i="2" s="1"/>
  <c r="AA44" i="8"/>
  <c r="F70" i="2" s="1"/>
  <c r="AB111" i="8"/>
  <c r="AB113" i="8" s="1"/>
  <c r="AC120" i="8"/>
  <c r="AC53" i="8" s="1"/>
  <c r="AD118" i="8"/>
  <c r="AD85" i="11"/>
  <c r="AD105" i="11" s="1"/>
  <c r="AD106" i="11" s="1"/>
  <c r="AE84" i="11"/>
  <c r="AE104" i="11" s="1"/>
  <c r="AD95" i="1" s="1"/>
  <c r="AF80" i="11"/>
  <c r="AF83" i="11" s="1"/>
  <c r="AJ156" i="21" s="1"/>
  <c r="AI161" i="21" s="1"/>
  <c r="AD126" i="1"/>
  <c r="AE91" i="1"/>
  <c r="AD93" i="1"/>
  <c r="AD75" i="9"/>
  <c r="AE7" i="9"/>
  <c r="AG22" i="11"/>
  <c r="AE7" i="10"/>
  <c r="AE16" i="8"/>
  <c r="AE84" i="8" s="1"/>
  <c r="AK142" i="21" l="1"/>
  <c r="AK143" i="21" s="1"/>
  <c r="AK145" i="21" s="1"/>
  <c r="AL137" i="21" s="1"/>
  <c r="AL135" i="21"/>
  <c r="AK147" i="21"/>
  <c r="AK148" i="21" s="1"/>
  <c r="AL175" i="21"/>
  <c r="AL178" i="21" s="1"/>
  <c r="AK187" i="21"/>
  <c r="AK188" i="21" s="1"/>
  <c r="AJ164" i="21"/>
  <c r="X158" i="21"/>
  <c r="H36" i="8"/>
  <c r="I91" i="8"/>
  <c r="I92" i="8" s="1"/>
  <c r="J90" i="8" s="1"/>
  <c r="I19" i="10"/>
  <c r="AC38" i="21"/>
  <c r="AC39" i="21" s="1"/>
  <c r="AC41" i="21" s="1"/>
  <c r="AD33" i="21" s="1"/>
  <c r="AD43" i="21" s="1"/>
  <c r="AD44" i="21" s="1"/>
  <c r="O51" i="21"/>
  <c r="O54" i="21" s="1"/>
  <c r="AE14" i="21"/>
  <c r="AF11" i="21" s="1"/>
  <c r="AE140" i="1"/>
  <c r="AE142" i="1" s="1"/>
  <c r="AE144" i="1" s="1"/>
  <c r="AE20" i="8" s="1"/>
  <c r="S133" i="1"/>
  <c r="S135" i="1" s="1"/>
  <c r="S137" i="1" s="1"/>
  <c r="S19" i="8" s="1"/>
  <c r="S33" i="8" s="1"/>
  <c r="AC61" i="8"/>
  <c r="AD146" i="8"/>
  <c r="AD148" i="8" s="1"/>
  <c r="AD123" i="8"/>
  <c r="AD125" i="8" s="1"/>
  <c r="AC54" i="8"/>
  <c r="AC55" i="8" s="1"/>
  <c r="AE118" i="8"/>
  <c r="AD120" i="8"/>
  <c r="AD53" i="8" s="1"/>
  <c r="AC111" i="8"/>
  <c r="AC113" i="8" s="1"/>
  <c r="AB44" i="8"/>
  <c r="AB38" i="8"/>
  <c r="AC100" i="8"/>
  <c r="AC102" i="8" s="1"/>
  <c r="AE85" i="11"/>
  <c r="AE105" i="11" s="1"/>
  <c r="AE106" i="11" s="1"/>
  <c r="AF84" i="11"/>
  <c r="AF104" i="11" s="1"/>
  <c r="AE95" i="1" s="1"/>
  <c r="AG80" i="11"/>
  <c r="AG83" i="11" s="1"/>
  <c r="AK156" i="21" s="1"/>
  <c r="AJ161" i="21" s="1"/>
  <c r="AE93" i="1"/>
  <c r="AE126" i="1"/>
  <c r="AF91" i="1"/>
  <c r="AF7" i="9"/>
  <c r="AE75" i="9"/>
  <c r="AH22" i="11"/>
  <c r="AF7" i="10"/>
  <c r="AF16" i="8"/>
  <c r="AF84" i="8" s="1"/>
  <c r="AL138" i="21" l="1"/>
  <c r="AM135" i="21" s="1"/>
  <c r="AL182" i="21"/>
  <c r="AL183" i="21" s="1"/>
  <c r="AL185" i="21" s="1"/>
  <c r="AM177" i="21" s="1"/>
  <c r="AM175" i="21"/>
  <c r="AL187" i="21"/>
  <c r="AL188" i="21" s="1"/>
  <c r="X167" i="21"/>
  <c r="X168" i="21" s="1"/>
  <c r="X162" i="21"/>
  <c r="X163" i="21" s="1"/>
  <c r="X165" i="21" s="1"/>
  <c r="Y157" i="21" s="1"/>
  <c r="Y155" i="21"/>
  <c r="AK164" i="21"/>
  <c r="J19" i="10"/>
  <c r="J91" i="8"/>
  <c r="J92" i="8" s="1"/>
  <c r="AD34" i="21"/>
  <c r="AE31" i="21" s="1"/>
  <c r="I36" i="8"/>
  <c r="AE23" i="21"/>
  <c r="AE24" i="21" s="1"/>
  <c r="AE18" i="21"/>
  <c r="AE19" i="21" s="1"/>
  <c r="AE21" i="21" s="1"/>
  <c r="AF13" i="21" s="1"/>
  <c r="AF14" i="21" s="1"/>
  <c r="AF18" i="21" s="1"/>
  <c r="AF19" i="21" s="1"/>
  <c r="AF21" i="21" s="1"/>
  <c r="AG13" i="21" s="1"/>
  <c r="O58" i="21"/>
  <c r="O59" i="21" s="1"/>
  <c r="O61" i="21" s="1"/>
  <c r="P53" i="21" s="1"/>
  <c r="P63" i="21" s="1"/>
  <c r="P64" i="21" s="1"/>
  <c r="P212" i="21" s="1"/>
  <c r="K88" i="9" s="1"/>
  <c r="P51" i="21"/>
  <c r="AF140" i="1"/>
  <c r="AF142" i="1" s="1"/>
  <c r="AF144" i="1" s="1"/>
  <c r="AF20" i="8" s="1"/>
  <c r="AE146" i="8"/>
  <c r="AE148" i="8" s="1"/>
  <c r="AD61" i="8"/>
  <c r="AD54" i="8"/>
  <c r="AD55" i="8" s="1"/>
  <c r="AE123" i="8"/>
  <c r="AE125" i="8" s="1"/>
  <c r="AC38" i="8"/>
  <c r="AD100" i="8"/>
  <c r="AD102" i="8" s="1"/>
  <c r="AC44" i="8"/>
  <c r="AD111" i="8"/>
  <c r="AD113" i="8" s="1"/>
  <c r="AE120" i="8"/>
  <c r="AE53" i="8" s="1"/>
  <c r="AF118" i="8"/>
  <c r="AF85" i="11"/>
  <c r="AF105" i="11" s="1"/>
  <c r="AF106" i="11" s="1"/>
  <c r="AG84" i="11"/>
  <c r="AG104" i="11" s="1"/>
  <c r="AF95" i="1" s="1"/>
  <c r="AH80" i="11"/>
  <c r="AH83" i="11" s="1"/>
  <c r="AL156" i="21" s="1"/>
  <c r="AF93" i="1"/>
  <c r="AF126" i="1"/>
  <c r="AG91" i="1"/>
  <c r="AI22" i="11"/>
  <c r="AG16" i="8"/>
  <c r="AG84" i="8" s="1"/>
  <c r="AG7" i="10"/>
  <c r="AF75" i="9"/>
  <c r="AG7" i="9"/>
  <c r="AL147" i="21" l="1"/>
  <c r="AL148" i="21" s="1"/>
  <c r="AL142" i="21"/>
  <c r="AL143" i="21" s="1"/>
  <c r="AL145" i="21" s="1"/>
  <c r="AM137" i="21" s="1"/>
  <c r="AM138" i="21" s="1"/>
  <c r="AM178" i="21"/>
  <c r="AN175" i="21" s="1"/>
  <c r="Y158" i="21"/>
  <c r="Z155" i="21" s="1"/>
  <c r="AL164" i="21"/>
  <c r="AK161" i="21"/>
  <c r="AD38" i="21"/>
  <c r="AD39" i="21" s="1"/>
  <c r="AD41" i="21" s="1"/>
  <c r="AE33" i="21" s="1"/>
  <c r="AE43" i="21" s="1"/>
  <c r="AE44" i="21" s="1"/>
  <c r="J36" i="8"/>
  <c r="K90" i="8"/>
  <c r="AF23" i="21"/>
  <c r="AF24" i="21" s="1"/>
  <c r="AG11" i="21"/>
  <c r="AG14" i="21" s="1"/>
  <c r="P54" i="21"/>
  <c r="AG140" i="1"/>
  <c r="AG142" i="1" s="1"/>
  <c r="AG144" i="1" s="1"/>
  <c r="AG20" i="8" s="1"/>
  <c r="T133" i="1"/>
  <c r="T135" i="1" s="1"/>
  <c r="T137" i="1" s="1"/>
  <c r="T19" i="8" s="1"/>
  <c r="T33" i="8" s="1"/>
  <c r="AE61" i="8"/>
  <c r="AF146" i="8"/>
  <c r="AF148" i="8" s="1"/>
  <c r="AF123" i="8"/>
  <c r="AF125" i="8" s="1"/>
  <c r="AE54" i="8"/>
  <c r="AE55" i="8" s="1"/>
  <c r="AG118" i="8"/>
  <c r="AF120" i="8"/>
  <c r="AF53" i="8" s="1"/>
  <c r="AE111" i="8"/>
  <c r="AE113" i="8" s="1"/>
  <c r="AD44" i="8"/>
  <c r="AE100" i="8"/>
  <c r="AE102" i="8" s="1"/>
  <c r="AD38" i="8"/>
  <c r="AG85" i="11"/>
  <c r="AG105" i="11" s="1"/>
  <c r="AG106" i="11" s="1"/>
  <c r="AH84" i="11"/>
  <c r="AH104" i="11" s="1"/>
  <c r="AG95" i="1" s="1"/>
  <c r="AI80" i="11"/>
  <c r="AI83" i="11" s="1"/>
  <c r="AM156" i="21" s="1"/>
  <c r="AG126" i="1"/>
  <c r="AH91" i="1"/>
  <c r="AG93" i="1"/>
  <c r="AH7" i="9"/>
  <c r="AG75" i="9"/>
  <c r="AJ22" i="11"/>
  <c r="AH7" i="10"/>
  <c r="AH16" i="8"/>
  <c r="AH84" i="8" s="1"/>
  <c r="AM142" i="21" l="1"/>
  <c r="AM143" i="21" s="1"/>
  <c r="AM145" i="21" s="1"/>
  <c r="AN137" i="21" s="1"/>
  <c r="AM147" i="21"/>
  <c r="AM148" i="21" s="1"/>
  <c r="AN135" i="21"/>
  <c r="AM182" i="21"/>
  <c r="AM183" i="21" s="1"/>
  <c r="AM185" i="21" s="1"/>
  <c r="AN177" i="21" s="1"/>
  <c r="AN178" i="21" s="1"/>
  <c r="AN187" i="21" s="1"/>
  <c r="AM187" i="21"/>
  <c r="AM188" i="21" s="1"/>
  <c r="Y162" i="21"/>
  <c r="Y163" i="21" s="1"/>
  <c r="Y165" i="21" s="1"/>
  <c r="Z157" i="21" s="1"/>
  <c r="Z158" i="21" s="1"/>
  <c r="Y167" i="21"/>
  <c r="Y168" i="21" s="1"/>
  <c r="AM164" i="21"/>
  <c r="AL161" i="21"/>
  <c r="K91" i="8"/>
  <c r="K92" i="8" s="1"/>
  <c r="K19" i="10"/>
  <c r="AE34" i="21"/>
  <c r="AE38" i="21" s="1"/>
  <c r="AE39" i="21" s="1"/>
  <c r="AE41" i="21" s="1"/>
  <c r="AF33" i="21" s="1"/>
  <c r="AF43" i="21" s="1"/>
  <c r="AF44" i="21" s="1"/>
  <c r="P58" i="21"/>
  <c r="P59" i="21" s="1"/>
  <c r="P61" i="21" s="1"/>
  <c r="Q53" i="21" s="1"/>
  <c r="Q63" i="21" s="1"/>
  <c r="Q64" i="21" s="1"/>
  <c r="Q212" i="21" s="1"/>
  <c r="L88" i="9" s="1"/>
  <c r="Q51" i="21"/>
  <c r="AH11" i="21"/>
  <c r="AG18" i="21"/>
  <c r="AG19" i="21" s="1"/>
  <c r="AG21" i="21" s="1"/>
  <c r="AH13" i="21" s="1"/>
  <c r="AG23" i="21"/>
  <c r="AG24" i="21" s="1"/>
  <c r="AH140" i="1"/>
  <c r="AH142" i="1" s="1"/>
  <c r="AH144" i="1" s="1"/>
  <c r="AH20" i="8" s="1"/>
  <c r="AF61" i="8"/>
  <c r="AG146" i="8"/>
  <c r="AG148" i="8" s="1"/>
  <c r="AF54" i="8"/>
  <c r="AF55" i="8" s="1"/>
  <c r="AG123" i="8"/>
  <c r="AG125" i="8" s="1"/>
  <c r="AG120" i="8"/>
  <c r="AG53" i="8" s="1"/>
  <c r="AH118" i="8"/>
  <c r="AE44" i="8"/>
  <c r="AF111" i="8"/>
  <c r="AF113" i="8" s="1"/>
  <c r="AE38" i="8"/>
  <c r="AF100" i="8"/>
  <c r="AF102" i="8" s="1"/>
  <c r="AH85" i="11"/>
  <c r="AH105" i="11" s="1"/>
  <c r="AH106" i="11" s="1"/>
  <c r="AI84" i="11"/>
  <c r="AI104" i="11" s="1"/>
  <c r="AH95" i="1" s="1"/>
  <c r="AJ80" i="11"/>
  <c r="AJ83" i="11" s="1"/>
  <c r="AN156" i="21" s="1"/>
  <c r="AI91" i="1"/>
  <c r="AH126" i="1"/>
  <c r="AH93" i="1"/>
  <c r="AK22" i="11"/>
  <c r="AI7" i="10"/>
  <c r="AI16" i="8"/>
  <c r="AI84" i="8" s="1"/>
  <c r="AH75" i="9"/>
  <c r="AI7" i="9"/>
  <c r="AN188" i="21" l="1"/>
  <c r="AN138" i="21"/>
  <c r="AO175" i="21"/>
  <c r="AN182" i="21"/>
  <c r="AN183" i="21" s="1"/>
  <c r="AN185" i="21" s="1"/>
  <c r="AO177" i="21" s="1"/>
  <c r="Z167" i="21"/>
  <c r="Z168" i="21" s="1"/>
  <c r="AA155" i="21"/>
  <c r="Z162" i="21"/>
  <c r="Z163" i="21" s="1"/>
  <c r="Z165" i="21" s="1"/>
  <c r="AA157" i="21" s="1"/>
  <c r="AN164" i="21"/>
  <c r="AM161" i="21"/>
  <c r="AF31" i="21"/>
  <c r="AF34" i="21" s="1"/>
  <c r="AF38" i="21" s="1"/>
  <c r="AF39" i="21" s="1"/>
  <c r="AF41" i="21" s="1"/>
  <c r="AG33" i="21" s="1"/>
  <c r="AG43" i="21" s="1"/>
  <c r="AG44" i="21" s="1"/>
  <c r="K36" i="8"/>
  <c r="L90" i="8"/>
  <c r="AH14" i="21"/>
  <c r="Q54" i="21"/>
  <c r="AI140" i="1"/>
  <c r="AI142" i="1" s="1"/>
  <c r="AI144" i="1" s="1"/>
  <c r="AI20" i="8" s="1"/>
  <c r="U133" i="1"/>
  <c r="U135" i="1" s="1"/>
  <c r="U137" i="1" s="1"/>
  <c r="U19" i="8" s="1"/>
  <c r="U33" i="8" s="1"/>
  <c r="AH146" i="8"/>
  <c r="AH148" i="8" s="1"/>
  <c r="AG61" i="8"/>
  <c r="AH123" i="8"/>
  <c r="AH125" i="8" s="1"/>
  <c r="AG54" i="8"/>
  <c r="AG55" i="8" s="1"/>
  <c r="AF44" i="8"/>
  <c r="AG111" i="8"/>
  <c r="AG113" i="8" s="1"/>
  <c r="AH120" i="8"/>
  <c r="AH53" i="8" s="1"/>
  <c r="AI118" i="8"/>
  <c r="AG100" i="8"/>
  <c r="AG102" i="8" s="1"/>
  <c r="AF38" i="8"/>
  <c r="AI85" i="11"/>
  <c r="AI105" i="11" s="1"/>
  <c r="AI106" i="11" s="1"/>
  <c r="AJ84" i="11"/>
  <c r="AJ104" i="11" s="1"/>
  <c r="AI95" i="1" s="1"/>
  <c r="AK80" i="11"/>
  <c r="AK83" i="11" s="1"/>
  <c r="AO156" i="21" s="1"/>
  <c r="AI93" i="1"/>
  <c r="AI126" i="1"/>
  <c r="AJ91" i="1"/>
  <c r="AL22" i="11"/>
  <c r="AJ7" i="10"/>
  <c r="AJ16" i="8"/>
  <c r="AJ84" i="8" s="1"/>
  <c r="AJ7" i="9"/>
  <c r="AI75" i="9"/>
  <c r="AA158" i="21" l="1"/>
  <c r="AA162" i="21" s="1"/>
  <c r="AA163" i="21" s="1"/>
  <c r="AA165" i="21" s="1"/>
  <c r="AB157" i="21" s="1"/>
  <c r="AO135" i="21"/>
  <c r="AN142" i="21"/>
  <c r="AN143" i="21" s="1"/>
  <c r="AN145" i="21" s="1"/>
  <c r="AO137" i="21" s="1"/>
  <c r="AN147" i="21"/>
  <c r="AN148" i="21" s="1"/>
  <c r="AO178" i="21"/>
  <c r="AO182" i="21" s="1"/>
  <c r="AO183" i="21" s="1"/>
  <c r="AO185" i="21" s="1"/>
  <c r="AP177" i="21" s="1"/>
  <c r="AO164" i="21"/>
  <c r="AN161" i="21"/>
  <c r="L19" i="10"/>
  <c r="L91" i="8"/>
  <c r="L92" i="8" s="1"/>
  <c r="M90" i="8" s="1"/>
  <c r="AG31" i="21"/>
  <c r="AG34" i="21" s="1"/>
  <c r="AG38" i="21" s="1"/>
  <c r="AG39" i="21" s="1"/>
  <c r="AG41" i="21" s="1"/>
  <c r="AH33" i="21" s="1"/>
  <c r="AH43" i="21" s="1"/>
  <c r="AH44" i="21" s="1"/>
  <c r="R51" i="21"/>
  <c r="Q58" i="21"/>
  <c r="Q59" i="21" s="1"/>
  <c r="Q61" i="21" s="1"/>
  <c r="R53" i="21" s="1"/>
  <c r="R63" i="21" s="1"/>
  <c r="R64" i="21" s="1"/>
  <c r="R212" i="21" s="1"/>
  <c r="M88" i="9" s="1"/>
  <c r="AH18" i="21"/>
  <c r="AH19" i="21" s="1"/>
  <c r="AH21" i="21" s="1"/>
  <c r="AI13" i="21" s="1"/>
  <c r="AI11" i="21"/>
  <c r="AH23" i="21"/>
  <c r="AH24" i="21" s="1"/>
  <c r="AJ140" i="1"/>
  <c r="AJ142" i="1" s="1"/>
  <c r="AJ144" i="1" s="1"/>
  <c r="AJ20" i="8" s="1"/>
  <c r="AI146" i="8"/>
  <c r="AI148" i="8" s="1"/>
  <c r="AH61" i="8"/>
  <c r="AI123" i="8"/>
  <c r="AI125" i="8" s="1"/>
  <c r="AH54" i="8"/>
  <c r="AH55" i="8" s="1"/>
  <c r="AH111" i="8"/>
  <c r="AH113" i="8" s="1"/>
  <c r="AG44" i="8"/>
  <c r="AH100" i="8"/>
  <c r="AH102" i="8" s="1"/>
  <c r="AG38" i="8"/>
  <c r="AJ118" i="8"/>
  <c r="AI120" i="8"/>
  <c r="AI53" i="8" s="1"/>
  <c r="AJ85" i="11"/>
  <c r="AJ105" i="11" s="1"/>
  <c r="AJ106" i="11" s="1"/>
  <c r="AK84" i="11"/>
  <c r="AK104" i="11" s="1"/>
  <c r="AJ95" i="1" s="1"/>
  <c r="AL80" i="11"/>
  <c r="AL83" i="11" s="1"/>
  <c r="AP156" i="21" s="1"/>
  <c r="AK91" i="1"/>
  <c r="AJ93" i="1"/>
  <c r="AJ126" i="1"/>
  <c r="AK7" i="9"/>
  <c r="AJ75" i="9"/>
  <c r="AM22" i="11"/>
  <c r="AN22" i="11" s="1"/>
  <c r="AK16" i="8"/>
  <c r="AK84" i="8" s="1"/>
  <c r="AK7" i="10"/>
  <c r="AB155" i="21" l="1"/>
  <c r="AB158" i="21" s="1"/>
  <c r="AA167" i="21"/>
  <c r="AA168" i="21" s="1"/>
  <c r="AO138" i="21"/>
  <c r="AO187" i="21"/>
  <c r="AO188" i="21" s="1"/>
  <c r="AP175" i="21"/>
  <c r="AP178" i="21" s="1"/>
  <c r="AP164" i="21"/>
  <c r="AO161" i="21"/>
  <c r="AH31" i="21"/>
  <c r="AH34" i="21" s="1"/>
  <c r="AH38" i="21" s="1"/>
  <c r="AH39" i="21" s="1"/>
  <c r="AH41" i="21" s="1"/>
  <c r="AI33" i="21" s="1"/>
  <c r="AI43" i="21" s="1"/>
  <c r="AI44" i="21" s="1"/>
  <c r="L36" i="8"/>
  <c r="R54" i="21"/>
  <c r="AI14" i="21"/>
  <c r="AK140" i="1"/>
  <c r="AK142" i="1" s="1"/>
  <c r="AK144" i="1" s="1"/>
  <c r="AK20" i="8" s="1"/>
  <c r="V133" i="1"/>
  <c r="V135" i="1" s="1"/>
  <c r="V137" i="1" s="1"/>
  <c r="V19" i="8" s="1"/>
  <c r="V33" i="8" s="1"/>
  <c r="AI61" i="8"/>
  <c r="AJ146" i="8"/>
  <c r="AJ148" i="8" s="1"/>
  <c r="AI54" i="8"/>
  <c r="AI55" i="8" s="1"/>
  <c r="AJ123" i="8"/>
  <c r="AJ125" i="8" s="1"/>
  <c r="AK118" i="8"/>
  <c r="AJ120" i="8"/>
  <c r="AJ53" i="8" s="1"/>
  <c r="AI111" i="8"/>
  <c r="AI113" i="8" s="1"/>
  <c r="AH44" i="8"/>
  <c r="AI100" i="8"/>
  <c r="AI102" i="8" s="1"/>
  <c r="AH38" i="8"/>
  <c r="AK85" i="11"/>
  <c r="AK105" i="11" s="1"/>
  <c r="AK106" i="11" s="1"/>
  <c r="AL84" i="11"/>
  <c r="AL104" i="11" s="1"/>
  <c r="AK95" i="1" s="1"/>
  <c r="AM80" i="11"/>
  <c r="AM83" i="11" s="1"/>
  <c r="AQ156" i="21" s="1"/>
  <c r="AL91" i="1"/>
  <c r="AM91" i="1" s="1"/>
  <c r="AK93" i="1"/>
  <c r="AK126" i="1"/>
  <c r="AL16" i="8"/>
  <c r="AL84" i="8" s="1"/>
  <c r="AL7" i="10"/>
  <c r="AK75" i="9"/>
  <c r="AL7" i="9"/>
  <c r="AM7" i="9" s="1"/>
  <c r="AP135" i="21" l="1"/>
  <c r="AO142" i="21"/>
  <c r="AO143" i="21" s="1"/>
  <c r="AO145" i="21" s="1"/>
  <c r="AP137" i="21" s="1"/>
  <c r="AO147" i="21"/>
  <c r="AO148" i="21" s="1"/>
  <c r="AQ175" i="21"/>
  <c r="AP182" i="21"/>
  <c r="AP183" i="21" s="1"/>
  <c r="AP185" i="21" s="1"/>
  <c r="AQ177" i="21" s="1"/>
  <c r="AP187" i="21"/>
  <c r="AP188" i="21" s="1"/>
  <c r="AQ164" i="21"/>
  <c r="AP161" i="21"/>
  <c r="AB167" i="21"/>
  <c r="AB168" i="21" s="1"/>
  <c r="AB162" i="21"/>
  <c r="AB163" i="21" s="1"/>
  <c r="AB165" i="21" s="1"/>
  <c r="AC157" i="21" s="1"/>
  <c r="AC155" i="21"/>
  <c r="M19" i="10"/>
  <c r="M91" i="8"/>
  <c r="M92" i="8" s="1"/>
  <c r="N90" i="8" s="1"/>
  <c r="AI31" i="21"/>
  <c r="AI34" i="21" s="1"/>
  <c r="AJ11" i="21"/>
  <c r="AI18" i="21"/>
  <c r="AI19" i="21" s="1"/>
  <c r="AI21" i="21" s="1"/>
  <c r="AJ13" i="21" s="1"/>
  <c r="AI23" i="21"/>
  <c r="AI24" i="21" s="1"/>
  <c r="S51" i="21"/>
  <c r="R58" i="21"/>
  <c r="R59" i="21" s="1"/>
  <c r="R61" i="21" s="1"/>
  <c r="S53" i="21" s="1"/>
  <c r="S63" i="21" s="1"/>
  <c r="S64" i="21" s="1"/>
  <c r="S212" i="21" s="1"/>
  <c r="N88" i="9" s="1"/>
  <c r="AL140" i="1"/>
  <c r="AL142" i="1" s="1"/>
  <c r="AL144" i="1" s="1"/>
  <c r="AL20" i="8" s="1"/>
  <c r="AK146" i="8"/>
  <c r="AK148" i="8" s="1"/>
  <c r="AJ61" i="8"/>
  <c r="AK123" i="8"/>
  <c r="AK125" i="8" s="1"/>
  <c r="AJ54" i="8"/>
  <c r="AJ55" i="8" s="1"/>
  <c r="AI38" i="8"/>
  <c r="AJ100" i="8"/>
  <c r="AJ102" i="8" s="1"/>
  <c r="AI44" i="8"/>
  <c r="AJ111" i="8"/>
  <c r="AJ113" i="8" s="1"/>
  <c r="AK120" i="8"/>
  <c r="AK53" i="8" s="1"/>
  <c r="AL118" i="8"/>
  <c r="AL85" i="11"/>
  <c r="AL105" i="11" s="1"/>
  <c r="AL106" i="11" s="1"/>
  <c r="AM84" i="11"/>
  <c r="AM104" i="11" s="1"/>
  <c r="AL95" i="1" s="1"/>
  <c r="AN80" i="11"/>
  <c r="AN83" i="11" s="1"/>
  <c r="AL126" i="1"/>
  <c r="AL93" i="1"/>
  <c r="AM75" i="9"/>
  <c r="AL75" i="9"/>
  <c r="AM16" i="8"/>
  <c r="AM7" i="10"/>
  <c r="AQ178" i="21" l="1"/>
  <c r="AQ187" i="21" s="1"/>
  <c r="AQ188" i="21" s="1"/>
  <c r="AP138" i="21"/>
  <c r="AC158" i="21"/>
  <c r="AC167" i="21" s="1"/>
  <c r="AC168" i="21" s="1"/>
  <c r="AN84" i="11"/>
  <c r="AN104" i="11" s="1"/>
  <c r="AM95" i="1" s="1"/>
  <c r="AR156" i="21"/>
  <c r="M36" i="8"/>
  <c r="AJ31" i="21"/>
  <c r="AI38" i="21"/>
  <c r="AI39" i="21" s="1"/>
  <c r="AI41" i="21" s="1"/>
  <c r="AJ33" i="21" s="1"/>
  <c r="AJ14" i="21"/>
  <c r="AJ18" i="21" s="1"/>
  <c r="AJ19" i="21" s="1"/>
  <c r="AJ21" i="21" s="1"/>
  <c r="AK13" i="21" s="1"/>
  <c r="S54" i="21"/>
  <c r="AM140" i="1"/>
  <c r="AM142" i="1" s="1"/>
  <c r="AM144" i="1" s="1"/>
  <c r="AM20" i="8" s="1"/>
  <c r="W133" i="1"/>
  <c r="W135" i="1" s="1"/>
  <c r="W137" i="1" s="1"/>
  <c r="W19" i="8" s="1"/>
  <c r="W33" i="8" s="1"/>
  <c r="AL146" i="8"/>
  <c r="AL148" i="8" s="1"/>
  <c r="AK61" i="8"/>
  <c r="AL123" i="8"/>
  <c r="AL125" i="8" s="1"/>
  <c r="AK54" i="8"/>
  <c r="AK55" i="8" s="1"/>
  <c r="AL120" i="8"/>
  <c r="AL53" i="8" s="1"/>
  <c r="AM118" i="8"/>
  <c r="AM120" i="8" s="1"/>
  <c r="AM53" i="8" s="1"/>
  <c r="AK111" i="8"/>
  <c r="AK113" i="8" s="1"/>
  <c r="AJ44" i="8"/>
  <c r="AK100" i="8"/>
  <c r="AK102" i="8" s="1"/>
  <c r="AJ38" i="8"/>
  <c r="AM85" i="11"/>
  <c r="AM105" i="11" s="1"/>
  <c r="AM106" i="11" s="1"/>
  <c r="AM93" i="1"/>
  <c r="AM126" i="1"/>
  <c r="AM84" i="8"/>
  <c r="G53" i="2"/>
  <c r="AR175" i="21" l="1"/>
  <c r="AQ182" i="21"/>
  <c r="AQ183" i="21" s="1"/>
  <c r="AQ185" i="21" s="1"/>
  <c r="AR177" i="21" s="1"/>
  <c r="AJ34" i="21"/>
  <c r="AK31" i="21" s="1"/>
  <c r="AC162" i="21"/>
  <c r="AC163" i="21" s="1"/>
  <c r="AC165" i="21" s="1"/>
  <c r="AD157" i="21" s="1"/>
  <c r="AD155" i="21"/>
  <c r="AQ135" i="21"/>
  <c r="AP142" i="21"/>
  <c r="AP143" i="21" s="1"/>
  <c r="AP145" i="21" s="1"/>
  <c r="AQ137" i="21" s="1"/>
  <c r="AP147" i="21"/>
  <c r="AP148" i="21" s="1"/>
  <c r="AN85" i="11"/>
  <c r="AN105" i="11" s="1"/>
  <c r="AN106" i="11" s="1"/>
  <c r="AR164" i="21"/>
  <c r="AR161" i="21"/>
  <c r="AQ161" i="21"/>
  <c r="N91" i="8"/>
  <c r="N92" i="8" s="1"/>
  <c r="N36" i="8" s="1"/>
  <c r="N19" i="10"/>
  <c r="AJ43" i="21"/>
  <c r="AJ44" i="21" s="1"/>
  <c r="AK11" i="21"/>
  <c r="AK14" i="21" s="1"/>
  <c r="AL11" i="21" s="1"/>
  <c r="AJ23" i="21"/>
  <c r="AJ24" i="21" s="1"/>
  <c r="T51" i="21"/>
  <c r="S58" i="21"/>
  <c r="S59" i="21" s="1"/>
  <c r="S61" i="21" s="1"/>
  <c r="T53" i="21" s="1"/>
  <c r="T63" i="21" s="1"/>
  <c r="T64" i="21" s="1"/>
  <c r="T212" i="21" s="1"/>
  <c r="O88" i="9" s="1"/>
  <c r="AJ38" i="21"/>
  <c r="AJ39" i="21" s="1"/>
  <c r="AJ41" i="21" s="1"/>
  <c r="AK33" i="21" s="1"/>
  <c r="AK43" i="21" s="1"/>
  <c r="G58" i="2"/>
  <c r="AM146" i="8"/>
  <c r="AM148" i="8" s="1"/>
  <c r="AM61" i="8" s="1"/>
  <c r="G87" i="2" s="1"/>
  <c r="AL61" i="8"/>
  <c r="AL54" i="8"/>
  <c r="AL55" i="8" s="1"/>
  <c r="AM123" i="8"/>
  <c r="AM125" i="8" s="1"/>
  <c r="AM54" i="8" s="1"/>
  <c r="G80" i="2" s="1"/>
  <c r="AK38" i="8"/>
  <c r="AL100" i="8"/>
  <c r="AL102" i="8" s="1"/>
  <c r="AL111" i="8"/>
  <c r="AL113" i="8" s="1"/>
  <c r="AK44" i="8"/>
  <c r="G79" i="2"/>
  <c r="G155" i="2"/>
  <c r="G145" i="2"/>
  <c r="AR178" i="21" l="1"/>
  <c r="AR187" i="21" s="1"/>
  <c r="AR188" i="21" s="1"/>
  <c r="AD158" i="21"/>
  <c r="AD167" i="21" s="1"/>
  <c r="AD168" i="21" s="1"/>
  <c r="AQ138" i="21"/>
  <c r="O90" i="8"/>
  <c r="AK44" i="21"/>
  <c r="AK18" i="21"/>
  <c r="AK19" i="21" s="1"/>
  <c r="AK21" i="21" s="1"/>
  <c r="AL13" i="21" s="1"/>
  <c r="AL14" i="21" s="1"/>
  <c r="AK23" i="21"/>
  <c r="AK24" i="21" s="1"/>
  <c r="AK34" i="21"/>
  <c r="AK38" i="21" s="1"/>
  <c r="AK39" i="21" s="1"/>
  <c r="AK41" i="21" s="1"/>
  <c r="AL33" i="21" s="1"/>
  <c r="AL43" i="21" s="1"/>
  <c r="AL44" i="21" s="1"/>
  <c r="T54" i="21"/>
  <c r="X133" i="1"/>
  <c r="X135" i="1" s="1"/>
  <c r="X137" i="1" s="1"/>
  <c r="X19" i="8" s="1"/>
  <c r="X33" i="8" s="1"/>
  <c r="AM55" i="8"/>
  <c r="G81" i="2" s="1"/>
  <c r="AM100" i="8"/>
  <c r="AM102" i="8" s="1"/>
  <c r="AM38" i="8" s="1"/>
  <c r="G64" i="2" s="1"/>
  <c r="AL38" i="8"/>
  <c r="AM111" i="8"/>
  <c r="AM113" i="8" s="1"/>
  <c r="AM44" i="8" s="1"/>
  <c r="G70" i="2" s="1"/>
  <c r="AL44" i="8"/>
  <c r="AR182" i="21" l="1"/>
  <c r="AR183" i="21" s="1"/>
  <c r="AR185" i="21" s="1"/>
  <c r="AE155" i="21"/>
  <c r="AD162" i="21"/>
  <c r="AD163" i="21" s="1"/>
  <c r="AD165" i="21" s="1"/>
  <c r="AE157" i="21" s="1"/>
  <c r="AE158" i="21" s="1"/>
  <c r="AE167" i="21" s="1"/>
  <c r="AE168" i="21" s="1"/>
  <c r="AR135" i="21"/>
  <c r="AQ142" i="21"/>
  <c r="AQ143" i="21" s="1"/>
  <c r="AQ145" i="21" s="1"/>
  <c r="AR137" i="21" s="1"/>
  <c r="AQ147" i="21"/>
  <c r="AQ148" i="21" s="1"/>
  <c r="O19" i="10"/>
  <c r="O91" i="8"/>
  <c r="O92" i="8" s="1"/>
  <c r="O36" i="8" s="1"/>
  <c r="E62" i="2" s="1"/>
  <c r="AL23" i="21"/>
  <c r="AL24" i="21" s="1"/>
  <c r="AM11" i="21"/>
  <c r="AL18" i="21"/>
  <c r="AL19" i="21" s="1"/>
  <c r="AL21" i="21" s="1"/>
  <c r="AM13" i="21" s="1"/>
  <c r="AL31" i="21"/>
  <c r="AL34" i="21" s="1"/>
  <c r="T58" i="21"/>
  <c r="T59" i="21" s="1"/>
  <c r="T61" i="21" s="1"/>
  <c r="U53" i="21" s="1"/>
  <c r="U63" i="21" s="1"/>
  <c r="U64" i="21" s="1"/>
  <c r="U212" i="21" s="1"/>
  <c r="P88" i="9" s="1"/>
  <c r="U51" i="21"/>
  <c r="Y133" i="1"/>
  <c r="Y135" i="1" s="1"/>
  <c r="Y137" i="1" s="1"/>
  <c r="Y19" i="8" s="1"/>
  <c r="Y33" i="8" s="1"/>
  <c r="AR138" i="21" l="1"/>
  <c r="AE162" i="21"/>
  <c r="AE163" i="21" s="1"/>
  <c r="AE165" i="21" s="1"/>
  <c r="AF157" i="21" s="1"/>
  <c r="AF155" i="21"/>
  <c r="P90" i="8"/>
  <c r="AM14" i="21"/>
  <c r="AN11" i="21" s="1"/>
  <c r="AM31" i="21"/>
  <c r="AL38" i="21"/>
  <c r="AL39" i="21" s="1"/>
  <c r="AL41" i="21" s="1"/>
  <c r="AM33" i="21" s="1"/>
  <c r="AM43" i="21" s="1"/>
  <c r="AM44" i="21" s="1"/>
  <c r="U54" i="21"/>
  <c r="Z133" i="1"/>
  <c r="Z135" i="1" s="1"/>
  <c r="Z137" i="1" s="1"/>
  <c r="Z19" i="8" s="1"/>
  <c r="Z33" i="8" s="1"/>
  <c r="AR142" i="21" l="1"/>
  <c r="AR143" i="21" s="1"/>
  <c r="AR145" i="21" s="1"/>
  <c r="AR147" i="21"/>
  <c r="AR148" i="21" s="1"/>
  <c r="AF158" i="21"/>
  <c r="AF167" i="21" s="1"/>
  <c r="AF168" i="21" s="1"/>
  <c r="P91" i="8"/>
  <c r="P92" i="8" s="1"/>
  <c r="P36" i="8" s="1"/>
  <c r="P19" i="10"/>
  <c r="AM18" i="21"/>
  <c r="AM19" i="21" s="1"/>
  <c r="AM21" i="21" s="1"/>
  <c r="AN13" i="21" s="1"/>
  <c r="AN14" i="21" s="1"/>
  <c r="AN18" i="21" s="1"/>
  <c r="AN19" i="21" s="1"/>
  <c r="AN21" i="21" s="1"/>
  <c r="AO13" i="21" s="1"/>
  <c r="AM23" i="21"/>
  <c r="AM24" i="21" s="1"/>
  <c r="U58" i="21"/>
  <c r="U59" i="21" s="1"/>
  <c r="U61" i="21" s="1"/>
  <c r="V53" i="21" s="1"/>
  <c r="V63" i="21" s="1"/>
  <c r="V64" i="21" s="1"/>
  <c r="V212" i="21" s="1"/>
  <c r="Q88" i="9" s="1"/>
  <c r="V51" i="21"/>
  <c r="AM34" i="21"/>
  <c r="AA133" i="1"/>
  <c r="AA135" i="1" s="1"/>
  <c r="AA137" i="1" s="1"/>
  <c r="AA19" i="8" s="1"/>
  <c r="AA33" i="8" s="1"/>
  <c r="AG155" i="21" l="1"/>
  <c r="AF162" i="21"/>
  <c r="AF163" i="21" s="1"/>
  <c r="AF165" i="21" s="1"/>
  <c r="AG157" i="21" s="1"/>
  <c r="Q90" i="8"/>
  <c r="AN23" i="21"/>
  <c r="AN24" i="21" s="1"/>
  <c r="AO11" i="21"/>
  <c r="AO14" i="21" s="1"/>
  <c r="AN31" i="21"/>
  <c r="AM38" i="21"/>
  <c r="AM39" i="21" s="1"/>
  <c r="AM41" i="21" s="1"/>
  <c r="AN33" i="21" s="1"/>
  <c r="AN43" i="21" s="1"/>
  <c r="AN44" i="21" s="1"/>
  <c r="V54" i="21"/>
  <c r="AB133" i="1"/>
  <c r="AB135" i="1" s="1"/>
  <c r="AB137" i="1" s="1"/>
  <c r="AB19" i="8" s="1"/>
  <c r="AB33" i="8" s="1"/>
  <c r="AG158" i="21" l="1"/>
  <c r="Q19" i="10"/>
  <c r="Q91" i="8"/>
  <c r="Q92" i="8" s="1"/>
  <c r="Q36" i="8" s="1"/>
  <c r="AO18" i="21"/>
  <c r="AO19" i="21" s="1"/>
  <c r="AO21" i="21" s="1"/>
  <c r="AP13" i="21" s="1"/>
  <c r="AO23" i="21"/>
  <c r="AO24" i="21" s="1"/>
  <c r="AP11" i="21"/>
  <c r="AN34" i="21"/>
  <c r="V58" i="21"/>
  <c r="V59" i="21" s="1"/>
  <c r="V61" i="21" s="1"/>
  <c r="W53" i="21" s="1"/>
  <c r="W63" i="21" s="1"/>
  <c r="W64" i="21" s="1"/>
  <c r="W212" i="21" s="1"/>
  <c r="R88" i="9" s="1"/>
  <c r="W51" i="21"/>
  <c r="F57" i="2"/>
  <c r="F59" i="2"/>
  <c r="D210" i="2" s="1"/>
  <c r="AH155" i="21" l="1"/>
  <c r="AG167" i="21"/>
  <c r="AG168" i="21" s="1"/>
  <c r="AG162" i="21"/>
  <c r="AG163" i="21" s="1"/>
  <c r="AG165" i="21" s="1"/>
  <c r="AH157" i="21" s="1"/>
  <c r="R90" i="8"/>
  <c r="AP14" i="21"/>
  <c r="AP18" i="21" s="1"/>
  <c r="AP19" i="21" s="1"/>
  <c r="AP21" i="21" s="1"/>
  <c r="AQ13" i="21" s="1"/>
  <c r="W54" i="21"/>
  <c r="AN38" i="21"/>
  <c r="AN39" i="21" s="1"/>
  <c r="AN41" i="21" s="1"/>
  <c r="AO33" i="21" s="1"/>
  <c r="AO43" i="21" s="1"/>
  <c r="AO44" i="21" s="1"/>
  <c r="AO31" i="21"/>
  <c r="AC133" i="1"/>
  <c r="AC135" i="1" s="1"/>
  <c r="AC137" i="1" s="1"/>
  <c r="AC19" i="8" s="1"/>
  <c r="AC33" i="8" s="1"/>
  <c r="AH158" i="21" l="1"/>
  <c r="AH162" i="21" s="1"/>
  <c r="AH163" i="21" s="1"/>
  <c r="AH165" i="21" s="1"/>
  <c r="AI157" i="21" s="1"/>
  <c r="R19" i="10"/>
  <c r="R91" i="8"/>
  <c r="R92" i="8" s="1"/>
  <c r="S90" i="8" s="1"/>
  <c r="AQ11" i="21"/>
  <c r="AQ14" i="21" s="1"/>
  <c r="AP23" i="21"/>
  <c r="AP24" i="21" s="1"/>
  <c r="X51" i="21"/>
  <c r="W58" i="21"/>
  <c r="W59" i="21" s="1"/>
  <c r="W61" i="21" s="1"/>
  <c r="X53" i="21" s="1"/>
  <c r="AO34" i="21"/>
  <c r="AD133" i="1"/>
  <c r="AD135" i="1" s="1"/>
  <c r="AD137" i="1" s="1"/>
  <c r="AD19" i="8" s="1"/>
  <c r="AD33" i="8" s="1"/>
  <c r="AI155" i="21" l="1"/>
  <c r="AI158" i="21" s="1"/>
  <c r="AH167" i="21"/>
  <c r="AH168" i="21" s="1"/>
  <c r="R36" i="8"/>
  <c r="AQ18" i="21"/>
  <c r="AQ19" i="21" s="1"/>
  <c r="AQ21" i="21" s="1"/>
  <c r="AR13" i="21" s="1"/>
  <c r="AR11" i="21"/>
  <c r="AQ23" i="21"/>
  <c r="AQ24" i="21" s="1"/>
  <c r="X54" i="21"/>
  <c r="X63" i="21"/>
  <c r="X64" i="21" s="1"/>
  <c r="X212" i="21" s="1"/>
  <c r="S88" i="9" s="1"/>
  <c r="AO38" i="21"/>
  <c r="AO39" i="21" s="1"/>
  <c r="AO41" i="21" s="1"/>
  <c r="AP33" i="21" s="1"/>
  <c r="AP43" i="21" s="1"/>
  <c r="AP44" i="21" s="1"/>
  <c r="AP31" i="21"/>
  <c r="AE133" i="1"/>
  <c r="AE135" i="1" s="1"/>
  <c r="AE137" i="1" s="1"/>
  <c r="AE19" i="8" s="1"/>
  <c r="AE33" i="8" s="1"/>
  <c r="AI162" i="21" l="1"/>
  <c r="AI163" i="21" s="1"/>
  <c r="AI165" i="21" s="1"/>
  <c r="AJ157" i="21" s="1"/>
  <c r="AI167" i="21"/>
  <c r="AI168" i="21" s="1"/>
  <c r="AJ155" i="21"/>
  <c r="AP34" i="21"/>
  <c r="AQ31" i="21" s="1"/>
  <c r="AR14" i="21"/>
  <c r="X58" i="21"/>
  <c r="X59" i="21" s="1"/>
  <c r="X61" i="21" s="1"/>
  <c r="Y53" i="21" s="1"/>
  <c r="Y63" i="21" s="1"/>
  <c r="Y64" i="21" s="1"/>
  <c r="Y212" i="21" s="1"/>
  <c r="T88" i="9" s="1"/>
  <c r="Y51" i="21"/>
  <c r="AF133" i="1"/>
  <c r="AF135" i="1" s="1"/>
  <c r="AF137" i="1" s="1"/>
  <c r="AF19" i="8" s="1"/>
  <c r="AF33" i="8" s="1"/>
  <c r="AJ158" i="21" l="1"/>
  <c r="AK155" i="21" s="1"/>
  <c r="S19" i="10"/>
  <c r="S91" i="8"/>
  <c r="S92" i="8" s="1"/>
  <c r="S36" i="8" s="1"/>
  <c r="AP38" i="21"/>
  <c r="AP39" i="21" s="1"/>
  <c r="AP41" i="21" s="1"/>
  <c r="AQ33" i="21" s="1"/>
  <c r="AQ43" i="21" s="1"/>
  <c r="AQ44" i="21" s="1"/>
  <c r="AR18" i="21"/>
  <c r="AR19" i="21" s="1"/>
  <c r="AR21" i="21" s="1"/>
  <c r="AR23" i="21"/>
  <c r="AR24" i="21" s="1"/>
  <c r="Y54" i="21"/>
  <c r="AG133" i="1"/>
  <c r="AG135" i="1" s="1"/>
  <c r="AG137" i="1" s="1"/>
  <c r="AG19" i="8" s="1"/>
  <c r="AG33" i="8" s="1"/>
  <c r="AJ162" i="21" l="1"/>
  <c r="AJ163" i="21" s="1"/>
  <c r="AJ165" i="21" s="1"/>
  <c r="AK157" i="21" s="1"/>
  <c r="AK158" i="21" s="1"/>
  <c r="AJ167" i="21"/>
  <c r="AJ168" i="21" s="1"/>
  <c r="T90" i="8"/>
  <c r="T91" i="8"/>
  <c r="T19" i="10"/>
  <c r="AQ34" i="21"/>
  <c r="AR31" i="21" s="1"/>
  <c r="Y58" i="21"/>
  <c r="Y59" i="21" s="1"/>
  <c r="Y61" i="21" s="1"/>
  <c r="Z53" i="21" s="1"/>
  <c r="Z63" i="21" s="1"/>
  <c r="Z64" i="21" s="1"/>
  <c r="Z212" i="21" s="1"/>
  <c r="U88" i="9" s="1"/>
  <c r="Z51" i="21"/>
  <c r="AH133" i="1"/>
  <c r="AH135" i="1" s="1"/>
  <c r="AH137" i="1" s="1"/>
  <c r="AH19" i="8" s="1"/>
  <c r="AH33" i="8" s="1"/>
  <c r="AK167" i="21" l="1"/>
  <c r="AK168" i="21" s="1"/>
  <c r="AL155" i="21"/>
  <c r="AK162" i="21"/>
  <c r="AK163" i="21" s="1"/>
  <c r="AK165" i="21" s="1"/>
  <c r="AL157" i="21" s="1"/>
  <c r="T92" i="8"/>
  <c r="T36" i="8" s="1"/>
  <c r="AQ38" i="21"/>
  <c r="AQ39" i="21" s="1"/>
  <c r="AQ41" i="21" s="1"/>
  <c r="AR33" i="21" s="1"/>
  <c r="AR43" i="21" s="1"/>
  <c r="AR44" i="21" s="1"/>
  <c r="Z54" i="21"/>
  <c r="AA51" i="21" s="1"/>
  <c r="AI133" i="1"/>
  <c r="AI135" i="1" s="1"/>
  <c r="AI137" i="1" s="1"/>
  <c r="AI19" i="8" s="1"/>
  <c r="AI33" i="8" s="1"/>
  <c r="AL158" i="21" l="1"/>
  <c r="U90" i="8"/>
  <c r="U91" i="8"/>
  <c r="U19" i="10"/>
  <c r="AR34" i="21"/>
  <c r="AR38" i="21" s="1"/>
  <c r="AR39" i="21" s="1"/>
  <c r="AR41" i="21" s="1"/>
  <c r="Z58" i="21"/>
  <c r="Z59" i="21" s="1"/>
  <c r="Z61" i="21" s="1"/>
  <c r="AA53" i="21" s="1"/>
  <c r="AA54" i="21" s="1"/>
  <c r="AJ133" i="1"/>
  <c r="AJ135" i="1" s="1"/>
  <c r="AJ137" i="1" s="1"/>
  <c r="AJ19" i="8" s="1"/>
  <c r="AJ33" i="8" s="1"/>
  <c r="AL167" i="21" l="1"/>
  <c r="AL168" i="21" s="1"/>
  <c r="AM155" i="21"/>
  <c r="AL162" i="21"/>
  <c r="AL163" i="21" s="1"/>
  <c r="AL165" i="21" s="1"/>
  <c r="AM157" i="21" s="1"/>
  <c r="U92" i="8"/>
  <c r="U36" i="8" s="1"/>
  <c r="AA63" i="21"/>
  <c r="AA64" i="21" s="1"/>
  <c r="AA212" i="21" s="1"/>
  <c r="V88" i="9" s="1"/>
  <c r="AA58" i="21"/>
  <c r="AA59" i="21" s="1"/>
  <c r="AA61" i="21" s="1"/>
  <c r="AB53" i="21" s="1"/>
  <c r="AB63" i="21" s="1"/>
  <c r="AB51" i="21"/>
  <c r="AK133" i="1"/>
  <c r="AK135" i="1" s="1"/>
  <c r="AK137" i="1" s="1"/>
  <c r="AK19" i="8" s="1"/>
  <c r="AK33" i="8" s="1"/>
  <c r="AM158" i="21" l="1"/>
  <c r="V90" i="8"/>
  <c r="AB64" i="21"/>
  <c r="AB212" i="21" s="1"/>
  <c r="W88" i="9" s="1"/>
  <c r="AB54" i="21"/>
  <c r="AC51" i="21" s="1"/>
  <c r="AL133" i="1"/>
  <c r="AL135" i="1" s="1"/>
  <c r="AL137" i="1" s="1"/>
  <c r="AL19" i="8" s="1"/>
  <c r="AL33" i="8" s="1"/>
  <c r="AN155" i="21" l="1"/>
  <c r="AM167" i="21"/>
  <c r="AM168" i="21" s="1"/>
  <c r="AM162" i="21"/>
  <c r="AM163" i="21" s="1"/>
  <c r="AM165" i="21" s="1"/>
  <c r="AN157" i="21" s="1"/>
  <c r="V19" i="10"/>
  <c r="V91" i="8"/>
  <c r="V92" i="8" s="1"/>
  <c r="V36" i="8" s="1"/>
  <c r="AB58" i="21"/>
  <c r="AB59" i="21" s="1"/>
  <c r="AB61" i="21" s="1"/>
  <c r="AC53" i="21" s="1"/>
  <c r="AC54" i="21" s="1"/>
  <c r="AM133" i="1"/>
  <c r="AM135" i="1" s="1"/>
  <c r="AM137" i="1" s="1"/>
  <c r="AM19" i="8" s="1"/>
  <c r="AM33" i="8" s="1"/>
  <c r="AN158" i="21" l="1"/>
  <c r="W90" i="8"/>
  <c r="W19" i="10"/>
  <c r="W91" i="8"/>
  <c r="AC63" i="21"/>
  <c r="AC64" i="21" s="1"/>
  <c r="AC212" i="21" s="1"/>
  <c r="X88" i="9" s="1"/>
  <c r="AC58" i="21"/>
  <c r="AC59" i="21" s="1"/>
  <c r="AC61" i="21" s="1"/>
  <c r="AD53" i="21" s="1"/>
  <c r="AD63" i="21" s="1"/>
  <c r="AD51" i="21"/>
  <c r="G59" i="2"/>
  <c r="E210" i="2" s="1"/>
  <c r="AN167" i="21" l="1"/>
  <c r="AN168" i="21" s="1"/>
  <c r="AN162" i="21"/>
  <c r="AN163" i="21" s="1"/>
  <c r="AN165" i="21" s="1"/>
  <c r="AO157" i="21" s="1"/>
  <c r="AO155" i="21"/>
  <c r="W92" i="8"/>
  <c r="X90" i="8" s="1"/>
  <c r="G57" i="2"/>
  <c r="AD64" i="21"/>
  <c r="AD212" i="21" s="1"/>
  <c r="Y88" i="9" s="1"/>
  <c r="AD54" i="21"/>
  <c r="AE51" i="21" s="1"/>
  <c r="AO158" i="21" l="1"/>
  <c r="W36" i="8"/>
  <c r="X19" i="10"/>
  <c r="X91" i="8"/>
  <c r="X92" i="8" s="1"/>
  <c r="X36" i="8" s="1"/>
  <c r="AD58" i="21"/>
  <c r="AD59" i="21" s="1"/>
  <c r="AD61" i="21" s="1"/>
  <c r="AE53" i="21" s="1"/>
  <c r="AE63" i="21" s="1"/>
  <c r="AE64" i="21" s="1"/>
  <c r="AE212" i="21" s="1"/>
  <c r="Z88" i="9" s="1"/>
  <c r="AO162" i="21" l="1"/>
  <c r="AO163" i="21" s="1"/>
  <c r="AO165" i="21" s="1"/>
  <c r="AP157" i="21" s="1"/>
  <c r="AP155" i="21"/>
  <c r="AO167" i="21"/>
  <c r="AO168" i="21" s="1"/>
  <c r="Y90" i="8"/>
  <c r="Y91" i="8"/>
  <c r="Y19" i="10"/>
  <c r="AE54" i="21"/>
  <c r="AE58" i="21" s="1"/>
  <c r="AE59" i="21" s="1"/>
  <c r="AE61" i="21" s="1"/>
  <c r="AF53" i="21" s="1"/>
  <c r="AF63" i="21" s="1"/>
  <c r="AF64" i="21" s="1"/>
  <c r="AF212" i="21" s="1"/>
  <c r="AA88" i="9" s="1"/>
  <c r="G25" i="14"/>
  <c r="G26" i="14" s="1"/>
  <c r="C41" i="11" s="1"/>
  <c r="AP158" i="21" l="1"/>
  <c r="Y92" i="8"/>
  <c r="Y36" i="8" s="1"/>
  <c r="Z19" i="10"/>
  <c r="Z91" i="8"/>
  <c r="AF51" i="21"/>
  <c r="AF54" i="21" s="1"/>
  <c r="AG51" i="21" s="1"/>
  <c r="N41" i="11"/>
  <c r="N44" i="11" s="1"/>
  <c r="Q41" i="11"/>
  <c r="Q44" i="11" s="1"/>
  <c r="U41" i="11"/>
  <c r="U44" i="11" s="1"/>
  <c r="K41" i="11"/>
  <c r="K44" i="11" s="1"/>
  <c r="O41" i="11"/>
  <c r="O44" i="11" s="1"/>
  <c r="P41" i="11"/>
  <c r="P44" i="11" s="1"/>
  <c r="V41" i="11"/>
  <c r="V44" i="11" s="1"/>
  <c r="AC41" i="11"/>
  <c r="AC44" i="11" s="1"/>
  <c r="AM41" i="11"/>
  <c r="AM44" i="11" s="1"/>
  <c r="AL41" i="11"/>
  <c r="AL44" i="11" s="1"/>
  <c r="AJ41" i="11"/>
  <c r="AJ44" i="11" s="1"/>
  <c r="AK41" i="11"/>
  <c r="AK44" i="11" s="1"/>
  <c r="AF41" i="11"/>
  <c r="AF44" i="11" s="1"/>
  <c r="AN41" i="11"/>
  <c r="AN44" i="11" s="1"/>
  <c r="AE41" i="11"/>
  <c r="AE44" i="11" s="1"/>
  <c r="AD41" i="11"/>
  <c r="AD44" i="11" s="1"/>
  <c r="AG41" i="11"/>
  <c r="AG44" i="11" s="1"/>
  <c r="AH41" i="11"/>
  <c r="AH44" i="11" s="1"/>
  <c r="AA41" i="11"/>
  <c r="AA44" i="11" s="1"/>
  <c r="F41" i="11"/>
  <c r="F44" i="11" s="1"/>
  <c r="G41" i="11"/>
  <c r="G44" i="11" s="1"/>
  <c r="H41" i="11"/>
  <c r="H44" i="11" s="1"/>
  <c r="R41" i="11"/>
  <c r="R44" i="11" s="1"/>
  <c r="L41" i="11"/>
  <c r="L44" i="11" s="1"/>
  <c r="E41" i="11"/>
  <c r="E44" i="11" s="1"/>
  <c r="M41" i="11"/>
  <c r="M44" i="11" s="1"/>
  <c r="W41" i="11"/>
  <c r="W44" i="11" s="1"/>
  <c r="X41" i="11"/>
  <c r="X44" i="11" s="1"/>
  <c r="Z41" i="11"/>
  <c r="Z44" i="11" s="1"/>
  <c r="AI41" i="11"/>
  <c r="AI44" i="11" s="1"/>
  <c r="T41" i="11"/>
  <c r="T44" i="11" s="1"/>
  <c r="J41" i="11"/>
  <c r="J44" i="11" s="1"/>
  <c r="AB41" i="11"/>
  <c r="AB44" i="11" s="1"/>
  <c r="Y41" i="11"/>
  <c r="Y44" i="11" s="1"/>
  <c r="I41" i="11"/>
  <c r="I44" i="11" s="1"/>
  <c r="S41" i="11"/>
  <c r="S44" i="11" s="1"/>
  <c r="AQ155" i="21" l="1"/>
  <c r="AP162" i="21"/>
  <c r="AP163" i="21" s="1"/>
  <c r="AP165" i="21" s="1"/>
  <c r="AQ157" i="21" s="1"/>
  <c r="AP167" i="21"/>
  <c r="AP168" i="21" s="1"/>
  <c r="Z90" i="8"/>
  <c r="Z92" i="8" s="1"/>
  <c r="AA90" i="8" s="1"/>
  <c r="AA19" i="10"/>
  <c r="AA91" i="8"/>
  <c r="S65" i="11"/>
  <c r="S66" i="11" s="1"/>
  <c r="R97" i="1"/>
  <c r="J65" i="11"/>
  <c r="J66" i="11" s="1"/>
  <c r="I97" i="1"/>
  <c r="X65" i="11"/>
  <c r="X66" i="11" s="1"/>
  <c r="W97" i="1"/>
  <c r="L65" i="11"/>
  <c r="L66" i="11" s="1"/>
  <c r="K97" i="1"/>
  <c r="F65" i="11"/>
  <c r="E97" i="1"/>
  <c r="AD65" i="11"/>
  <c r="AD66" i="11" s="1"/>
  <c r="AC97" i="1"/>
  <c r="AK65" i="11"/>
  <c r="AK66" i="11" s="1"/>
  <c r="AJ97" i="1"/>
  <c r="AC65" i="11"/>
  <c r="AC66" i="11" s="1"/>
  <c r="AB97" i="1"/>
  <c r="K65" i="11"/>
  <c r="K66" i="11" s="1"/>
  <c r="J97" i="1"/>
  <c r="I65" i="11"/>
  <c r="I66" i="11" s="1"/>
  <c r="H97" i="1"/>
  <c r="T65" i="11"/>
  <c r="T66" i="11" s="1"/>
  <c r="S97" i="1"/>
  <c r="W65" i="11"/>
  <c r="W66" i="11" s="1"/>
  <c r="V97" i="1"/>
  <c r="R65" i="11"/>
  <c r="R66" i="11" s="1"/>
  <c r="Q97" i="1"/>
  <c r="AA65" i="11"/>
  <c r="AA66" i="11" s="1"/>
  <c r="Z97" i="1"/>
  <c r="AE65" i="11"/>
  <c r="AE66" i="11" s="1"/>
  <c r="AD97" i="1"/>
  <c r="AJ65" i="11"/>
  <c r="AJ66" i="11" s="1"/>
  <c r="AI97" i="1"/>
  <c r="V65" i="11"/>
  <c r="V66" i="11" s="1"/>
  <c r="U97" i="1"/>
  <c r="U65" i="11"/>
  <c r="U66" i="11" s="1"/>
  <c r="T97" i="1"/>
  <c r="Y65" i="11"/>
  <c r="Y66" i="11" s="1"/>
  <c r="X97" i="1"/>
  <c r="AI65" i="11"/>
  <c r="AI66" i="11" s="1"/>
  <c r="AH97" i="1"/>
  <c r="M65" i="11"/>
  <c r="M66" i="11" s="1"/>
  <c r="L97" i="1"/>
  <c r="H65" i="11"/>
  <c r="H66" i="11" s="1"/>
  <c r="G97" i="1"/>
  <c r="AH65" i="11"/>
  <c r="AH66" i="11" s="1"/>
  <c r="AG97" i="1"/>
  <c r="AN65" i="11"/>
  <c r="AN66" i="11" s="1"/>
  <c r="AM97" i="1"/>
  <c r="AL65" i="11"/>
  <c r="AL66" i="11" s="1"/>
  <c r="AK97" i="1"/>
  <c r="P65" i="11"/>
  <c r="P66" i="11" s="1"/>
  <c r="O97" i="1"/>
  <c r="Q65" i="11"/>
  <c r="Q66" i="11" s="1"/>
  <c r="P97" i="1"/>
  <c r="AB65" i="11"/>
  <c r="AB66" i="11" s="1"/>
  <c r="AA97" i="1"/>
  <c r="Z65" i="11"/>
  <c r="Z66" i="11" s="1"/>
  <c r="Y97" i="1"/>
  <c r="E65" i="11"/>
  <c r="E112" i="11" s="1"/>
  <c r="D57" i="24" s="1"/>
  <c r="D97" i="1"/>
  <c r="D96" i="1" s="1"/>
  <c r="G65" i="11"/>
  <c r="G66" i="11" s="1"/>
  <c r="F97" i="1"/>
  <c r="AG65" i="11"/>
  <c r="AG66" i="11" s="1"/>
  <c r="AF97" i="1"/>
  <c r="AF65" i="11"/>
  <c r="AF66" i="11" s="1"/>
  <c r="AE97" i="1"/>
  <c r="AM65" i="11"/>
  <c r="AM66" i="11" s="1"/>
  <c r="AL97" i="1"/>
  <c r="O65" i="11"/>
  <c r="O66" i="11" s="1"/>
  <c r="N97" i="1"/>
  <c r="N65" i="11"/>
  <c r="N66" i="11" s="1"/>
  <c r="M97" i="1"/>
  <c r="F66" i="11"/>
  <c r="AF58" i="21"/>
  <c r="AF59" i="21" s="1"/>
  <c r="AF61" i="21" s="1"/>
  <c r="AG53" i="21" s="1"/>
  <c r="AG63" i="21" s="1"/>
  <c r="AG64" i="21" s="1"/>
  <c r="AG212" i="21" s="1"/>
  <c r="AB88" i="9" s="1"/>
  <c r="AA92" i="8" l="1"/>
  <c r="AB90" i="8" s="1"/>
  <c r="AQ158" i="21"/>
  <c r="AR155" i="21" s="1"/>
  <c r="Z36" i="8"/>
  <c r="D71" i="24"/>
  <c r="D74" i="24" s="1"/>
  <c r="D77" i="24" s="1"/>
  <c r="D58" i="24"/>
  <c r="D83" i="24" s="1"/>
  <c r="D56" i="24"/>
  <c r="E66" i="11"/>
  <c r="AG54" i="21"/>
  <c r="AG58" i="21" s="1"/>
  <c r="AG59" i="21" s="1"/>
  <c r="AG61" i="21" s="1"/>
  <c r="AH53" i="21" s="1"/>
  <c r="AH63" i="21" s="1"/>
  <c r="AH64" i="21" s="1"/>
  <c r="AH212" i="21" s="1"/>
  <c r="AC88" i="9" s="1"/>
  <c r="D117" i="20"/>
  <c r="D87" i="9" l="1"/>
  <c r="D89" i="9" s="1"/>
  <c r="AA36" i="8"/>
  <c r="F62" i="2" s="1"/>
  <c r="AQ167" i="21"/>
  <c r="AQ168" i="21" s="1"/>
  <c r="AQ162" i="21"/>
  <c r="AQ163" i="21" s="1"/>
  <c r="AQ165" i="21" s="1"/>
  <c r="AR157" i="21" s="1"/>
  <c r="AR158" i="21" s="1"/>
  <c r="AB19" i="10"/>
  <c r="AB91" i="8"/>
  <c r="AB92" i="8" s="1"/>
  <c r="AC90" i="8" s="1"/>
  <c r="D95" i="24"/>
  <c r="D98" i="24" s="1"/>
  <c r="AH51" i="21"/>
  <c r="AH54" i="21" s="1"/>
  <c r="AH58" i="21" s="1"/>
  <c r="AH59" i="21" s="1"/>
  <c r="AH61" i="21" s="1"/>
  <c r="AI53" i="21" s="1"/>
  <c r="AI63" i="21" s="1"/>
  <c r="AI64" i="21" s="1"/>
  <c r="AI212" i="21" s="1"/>
  <c r="AD88" i="9" s="1"/>
  <c r="D115" i="20"/>
  <c r="D116" i="20" s="1"/>
  <c r="D131" i="20"/>
  <c r="D134" i="20" s="1"/>
  <c r="D137" i="20" s="1"/>
  <c r="D235" i="20" s="1"/>
  <c r="D238" i="20" s="1"/>
  <c r="D110" i="1"/>
  <c r="D113" i="1" s="1"/>
  <c r="AR167" i="21" l="1"/>
  <c r="AR168" i="21" s="1"/>
  <c r="AR162" i="21"/>
  <c r="AR163" i="21" s="1"/>
  <c r="AR165" i="21" s="1"/>
  <c r="AC91" i="8"/>
  <c r="AC92" i="8" s="1"/>
  <c r="AC19" i="10"/>
  <c r="D100" i="24"/>
  <c r="D101" i="24" s="1"/>
  <c r="D79" i="24" s="1"/>
  <c r="D99" i="24"/>
  <c r="AB36" i="8"/>
  <c r="AI51" i="21"/>
  <c r="AI54" i="21" s="1"/>
  <c r="D118" i="20"/>
  <c r="D143" i="20" s="1"/>
  <c r="D239" i="20"/>
  <c r="D240" i="20"/>
  <c r="D241" i="20" s="1"/>
  <c r="D139" i="20" s="1"/>
  <c r="D140" i="20" s="1"/>
  <c r="E113" i="11"/>
  <c r="D108" i="9"/>
  <c r="D79" i="9"/>
  <c r="D81" i="9" s="1"/>
  <c r="AD19" i="10" l="1"/>
  <c r="AD91" i="8"/>
  <c r="AC36" i="8"/>
  <c r="AD90" i="8"/>
  <c r="AI58" i="21"/>
  <c r="AI59" i="21" s="1"/>
  <c r="AI61" i="21" s="1"/>
  <c r="AJ53" i="21" s="1"/>
  <c r="AJ63" i="21" s="1"/>
  <c r="AJ64" i="21" s="1"/>
  <c r="AJ212" i="21" s="1"/>
  <c r="AE88" i="9" s="1"/>
  <c r="AJ51" i="21"/>
  <c r="F111" i="11"/>
  <c r="E55" i="24" s="1"/>
  <c r="F112" i="11"/>
  <c r="E57" i="24" s="1"/>
  <c r="D82" i="9"/>
  <c r="D83" i="9" s="1"/>
  <c r="D13" i="9" s="1"/>
  <c r="D24" i="9" s="1"/>
  <c r="D84" i="9"/>
  <c r="E80" i="9"/>
  <c r="D98" i="1"/>
  <c r="D122" i="1" s="1"/>
  <c r="E71" i="24" l="1"/>
  <c r="E74" i="24" s="1"/>
  <c r="E77" i="24" s="1"/>
  <c r="E78" i="9"/>
  <c r="E79" i="9" s="1"/>
  <c r="E81" i="9" s="1"/>
  <c r="AD92" i="8"/>
  <c r="AD36" i="8" s="1"/>
  <c r="D57" i="9"/>
  <c r="D60" i="9" s="1"/>
  <c r="E58" i="24"/>
  <c r="E83" i="24" s="1"/>
  <c r="E56" i="24"/>
  <c r="E117" i="20"/>
  <c r="E131" i="20" s="1"/>
  <c r="E134" i="20" s="1"/>
  <c r="E137" i="20" s="1"/>
  <c r="E235" i="20" s="1"/>
  <c r="E238" i="20" s="1"/>
  <c r="AJ54" i="21"/>
  <c r="E115" i="20"/>
  <c r="G111" i="11"/>
  <c r="F55" i="24" s="1"/>
  <c r="F78" i="9" s="1"/>
  <c r="D20" i="10"/>
  <c r="D96" i="8"/>
  <c r="D97" i="8" s="1"/>
  <c r="F113" i="11"/>
  <c r="E87" i="9" l="1"/>
  <c r="AE90" i="8"/>
  <c r="AE19" i="10"/>
  <c r="AE91" i="8"/>
  <c r="D39" i="8"/>
  <c r="E116" i="20"/>
  <c r="AJ58" i="21"/>
  <c r="AJ59" i="21" s="1"/>
  <c r="AJ61" i="21" s="1"/>
  <c r="AK53" i="21" s="1"/>
  <c r="AK63" i="21" s="1"/>
  <c r="AK64" i="21" s="1"/>
  <c r="AK212" i="21" s="1"/>
  <c r="AF88" i="9" s="1"/>
  <c r="AK51" i="21"/>
  <c r="E108" i="9"/>
  <c r="F108" i="9"/>
  <c r="F115" i="20"/>
  <c r="E239" i="20"/>
  <c r="E240" i="20"/>
  <c r="E241" i="20" s="1"/>
  <c r="E139" i="20" s="1"/>
  <c r="E140" i="20" s="1"/>
  <c r="E118" i="20"/>
  <c r="E143" i="20" s="1"/>
  <c r="G112" i="11"/>
  <c r="F57" i="24" s="1"/>
  <c r="D116" i="1"/>
  <c r="D208" i="1" s="1"/>
  <c r="E82" i="9"/>
  <c r="E83" i="9" s="1"/>
  <c r="E13" i="9" s="1"/>
  <c r="E98" i="1"/>
  <c r="E122" i="1" s="1"/>
  <c r="E110" i="1"/>
  <c r="E96" i="1"/>
  <c r="D37" i="8"/>
  <c r="E95" i="8"/>
  <c r="D90" i="9"/>
  <c r="D109" i="9" s="1"/>
  <c r="E84" i="9"/>
  <c r="F80" i="9"/>
  <c r="F58" i="24" l="1"/>
  <c r="F83" i="24" s="1"/>
  <c r="F71" i="24"/>
  <c r="F74" i="24" s="1"/>
  <c r="F77" i="24" s="1"/>
  <c r="AE92" i="8"/>
  <c r="AF90" i="8" s="1"/>
  <c r="E59" i="9"/>
  <c r="D40" i="8"/>
  <c r="F56" i="24"/>
  <c r="AK54" i="21"/>
  <c r="F79" i="9"/>
  <c r="F81" i="9" s="1"/>
  <c r="F82" i="9" s="1"/>
  <c r="F83" i="9" s="1"/>
  <c r="F13" i="9" s="1"/>
  <c r="G113" i="11"/>
  <c r="F117" i="20"/>
  <c r="F98" i="1"/>
  <c r="F122" i="1" s="1"/>
  <c r="D91" i="9"/>
  <c r="E92" i="9" s="1"/>
  <c r="E16" i="9" s="1"/>
  <c r="E22" i="9" s="1"/>
  <c r="E24" i="9" s="1"/>
  <c r="E57" i="9" s="1"/>
  <c r="D115" i="9"/>
  <c r="D111" i="9"/>
  <c r="E89" i="9"/>
  <c r="E96" i="8"/>
  <c r="E97" i="8" s="1"/>
  <c r="E20" i="10"/>
  <c r="D211" i="1"/>
  <c r="E113" i="1"/>
  <c r="F87" i="9" l="1"/>
  <c r="AE36" i="8"/>
  <c r="AF91" i="8"/>
  <c r="AF92" i="8" s="1"/>
  <c r="AF36" i="8" s="1"/>
  <c r="AF19" i="10"/>
  <c r="D213" i="1"/>
  <c r="D214" i="1" s="1"/>
  <c r="D212" i="1"/>
  <c r="AK58" i="21"/>
  <c r="AK59" i="21" s="1"/>
  <c r="AK61" i="21" s="1"/>
  <c r="AL53" i="21" s="1"/>
  <c r="AL63" i="21" s="1"/>
  <c r="AL64" i="21" s="1"/>
  <c r="AL212" i="21" s="1"/>
  <c r="AG88" i="9" s="1"/>
  <c r="AL51" i="21"/>
  <c r="F84" i="9"/>
  <c r="F96" i="8" s="1"/>
  <c r="G80" i="9"/>
  <c r="F118" i="20"/>
  <c r="F143" i="20" s="1"/>
  <c r="F131" i="20"/>
  <c r="F134" i="20" s="1"/>
  <c r="F137" i="20" s="1"/>
  <c r="F235" i="20" s="1"/>
  <c r="F238" i="20" s="1"/>
  <c r="F116" i="20"/>
  <c r="F110" i="1"/>
  <c r="F113" i="1" s="1"/>
  <c r="F116" i="1" s="1"/>
  <c r="F208" i="1" s="1"/>
  <c r="F211" i="1" s="1"/>
  <c r="F96" i="1"/>
  <c r="D93" i="9"/>
  <c r="D23" i="10" s="1"/>
  <c r="H111" i="11"/>
  <c r="G55" i="24" s="1"/>
  <c r="H112" i="11"/>
  <c r="G57" i="24" s="1"/>
  <c r="E60" i="9"/>
  <c r="D25" i="10"/>
  <c r="D129" i="8"/>
  <c r="D131" i="8" s="1"/>
  <c r="D46" i="8" s="1"/>
  <c r="E90" i="9"/>
  <c r="E109" i="9" s="1"/>
  <c r="E37" i="8"/>
  <c r="F95" i="8"/>
  <c r="E116" i="1"/>
  <c r="AG91" i="8" l="1"/>
  <c r="AG19" i="10"/>
  <c r="G78" i="9"/>
  <c r="G79" i="9" s="1"/>
  <c r="H80" i="9" s="1"/>
  <c r="G71" i="24"/>
  <c r="AG90" i="8"/>
  <c r="AG92" i="8" s="1"/>
  <c r="AH90" i="8" s="1"/>
  <c r="G58" i="24"/>
  <c r="G83" i="24" s="1"/>
  <c r="G56" i="24"/>
  <c r="D118" i="1"/>
  <c r="F89" i="9"/>
  <c r="F90" i="9" s="1"/>
  <c r="F109" i="9" s="1"/>
  <c r="F111" i="9" s="1"/>
  <c r="G117" i="20"/>
  <c r="G131" i="20" s="1"/>
  <c r="G134" i="20" s="1"/>
  <c r="G137" i="20" s="1"/>
  <c r="G235" i="20" s="1"/>
  <c r="G238" i="20" s="1"/>
  <c r="G239" i="20" s="1"/>
  <c r="E91" i="9"/>
  <c r="F20" i="10"/>
  <c r="AL54" i="21"/>
  <c r="G115" i="20"/>
  <c r="F239" i="20"/>
  <c r="F240" i="20"/>
  <c r="F241" i="20" s="1"/>
  <c r="F139" i="20" s="1"/>
  <c r="F140" i="20" s="1"/>
  <c r="D106" i="8"/>
  <c r="D108" i="8" s="1"/>
  <c r="E105" i="8" s="1"/>
  <c r="H113" i="11"/>
  <c r="I111" i="11"/>
  <c r="H55" i="24" s="1"/>
  <c r="H78" i="9" s="1"/>
  <c r="F97" i="8"/>
  <c r="F37" i="8" s="1"/>
  <c r="E39" i="8"/>
  <c r="E40" i="8" s="1"/>
  <c r="F59" i="9"/>
  <c r="E111" i="9"/>
  <c r="E115" i="9"/>
  <c r="E128" i="8"/>
  <c r="E208" i="1"/>
  <c r="E211" i="1" s="1"/>
  <c r="AG36" i="8" l="1"/>
  <c r="G87" i="9"/>
  <c r="G74" i="24"/>
  <c r="G77" i="24" s="1"/>
  <c r="F112" i="9"/>
  <c r="F115" i="9" s="1"/>
  <c r="F25" i="10" s="1"/>
  <c r="E213" i="1"/>
  <c r="E214" i="1" s="1"/>
  <c r="F91" i="9"/>
  <c r="G92" i="9" s="1"/>
  <c r="G16" i="9" s="1"/>
  <c r="G22" i="9" s="1"/>
  <c r="G116" i="20"/>
  <c r="AM51" i="21"/>
  <c r="AL58" i="21"/>
  <c r="AL59" i="21" s="1"/>
  <c r="AL61" i="21" s="1"/>
  <c r="AM53" i="21" s="1"/>
  <c r="AM63" i="21" s="1"/>
  <c r="AM64" i="21" s="1"/>
  <c r="AM212" i="21" s="1"/>
  <c r="AH88" i="9" s="1"/>
  <c r="G81" i="9"/>
  <c r="G82" i="9" s="1"/>
  <c r="G83" i="9" s="1"/>
  <c r="G13" i="9" s="1"/>
  <c r="G84" i="9"/>
  <c r="G20" i="10" s="1"/>
  <c r="G108" i="9"/>
  <c r="G118" i="20"/>
  <c r="G143" i="20" s="1"/>
  <c r="H108" i="9"/>
  <c r="H115" i="20"/>
  <c r="G240" i="20"/>
  <c r="G241" i="20" s="1"/>
  <c r="G139" i="20" s="1"/>
  <c r="G140" i="20" s="1"/>
  <c r="D43" i="8"/>
  <c r="G95" i="8"/>
  <c r="G110" i="1"/>
  <c r="G113" i="1" s="1"/>
  <c r="G116" i="1" s="1"/>
  <c r="G208" i="1" s="1"/>
  <c r="G211" i="1" s="1"/>
  <c r="G213" i="1" s="1"/>
  <c r="G214" i="1" s="1"/>
  <c r="G98" i="1"/>
  <c r="G122" i="1" s="1"/>
  <c r="G96" i="1"/>
  <c r="I112" i="11"/>
  <c r="H57" i="24" s="1"/>
  <c r="D119" i="1"/>
  <c r="D80" i="24" s="1"/>
  <c r="D140" i="8" s="1"/>
  <c r="E25" i="10"/>
  <c r="E129" i="8"/>
  <c r="E131" i="8" s="1"/>
  <c r="E93" i="9"/>
  <c r="F92" i="9"/>
  <c r="F213" i="1"/>
  <c r="F214" i="1" s="1"/>
  <c r="E212" i="1"/>
  <c r="F212" i="1"/>
  <c r="AH19" i="10" l="1"/>
  <c r="AH91" i="8"/>
  <c r="AH92" i="8" s="1"/>
  <c r="H58" i="24"/>
  <c r="H83" i="24" s="1"/>
  <c r="H71" i="24"/>
  <c r="F114" i="9"/>
  <c r="F19" i="9"/>
  <c r="F129" i="8"/>
  <c r="H56" i="24"/>
  <c r="G24" i="9"/>
  <c r="G57" i="9" s="1"/>
  <c r="G89" i="9"/>
  <c r="H117" i="20"/>
  <c r="H116" i="20" s="1"/>
  <c r="AM54" i="21"/>
  <c r="G96" i="8"/>
  <c r="G97" i="8" s="1"/>
  <c r="G37" i="8" s="1"/>
  <c r="H79" i="9"/>
  <c r="H81" i="9" s="1"/>
  <c r="H82" i="9" s="1"/>
  <c r="H83" i="9" s="1"/>
  <c r="H13" i="9" s="1"/>
  <c r="G212" i="1"/>
  <c r="I113" i="11"/>
  <c r="J111" i="11"/>
  <c r="I55" i="24" s="1"/>
  <c r="I78" i="9" s="1"/>
  <c r="F128" i="8"/>
  <c r="E46" i="8"/>
  <c r="F16" i="9"/>
  <c r="F93" i="9"/>
  <c r="G118" i="1"/>
  <c r="G119" i="1" s="1"/>
  <c r="G80" i="24" s="1"/>
  <c r="G140" i="8" s="1"/>
  <c r="E23" i="10"/>
  <c r="E106" i="8"/>
  <c r="E108" i="8" s="1"/>
  <c r="D13" i="10"/>
  <c r="F118" i="1"/>
  <c r="F119" i="1" s="1"/>
  <c r="F80" i="24" s="1"/>
  <c r="F140" i="8" s="1"/>
  <c r="E118" i="1"/>
  <c r="F131" i="8" l="1"/>
  <c r="F46" i="8" s="1"/>
  <c r="AI90" i="8"/>
  <c r="AH36" i="8"/>
  <c r="H74" i="24"/>
  <c r="H77" i="24" s="1"/>
  <c r="H87" i="9"/>
  <c r="F22" i="9"/>
  <c r="F24" i="9" s="1"/>
  <c r="F57" i="9" s="1"/>
  <c r="F60" i="9" s="1"/>
  <c r="H131" i="20"/>
  <c r="H134" i="20" s="1"/>
  <c r="H137" i="20" s="1"/>
  <c r="H235" i="20" s="1"/>
  <c r="H238" i="20" s="1"/>
  <c r="H239" i="20" s="1"/>
  <c r="H118" i="20"/>
  <c r="H143" i="20" s="1"/>
  <c r="G90" i="9"/>
  <c r="G109" i="9" s="1"/>
  <c r="AN51" i="21"/>
  <c r="AM58" i="21"/>
  <c r="AM59" i="21" s="1"/>
  <c r="AM61" i="21" s="1"/>
  <c r="AN53" i="21" s="1"/>
  <c r="AN63" i="21" s="1"/>
  <c r="AN64" i="21" s="1"/>
  <c r="AN212" i="21" s="1"/>
  <c r="AI88" i="9" s="1"/>
  <c r="I80" i="9"/>
  <c r="H84" i="9"/>
  <c r="H96" i="8" s="1"/>
  <c r="I115" i="20"/>
  <c r="H95" i="8"/>
  <c r="J112" i="11"/>
  <c r="I57" i="24" s="1"/>
  <c r="H98" i="1"/>
  <c r="H122" i="1" s="1"/>
  <c r="H110" i="1"/>
  <c r="H113" i="1" s="1"/>
  <c r="H116" i="1" s="1"/>
  <c r="H208" i="1" s="1"/>
  <c r="H211" i="1" s="1"/>
  <c r="H96" i="1"/>
  <c r="G13" i="10"/>
  <c r="F13" i="10"/>
  <c r="E119" i="1"/>
  <c r="E80" i="24" s="1"/>
  <c r="E140" i="8" s="1"/>
  <c r="E43" i="8"/>
  <c r="F105" i="8"/>
  <c r="F106" i="8"/>
  <c r="F23" i="10"/>
  <c r="G128" i="8" l="1"/>
  <c r="AI19" i="10"/>
  <c r="AI91" i="8"/>
  <c r="AI92" i="8" s="1"/>
  <c r="I58" i="24"/>
  <c r="I83" i="24" s="1"/>
  <c r="I71" i="24"/>
  <c r="H240" i="20"/>
  <c r="H241" i="20" s="1"/>
  <c r="H139" i="20" s="1"/>
  <c r="H140" i="20" s="1"/>
  <c r="G91" i="9"/>
  <c r="H92" i="9" s="1"/>
  <c r="H16" i="9" s="1"/>
  <c r="H22" i="9" s="1"/>
  <c r="H24" i="9" s="1"/>
  <c r="I56" i="24"/>
  <c r="H89" i="9"/>
  <c r="H90" i="9" s="1"/>
  <c r="H109" i="9" s="1"/>
  <c r="G115" i="9"/>
  <c r="G111" i="9"/>
  <c r="I117" i="20"/>
  <c r="I116" i="20" s="1"/>
  <c r="AN54" i="21"/>
  <c r="H20" i="10"/>
  <c r="H97" i="8"/>
  <c r="I95" i="8" s="1"/>
  <c r="J113" i="11"/>
  <c r="K111" i="11"/>
  <c r="J55" i="24" s="1"/>
  <c r="J78" i="9" s="1"/>
  <c r="I108" i="9"/>
  <c r="I79" i="9"/>
  <c r="F108" i="8"/>
  <c r="G105" i="8" s="1"/>
  <c r="H213" i="1"/>
  <c r="H214" i="1" s="1"/>
  <c r="H212" i="1"/>
  <c r="E13" i="10"/>
  <c r="F39" i="8"/>
  <c r="F40" i="8" s="1"/>
  <c r="G59" i="9"/>
  <c r="G60" i="9" s="1"/>
  <c r="AJ90" i="8" l="1"/>
  <c r="AI36" i="8"/>
  <c r="I74" i="24"/>
  <c r="I77" i="24" s="1"/>
  <c r="I87" i="9"/>
  <c r="I131" i="20"/>
  <c r="I134" i="20" s="1"/>
  <c r="I137" i="20" s="1"/>
  <c r="I235" i="20" s="1"/>
  <c r="I238" i="20" s="1"/>
  <c r="I240" i="20" s="1"/>
  <c r="I241" i="20" s="1"/>
  <c r="I139" i="20" s="1"/>
  <c r="I140" i="20" s="1"/>
  <c r="I118" i="20"/>
  <c r="I143" i="20" s="1"/>
  <c r="G93" i="9"/>
  <c r="G129" i="8"/>
  <c r="G131" i="8" s="1"/>
  <c r="H128" i="8" s="1"/>
  <c r="G25" i="10"/>
  <c r="AO51" i="21"/>
  <c r="AN58" i="21"/>
  <c r="AN59" i="21" s="1"/>
  <c r="AN61" i="21" s="1"/>
  <c r="AO53" i="21" s="1"/>
  <c r="AO63" i="21" s="1"/>
  <c r="AO64" i="21" s="1"/>
  <c r="AO212" i="21" s="1"/>
  <c r="AJ88" i="9" s="1"/>
  <c r="H37" i="8"/>
  <c r="J115" i="20"/>
  <c r="H91" i="9"/>
  <c r="I92" i="9" s="1"/>
  <c r="I16" i="9" s="1"/>
  <c r="F43" i="8"/>
  <c r="I98" i="1"/>
  <c r="I122" i="1" s="1"/>
  <c r="I110" i="1"/>
  <c r="I113" i="1" s="1"/>
  <c r="I116" i="1" s="1"/>
  <c r="I208" i="1" s="1"/>
  <c r="I211" i="1" s="1"/>
  <c r="I96" i="1"/>
  <c r="H115" i="9"/>
  <c r="H111" i="9"/>
  <c r="I81" i="9"/>
  <c r="I82" i="9" s="1"/>
  <c r="I83" i="9" s="1"/>
  <c r="I13" i="9" s="1"/>
  <c r="J80" i="9"/>
  <c r="I84" i="9"/>
  <c r="K112" i="11"/>
  <c r="J57" i="24" s="1"/>
  <c r="G39" i="8"/>
  <c r="G40" i="8" s="1"/>
  <c r="H59" i="9"/>
  <c r="H57" i="9"/>
  <c r="H118" i="1"/>
  <c r="AJ91" i="8" l="1"/>
  <c r="AJ92" i="8" s="1"/>
  <c r="AJ19" i="10"/>
  <c r="J58" i="24"/>
  <c r="J83" i="24" s="1"/>
  <c r="J71" i="24"/>
  <c r="I239" i="20"/>
  <c r="G46" i="8"/>
  <c r="G106" i="8"/>
  <c r="G108" i="8" s="1"/>
  <c r="H105" i="8" s="1"/>
  <c r="G23" i="10"/>
  <c r="J56" i="24"/>
  <c r="J87" i="9" s="1"/>
  <c r="I89" i="9"/>
  <c r="I90" i="9" s="1"/>
  <c r="I109" i="9" s="1"/>
  <c r="J117" i="20"/>
  <c r="J118" i="20" s="1"/>
  <c r="J143" i="20" s="1"/>
  <c r="AO54" i="21"/>
  <c r="H93" i="9"/>
  <c r="H106" i="8" s="1"/>
  <c r="I212" i="1"/>
  <c r="I213" i="1"/>
  <c r="I214" i="1" s="1"/>
  <c r="J108" i="9"/>
  <c r="J79" i="9"/>
  <c r="K113" i="11"/>
  <c r="I20" i="10"/>
  <c r="I96" i="8"/>
  <c r="I97" i="8" s="1"/>
  <c r="H129" i="8"/>
  <c r="H131" i="8" s="1"/>
  <c r="H25" i="10"/>
  <c r="L111" i="11"/>
  <c r="K55" i="24" s="1"/>
  <c r="K78" i="9" s="1"/>
  <c r="H119" i="1"/>
  <c r="H80" i="24" s="1"/>
  <c r="H140" i="8" s="1"/>
  <c r="H60" i="9"/>
  <c r="AJ36" i="8" l="1"/>
  <c r="AK90" i="8"/>
  <c r="J74" i="24"/>
  <c r="J77" i="24" s="1"/>
  <c r="G43" i="8"/>
  <c r="J116" i="20"/>
  <c r="J131" i="20"/>
  <c r="J134" i="20" s="1"/>
  <c r="J137" i="20" s="1"/>
  <c r="J235" i="20" s="1"/>
  <c r="J238" i="20" s="1"/>
  <c r="J239" i="20" s="1"/>
  <c r="AP51" i="21"/>
  <c r="AO58" i="21"/>
  <c r="AO59" i="21" s="1"/>
  <c r="AO61" i="21" s="1"/>
  <c r="AP53" i="21" s="1"/>
  <c r="K115" i="20"/>
  <c r="H108" i="8"/>
  <c r="H43" i="8" s="1"/>
  <c r="H23" i="10"/>
  <c r="I91" i="9"/>
  <c r="I93" i="9" s="1"/>
  <c r="I128" i="8"/>
  <c r="H46" i="8"/>
  <c r="J95" i="8"/>
  <c r="I37" i="8"/>
  <c r="J84" i="9"/>
  <c r="K80" i="9"/>
  <c r="I111" i="9"/>
  <c r="I112" i="9"/>
  <c r="L112" i="11"/>
  <c r="K57" i="24" s="1"/>
  <c r="J110" i="1"/>
  <c r="J113" i="1" s="1"/>
  <c r="J116" i="1" s="1"/>
  <c r="J208" i="1" s="1"/>
  <c r="J211" i="1" s="1"/>
  <c r="J98" i="1"/>
  <c r="J122" i="1" s="1"/>
  <c r="J96" i="1"/>
  <c r="I118" i="1"/>
  <c r="I119" i="1" s="1"/>
  <c r="I80" i="24" s="1"/>
  <c r="I140" i="8" s="1"/>
  <c r="J81" i="9"/>
  <c r="J82" i="9" s="1"/>
  <c r="J83" i="9" s="1"/>
  <c r="J13" i="9" s="1"/>
  <c r="H39" i="8"/>
  <c r="H40" i="8" s="1"/>
  <c r="I59" i="9"/>
  <c r="H13" i="10"/>
  <c r="K58" i="24" l="1"/>
  <c r="K83" i="24" s="1"/>
  <c r="K71" i="24"/>
  <c r="J240" i="20"/>
  <c r="J241" i="20" s="1"/>
  <c r="J139" i="20" s="1"/>
  <c r="J140" i="20" s="1"/>
  <c r="J89" i="9"/>
  <c r="J90" i="9" s="1"/>
  <c r="J109" i="9" s="1"/>
  <c r="K56" i="24"/>
  <c r="K87" i="9" s="1"/>
  <c r="K117" i="20"/>
  <c r="K131" i="20" s="1"/>
  <c r="K134" i="20" s="1"/>
  <c r="K137" i="20" s="1"/>
  <c r="K235" i="20" s="1"/>
  <c r="K238" i="20" s="1"/>
  <c r="AP54" i="21"/>
  <c r="AP63" i="21"/>
  <c r="AP64" i="21" s="1"/>
  <c r="AP212" i="21" s="1"/>
  <c r="AK88" i="9" s="1"/>
  <c r="I105" i="8"/>
  <c r="J92" i="9"/>
  <c r="J16" i="9" s="1"/>
  <c r="J22" i="9" s="1"/>
  <c r="J24" i="9" s="1"/>
  <c r="J57" i="9" s="1"/>
  <c r="L113" i="11"/>
  <c r="K79" i="9"/>
  <c r="K108" i="9"/>
  <c r="J96" i="8"/>
  <c r="J97" i="8" s="1"/>
  <c r="J20" i="10"/>
  <c r="M111" i="11"/>
  <c r="L55" i="24" s="1"/>
  <c r="L78" i="9" s="1"/>
  <c r="I115" i="9"/>
  <c r="I114" i="9"/>
  <c r="I19" i="9"/>
  <c r="I22" i="9" s="1"/>
  <c r="I24" i="9" s="1"/>
  <c r="I57" i="9" s="1"/>
  <c r="I60" i="9" s="1"/>
  <c r="I13" i="10"/>
  <c r="J213" i="1"/>
  <c r="J214" i="1" s="1"/>
  <c r="J212" i="1"/>
  <c r="I23" i="10"/>
  <c r="I106" i="8"/>
  <c r="AK91" i="8" l="1"/>
  <c r="AK92" i="8" s="1"/>
  <c r="AK19" i="10"/>
  <c r="K74" i="24"/>
  <c r="K77" i="24" s="1"/>
  <c r="K116" i="20"/>
  <c r="K118" i="20"/>
  <c r="K143" i="20" s="1"/>
  <c r="AP58" i="21"/>
  <c r="AP59" i="21" s="1"/>
  <c r="AP61" i="21" s="1"/>
  <c r="AQ53" i="21" s="1"/>
  <c r="AQ63" i="21" s="1"/>
  <c r="AQ64" i="21" s="1"/>
  <c r="AQ212" i="21" s="1"/>
  <c r="AL88" i="9" s="1"/>
  <c r="AQ51" i="21"/>
  <c r="L115" i="20"/>
  <c r="K239" i="20"/>
  <c r="K240" i="20"/>
  <c r="K241" i="20" s="1"/>
  <c r="K139" i="20" s="1"/>
  <c r="K140" i="20" s="1"/>
  <c r="I108" i="8"/>
  <c r="J105" i="8" s="1"/>
  <c r="J91" i="9"/>
  <c r="J93" i="9" s="1"/>
  <c r="I39" i="8"/>
  <c r="I40" i="8" s="1"/>
  <c r="J59" i="9"/>
  <c r="J60" i="9" s="1"/>
  <c r="J39" i="8" s="1"/>
  <c r="J37" i="8"/>
  <c r="K95" i="8"/>
  <c r="M112" i="11"/>
  <c r="L57" i="24" s="1"/>
  <c r="J111" i="9"/>
  <c r="J115" i="9"/>
  <c r="K110" i="1"/>
  <c r="K98" i="1"/>
  <c r="K122" i="1" s="1"/>
  <c r="K96" i="1"/>
  <c r="J118" i="1"/>
  <c r="J119" i="1" s="1"/>
  <c r="I129" i="8"/>
  <c r="I131" i="8" s="1"/>
  <c r="I25" i="10"/>
  <c r="K81" i="9"/>
  <c r="K82" i="9" s="1"/>
  <c r="K83" i="9" s="1"/>
  <c r="K13" i="9" s="1"/>
  <c r="L80" i="9"/>
  <c r="K84" i="9"/>
  <c r="AL91" i="8" l="1"/>
  <c r="AL19" i="10"/>
  <c r="AK36" i="8"/>
  <c r="AL90" i="8"/>
  <c r="L58" i="24"/>
  <c r="L83" i="24" s="1"/>
  <c r="L71" i="24"/>
  <c r="J13" i="10"/>
  <c r="J80" i="24"/>
  <c r="J140" i="8" s="1"/>
  <c r="L56" i="24"/>
  <c r="L87" i="9" s="1"/>
  <c r="L117" i="20"/>
  <c r="L116" i="20" s="1"/>
  <c r="AQ54" i="21"/>
  <c r="AQ58" i="21" s="1"/>
  <c r="AQ59" i="21" s="1"/>
  <c r="AQ61" i="21" s="1"/>
  <c r="AR53" i="21" s="1"/>
  <c r="AR63" i="21" s="1"/>
  <c r="AR64" i="21" s="1"/>
  <c r="AR212" i="21" s="1"/>
  <c r="AM88" i="9" s="1"/>
  <c r="K92" i="9"/>
  <c r="K16" i="9" s="1"/>
  <c r="K22" i="9" s="1"/>
  <c r="K24" i="9" s="1"/>
  <c r="K57" i="9" s="1"/>
  <c r="I43" i="8"/>
  <c r="K59" i="9"/>
  <c r="J40" i="8"/>
  <c r="K113" i="1"/>
  <c r="N111" i="11"/>
  <c r="M55" i="24" s="1"/>
  <c r="M78" i="9" s="1"/>
  <c r="K89" i="9"/>
  <c r="J25" i="10"/>
  <c r="J129" i="8"/>
  <c r="L108" i="9"/>
  <c r="L79" i="9"/>
  <c r="K96" i="8"/>
  <c r="K97" i="8" s="1"/>
  <c r="K20" i="10"/>
  <c r="J128" i="8"/>
  <c r="I46" i="8"/>
  <c r="J23" i="10"/>
  <c r="J106" i="8"/>
  <c r="J108" i="8" s="1"/>
  <c r="M113" i="11"/>
  <c r="AL92" i="8" l="1"/>
  <c r="AM90" i="8" s="1"/>
  <c r="AM91" i="8"/>
  <c r="AM19" i="10"/>
  <c r="L74" i="24"/>
  <c r="L77" i="24" s="1"/>
  <c r="L131" i="20"/>
  <c r="L134" i="20" s="1"/>
  <c r="L137" i="20" s="1"/>
  <c r="L235" i="20" s="1"/>
  <c r="L238" i="20" s="1"/>
  <c r="L240" i="20" s="1"/>
  <c r="L241" i="20" s="1"/>
  <c r="L139" i="20" s="1"/>
  <c r="L140" i="20" s="1"/>
  <c r="L118" i="20"/>
  <c r="L143" i="20" s="1"/>
  <c r="AR51" i="21"/>
  <c r="AR54" i="21" s="1"/>
  <c r="AR58" i="21" s="1"/>
  <c r="AR59" i="21" s="1"/>
  <c r="AR61" i="21" s="1"/>
  <c r="M115" i="20"/>
  <c r="K60" i="9"/>
  <c r="K39" i="8" s="1"/>
  <c r="J131" i="8"/>
  <c r="J46" i="8" s="1"/>
  <c r="J43" i="8"/>
  <c r="K105" i="8"/>
  <c r="K37" i="8"/>
  <c r="L95" i="8"/>
  <c r="L110" i="1"/>
  <c r="L98" i="1"/>
  <c r="L122" i="1" s="1"/>
  <c r="L96" i="1"/>
  <c r="L81" i="9"/>
  <c r="L82" i="9" s="1"/>
  <c r="L83" i="9" s="1"/>
  <c r="L13" i="9" s="1"/>
  <c r="M80" i="9"/>
  <c r="L84" i="9"/>
  <c r="N112" i="11"/>
  <c r="M57" i="24" s="1"/>
  <c r="K90" i="9"/>
  <c r="K109" i="9" s="1"/>
  <c r="K116" i="1"/>
  <c r="AL36" i="8" l="1"/>
  <c r="AM92" i="8"/>
  <c r="AM36" i="8" s="1"/>
  <c r="G62" i="2" s="1"/>
  <c r="M58" i="24"/>
  <c r="M83" i="24" s="1"/>
  <c r="M71" i="24"/>
  <c r="M74" i="24" s="1"/>
  <c r="M77" i="24" s="1"/>
  <c r="L239" i="20"/>
  <c r="M56" i="24"/>
  <c r="M87" i="9" s="1"/>
  <c r="M117" i="20"/>
  <c r="M118" i="20" s="1"/>
  <c r="M143" i="20" s="1"/>
  <c r="K40" i="8"/>
  <c r="L59" i="9"/>
  <c r="K128" i="8"/>
  <c r="K115" i="9"/>
  <c r="K111" i="9"/>
  <c r="N113" i="11"/>
  <c r="K208" i="1"/>
  <c r="K211" i="1" s="1"/>
  <c r="O111" i="11"/>
  <c r="N55" i="24" s="1"/>
  <c r="N78" i="9" s="1"/>
  <c r="M79" i="9"/>
  <c r="M81" i="9" s="1"/>
  <c r="M82" i="9" s="1"/>
  <c r="M83" i="9" s="1"/>
  <c r="M13" i="9" s="1"/>
  <c r="M108" i="9"/>
  <c r="L96" i="8"/>
  <c r="L97" i="8" s="1"/>
  <c r="L20" i="10"/>
  <c r="L113" i="1"/>
  <c r="K91" i="9"/>
  <c r="L89" i="9"/>
  <c r="M116" i="20" l="1"/>
  <c r="M131" i="20"/>
  <c r="M134" i="20" s="1"/>
  <c r="M137" i="20" s="1"/>
  <c r="M235" i="20" s="1"/>
  <c r="M238" i="20" s="1"/>
  <c r="M240" i="20" s="1"/>
  <c r="M241" i="20" s="1"/>
  <c r="M139" i="20" s="1"/>
  <c r="M140" i="20" s="1"/>
  <c r="N115" i="20"/>
  <c r="L90" i="9"/>
  <c r="L109" i="9" s="1"/>
  <c r="O112" i="11"/>
  <c r="N57" i="24" s="1"/>
  <c r="L116" i="1"/>
  <c r="L37" i="8"/>
  <c r="M95" i="8"/>
  <c r="K93" i="9"/>
  <c r="L92" i="9"/>
  <c r="L16" i="9" s="1"/>
  <c r="M84" i="9"/>
  <c r="N80" i="9"/>
  <c r="K213" i="1"/>
  <c r="K214" i="1" s="1"/>
  <c r="K212" i="1"/>
  <c r="K129" i="8"/>
  <c r="K131" i="8" s="1"/>
  <c r="K25" i="10"/>
  <c r="M110" i="1"/>
  <c r="M98" i="1"/>
  <c r="M122" i="1" s="1"/>
  <c r="M96" i="1"/>
  <c r="N58" i="24" l="1"/>
  <c r="N83" i="24" s="1"/>
  <c r="N71" i="24"/>
  <c r="N74" i="24" s="1"/>
  <c r="N77" i="24" s="1"/>
  <c r="M239" i="20"/>
  <c r="N56" i="24"/>
  <c r="N87" i="9" s="1"/>
  <c r="N117" i="20"/>
  <c r="N118" i="20" s="1"/>
  <c r="N143" i="20" s="1"/>
  <c r="L91" i="9"/>
  <c r="M92" i="9" s="1"/>
  <c r="M16" i="9" s="1"/>
  <c r="M22" i="9" s="1"/>
  <c r="M24" i="9" s="1"/>
  <c r="M57" i="9" s="1"/>
  <c r="L128" i="8"/>
  <c r="K46" i="8"/>
  <c r="K106" i="8"/>
  <c r="K108" i="8" s="1"/>
  <c r="K23" i="10"/>
  <c r="M89" i="9"/>
  <c r="K118" i="1"/>
  <c r="O113" i="11"/>
  <c r="N108" i="9"/>
  <c r="N79" i="9"/>
  <c r="N81" i="9" s="1"/>
  <c r="N82" i="9" s="1"/>
  <c r="N83" i="9" s="1"/>
  <c r="N13" i="9" s="1"/>
  <c r="P111" i="11"/>
  <c r="O55" i="24" s="1"/>
  <c r="M96" i="8"/>
  <c r="M97" i="8" s="1"/>
  <c r="M20" i="10"/>
  <c r="M113" i="1"/>
  <c r="L208" i="1"/>
  <c r="L211" i="1" s="1"/>
  <c r="L111" i="9"/>
  <c r="L112" i="9"/>
  <c r="O78" i="9" l="1"/>
  <c r="E11" i="2"/>
  <c r="C218" i="2" s="1"/>
  <c r="N131" i="20"/>
  <c r="N134" i="20" s="1"/>
  <c r="N137" i="20" s="1"/>
  <c r="N235" i="20" s="1"/>
  <c r="N238" i="20" s="1"/>
  <c r="N240" i="20" s="1"/>
  <c r="N241" i="20" s="1"/>
  <c r="N139" i="20" s="1"/>
  <c r="N140" i="20" s="1"/>
  <c r="N116" i="20"/>
  <c r="O115" i="20"/>
  <c r="Q111" i="11"/>
  <c r="P55" i="24" s="1"/>
  <c r="L93" i="9"/>
  <c r="L106" i="8" s="1"/>
  <c r="M37" i="8"/>
  <c r="N95" i="8"/>
  <c r="M116" i="1"/>
  <c r="N84" i="9"/>
  <c r="O80" i="9"/>
  <c r="K43" i="8"/>
  <c r="L105" i="8"/>
  <c r="L114" i="9"/>
  <c r="L19" i="9"/>
  <c r="L22" i="9" s="1"/>
  <c r="L24" i="9" s="1"/>
  <c r="L213" i="1"/>
  <c r="L214" i="1" s="1"/>
  <c r="L212" i="1"/>
  <c r="L115" i="9"/>
  <c r="P112" i="11"/>
  <c r="O57" i="24" s="1"/>
  <c r="N110" i="1"/>
  <c r="N98" i="1"/>
  <c r="N122" i="1" s="1"/>
  <c r="N96" i="1"/>
  <c r="K119" i="1"/>
  <c r="K80" i="24" s="1"/>
  <c r="K140" i="8" s="1"/>
  <c r="M90" i="9"/>
  <c r="M109" i="9" s="1"/>
  <c r="O58" i="24" l="1"/>
  <c r="O83" i="24" s="1"/>
  <c r="O71" i="24"/>
  <c r="E13" i="2"/>
  <c r="C220" i="2" s="1"/>
  <c r="E185" i="2"/>
  <c r="P78" i="9"/>
  <c r="N239" i="20"/>
  <c r="O56" i="24"/>
  <c r="O117" i="20"/>
  <c r="O131" i="20" s="1"/>
  <c r="O134" i="20" s="1"/>
  <c r="O137" i="20" s="1"/>
  <c r="O235" i="20" s="1"/>
  <c r="O238" i="20" s="1"/>
  <c r="P115" i="20"/>
  <c r="L23" i="10"/>
  <c r="Q112" i="11"/>
  <c r="P57" i="24" s="1"/>
  <c r="M91" i="9"/>
  <c r="M93" i="9" s="1"/>
  <c r="M111" i="9"/>
  <c r="M115" i="9"/>
  <c r="N89" i="9"/>
  <c r="P113" i="11"/>
  <c r="O79" i="9"/>
  <c r="O81" i="9" s="1"/>
  <c r="O82" i="9" s="1"/>
  <c r="O83" i="9" s="1"/>
  <c r="O13" i="9" s="1"/>
  <c r="O108" i="9"/>
  <c r="L57" i="9"/>
  <c r="L60" i="9" s="1"/>
  <c r="L129" i="8"/>
  <c r="L131" i="8" s="1"/>
  <c r="L25" i="10"/>
  <c r="M208" i="1"/>
  <c r="M211" i="1" s="1"/>
  <c r="K13" i="10"/>
  <c r="N113" i="1"/>
  <c r="L118" i="1"/>
  <c r="L108" i="8"/>
  <c r="N96" i="8"/>
  <c r="N97" i="8" s="1"/>
  <c r="N20" i="10"/>
  <c r="O74" i="24" l="1"/>
  <c r="O77" i="24" s="1"/>
  <c r="E29" i="2"/>
  <c r="P58" i="24"/>
  <c r="P83" i="24" s="1"/>
  <c r="P71" i="24"/>
  <c r="O87" i="9"/>
  <c r="E12" i="2"/>
  <c r="C219" i="2" s="1"/>
  <c r="P56" i="24"/>
  <c r="O116" i="20"/>
  <c r="O118" i="20"/>
  <c r="O143" i="20" s="1"/>
  <c r="P117" i="20"/>
  <c r="P131" i="20" s="1"/>
  <c r="P134" i="20" s="1"/>
  <c r="P137" i="20" s="1"/>
  <c r="P235" i="20" s="1"/>
  <c r="P238" i="20" s="1"/>
  <c r="O239" i="20"/>
  <c r="O240" i="20"/>
  <c r="O241" i="20" s="1"/>
  <c r="O139" i="20" s="1"/>
  <c r="O140" i="20" s="1"/>
  <c r="N92" i="9"/>
  <c r="N16" i="9" s="1"/>
  <c r="N22" i="9" s="1"/>
  <c r="N24" i="9" s="1"/>
  <c r="N57" i="9" s="1"/>
  <c r="O95" i="8"/>
  <c r="N37" i="8"/>
  <c r="Q113" i="11"/>
  <c r="L119" i="1"/>
  <c r="L80" i="24" s="1"/>
  <c r="L140" i="8" s="1"/>
  <c r="M213" i="1"/>
  <c r="M214" i="1" s="1"/>
  <c r="M212" i="1"/>
  <c r="L46" i="8"/>
  <c r="M128" i="8"/>
  <c r="M106" i="8"/>
  <c r="M23" i="10"/>
  <c r="O84" i="9"/>
  <c r="P80" i="9"/>
  <c r="N90" i="9"/>
  <c r="N109" i="9" s="1"/>
  <c r="M105" i="8"/>
  <c r="L43" i="8"/>
  <c r="P108" i="9"/>
  <c r="P79" i="9"/>
  <c r="M59" i="9"/>
  <c r="M60" i="9" s="1"/>
  <c r="L39" i="8"/>
  <c r="L40" i="8" s="1"/>
  <c r="M25" i="10"/>
  <c r="M129" i="8"/>
  <c r="N116" i="1"/>
  <c r="O110" i="1"/>
  <c r="O98" i="1"/>
  <c r="O122" i="1" s="1"/>
  <c r="O96" i="1"/>
  <c r="E131" i="2" l="1"/>
  <c r="C222" i="2"/>
  <c r="P87" i="9"/>
  <c r="E167" i="2"/>
  <c r="E169" i="2" s="1"/>
  <c r="E14" i="2"/>
  <c r="P74" i="24"/>
  <c r="P77" i="24" s="1"/>
  <c r="O89" i="9"/>
  <c r="P116" i="20"/>
  <c r="P118" i="20"/>
  <c r="P143" i="20" s="1"/>
  <c r="P240" i="20"/>
  <c r="P241" i="20" s="1"/>
  <c r="P139" i="20" s="1"/>
  <c r="P140" i="20" s="1"/>
  <c r="P239" i="20"/>
  <c r="M108" i="8"/>
  <c r="M43" i="8" s="1"/>
  <c r="R111" i="11"/>
  <c r="Q55" i="24" s="1"/>
  <c r="N91" i="9"/>
  <c r="O92" i="9" s="1"/>
  <c r="O16" i="9" s="1"/>
  <c r="O113" i="1"/>
  <c r="N208" i="1"/>
  <c r="N211" i="1" s="1"/>
  <c r="M39" i="8"/>
  <c r="M40" i="8" s="1"/>
  <c r="N59" i="9"/>
  <c r="N60" i="9" s="1"/>
  <c r="P110" i="1"/>
  <c r="P113" i="1" s="1"/>
  <c r="P116" i="1" s="1"/>
  <c r="P98" i="1"/>
  <c r="P122" i="1" s="1"/>
  <c r="P96" i="1"/>
  <c r="P84" i="9"/>
  <c r="Q80" i="9"/>
  <c r="N115" i="9"/>
  <c r="N111" i="9"/>
  <c r="O20" i="10"/>
  <c r="O96" i="8"/>
  <c r="O97" i="8" s="1"/>
  <c r="E15" i="2"/>
  <c r="E129" i="2"/>
  <c r="H225" i="2" s="1"/>
  <c r="M118" i="1"/>
  <c r="P81" i="9"/>
  <c r="P82" i="9" s="1"/>
  <c r="P83" i="9" s="1"/>
  <c r="P13" i="9" s="1"/>
  <c r="M131" i="8"/>
  <c r="L13" i="10"/>
  <c r="Q78" i="9" l="1"/>
  <c r="Q108" i="9" s="1"/>
  <c r="P89" i="9"/>
  <c r="P90" i="9" s="1"/>
  <c r="P109" i="9" s="1"/>
  <c r="Q115" i="20"/>
  <c r="N105" i="8"/>
  <c r="N93" i="9"/>
  <c r="N106" i="8" s="1"/>
  <c r="R112" i="11"/>
  <c r="Q57" i="24" s="1"/>
  <c r="O37" i="8"/>
  <c r="E171" i="2" s="1"/>
  <c r="P95" i="8"/>
  <c r="P208" i="1"/>
  <c r="P211" i="1" s="1"/>
  <c r="N128" i="8"/>
  <c r="M46" i="8"/>
  <c r="O116" i="1"/>
  <c r="O90" i="9"/>
  <c r="O109" i="9" s="1"/>
  <c r="N129" i="8"/>
  <c r="N25" i="10"/>
  <c r="P20" i="10"/>
  <c r="P96" i="8"/>
  <c r="N39" i="8"/>
  <c r="N40" i="8" s="1"/>
  <c r="O59" i="9"/>
  <c r="N213" i="1"/>
  <c r="N214" i="1" s="1"/>
  <c r="N212" i="1"/>
  <c r="M119" i="1"/>
  <c r="M80" i="24" s="1"/>
  <c r="M140" i="8" s="1"/>
  <c r="Q58" i="24" l="1"/>
  <c r="Q83" i="24" s="1"/>
  <c r="Q71" i="24"/>
  <c r="Q56" i="24"/>
  <c r="Q117" i="20"/>
  <c r="Q131" i="20" s="1"/>
  <c r="Q134" i="20" s="1"/>
  <c r="Q137" i="20" s="1"/>
  <c r="Q235" i="20" s="1"/>
  <c r="Q238" i="20" s="1"/>
  <c r="Q79" i="9"/>
  <c r="Q84" i="9" s="1"/>
  <c r="Q20" i="10" s="1"/>
  <c r="N108" i="8"/>
  <c r="N43" i="8" s="1"/>
  <c r="S111" i="11"/>
  <c r="R55" i="24" s="1"/>
  <c r="N23" i="10"/>
  <c r="R113" i="11"/>
  <c r="P91" i="9"/>
  <c r="Q92" i="9" s="1"/>
  <c r="Q16" i="9" s="1"/>
  <c r="Q22" i="9" s="1"/>
  <c r="P97" i="8"/>
  <c r="M13" i="10"/>
  <c r="N118" i="1"/>
  <c r="P115" i="9"/>
  <c r="P111" i="9"/>
  <c r="N131" i="8"/>
  <c r="E63" i="2"/>
  <c r="O91" i="9"/>
  <c r="O111" i="9"/>
  <c r="O112" i="9"/>
  <c r="O208" i="1"/>
  <c r="O211" i="1" s="1"/>
  <c r="Q87" i="9" l="1"/>
  <c r="Q74" i="24"/>
  <c r="Q77" i="24" s="1"/>
  <c r="R78" i="9"/>
  <c r="R108" i="9" s="1"/>
  <c r="Q116" i="20"/>
  <c r="Q118" i="20"/>
  <c r="Q143" i="20" s="1"/>
  <c r="Q81" i="9"/>
  <c r="Q82" i="9" s="1"/>
  <c r="Q83" i="9" s="1"/>
  <c r="Q13" i="9" s="1"/>
  <c r="Q24" i="9" s="1"/>
  <c r="Q57" i="9" s="1"/>
  <c r="Q96" i="8"/>
  <c r="R80" i="9"/>
  <c r="R115" i="20"/>
  <c r="Q239" i="20"/>
  <c r="Q240" i="20"/>
  <c r="Q241" i="20" s="1"/>
  <c r="Q139" i="20" s="1"/>
  <c r="Q140" i="20" s="1"/>
  <c r="O105" i="8"/>
  <c r="S112" i="11"/>
  <c r="R57" i="24" s="1"/>
  <c r="Q110" i="1"/>
  <c r="Q113" i="1" s="1"/>
  <c r="Q116" i="1" s="1"/>
  <c r="Q208" i="1" s="1"/>
  <c r="Q211" i="1" s="1"/>
  <c r="Q212" i="1" s="1"/>
  <c r="Q98" i="1"/>
  <c r="Q122" i="1" s="1"/>
  <c r="Q96" i="1"/>
  <c r="O115" i="9"/>
  <c r="O114" i="9"/>
  <c r="O19" i="9"/>
  <c r="O22" i="9" s="1"/>
  <c r="O24" i="9" s="1"/>
  <c r="P213" i="1"/>
  <c r="P214" i="1" s="1"/>
  <c r="P212" i="1"/>
  <c r="O212" i="1"/>
  <c r="O213" i="1"/>
  <c r="O214" i="1" s="1"/>
  <c r="N119" i="1"/>
  <c r="N80" i="24" s="1"/>
  <c r="N140" i="8" s="1"/>
  <c r="O93" i="9"/>
  <c r="P92" i="9"/>
  <c r="P37" i="8"/>
  <c r="Q95" i="8"/>
  <c r="N46" i="8"/>
  <c r="O128" i="8"/>
  <c r="P25" i="10"/>
  <c r="P129" i="8"/>
  <c r="R58" i="24" l="1"/>
  <c r="R83" i="24" s="1"/>
  <c r="R71" i="24"/>
  <c r="Q89" i="9"/>
  <c r="R56" i="24"/>
  <c r="R117" i="20"/>
  <c r="R116" i="20" s="1"/>
  <c r="Q97" i="8"/>
  <c r="Q37" i="8" s="1"/>
  <c r="R79" i="9"/>
  <c r="R81" i="9" s="1"/>
  <c r="R82" i="9" s="1"/>
  <c r="R83" i="9" s="1"/>
  <c r="R13" i="9" s="1"/>
  <c r="S113" i="11"/>
  <c r="T111" i="11"/>
  <c r="S55" i="24" s="1"/>
  <c r="Q213" i="1"/>
  <c r="Q214" i="1" s="1"/>
  <c r="P118" i="1"/>
  <c r="P119" i="1" s="1"/>
  <c r="P80" i="24" s="1"/>
  <c r="P16" i="9"/>
  <c r="P22" i="9" s="1"/>
  <c r="P24" i="9" s="1"/>
  <c r="P57" i="9" s="1"/>
  <c r="P93" i="9"/>
  <c r="N13" i="10"/>
  <c r="O57" i="9"/>
  <c r="O60" i="9" s="1"/>
  <c r="E45" i="2"/>
  <c r="E48" i="2" s="1"/>
  <c r="O106" i="8"/>
  <c r="O108" i="8" s="1"/>
  <c r="O23" i="10"/>
  <c r="O118" i="1"/>
  <c r="O25" i="10"/>
  <c r="O129" i="8"/>
  <c r="O131" i="8" s="1"/>
  <c r="P140" i="8" l="1"/>
  <c r="R74" i="24"/>
  <c r="R77" i="24" s="1"/>
  <c r="S78" i="9"/>
  <c r="S108" i="9" s="1"/>
  <c r="R87" i="9"/>
  <c r="R131" i="20"/>
  <c r="R134" i="20" s="1"/>
  <c r="R137" i="20" s="1"/>
  <c r="R235" i="20" s="1"/>
  <c r="R238" i="20" s="1"/>
  <c r="R240" i="20" s="1"/>
  <c r="R241" i="20" s="1"/>
  <c r="R139" i="20" s="1"/>
  <c r="R140" i="20" s="1"/>
  <c r="Q90" i="9"/>
  <c r="Q109" i="9" s="1"/>
  <c r="R95" i="8"/>
  <c r="R118" i="20"/>
  <c r="R143" i="20" s="1"/>
  <c r="R84" i="9"/>
  <c r="R96" i="8" s="1"/>
  <c r="S80" i="9"/>
  <c r="S115" i="20"/>
  <c r="R98" i="1"/>
  <c r="R122" i="1" s="1"/>
  <c r="R110" i="1"/>
  <c r="R113" i="1" s="1"/>
  <c r="R116" i="1" s="1"/>
  <c r="R208" i="1" s="1"/>
  <c r="R211" i="1" s="1"/>
  <c r="R96" i="1"/>
  <c r="Q118" i="1"/>
  <c r="Q119" i="1" s="1"/>
  <c r="Q80" i="24" s="1"/>
  <c r="Q140" i="8" s="1"/>
  <c r="T112" i="11"/>
  <c r="S57" i="24" s="1"/>
  <c r="P128" i="8"/>
  <c r="P131" i="8" s="1"/>
  <c r="O46" i="8"/>
  <c r="E72" i="2" s="1"/>
  <c r="O119" i="1"/>
  <c r="O80" i="24" s="1"/>
  <c r="O140" i="8" s="1"/>
  <c r="O43" i="8"/>
  <c r="E173" i="2" s="1"/>
  <c r="E175" i="2" s="1"/>
  <c r="P105" i="8"/>
  <c r="P59" i="9"/>
  <c r="P60" i="9" s="1"/>
  <c r="O39" i="8"/>
  <c r="E49" i="2"/>
  <c r="P106" i="8"/>
  <c r="P23" i="10"/>
  <c r="P13" i="10"/>
  <c r="S58" i="24" l="1"/>
  <c r="S83" i="24" s="1"/>
  <c r="S71" i="24"/>
  <c r="R239" i="20"/>
  <c r="Q91" i="9"/>
  <c r="R97" i="8"/>
  <c r="S95" i="8" s="1"/>
  <c r="S56" i="24"/>
  <c r="R89" i="9"/>
  <c r="R90" i="9" s="1"/>
  <c r="R109" i="9" s="1"/>
  <c r="Q115" i="9"/>
  <c r="Q111" i="9"/>
  <c r="S117" i="20"/>
  <c r="S131" i="20" s="1"/>
  <c r="S134" i="20" s="1"/>
  <c r="S137" i="20" s="1"/>
  <c r="S235" i="20" s="1"/>
  <c r="S238" i="20" s="1"/>
  <c r="R20" i="10"/>
  <c r="S79" i="9"/>
  <c r="T80" i="9" s="1"/>
  <c r="Q13" i="10"/>
  <c r="R212" i="1"/>
  <c r="R213" i="1"/>
  <c r="R214" i="1" s="1"/>
  <c r="T113" i="11"/>
  <c r="U111" i="11"/>
  <c r="T55" i="24" s="1"/>
  <c r="P108" i="8"/>
  <c r="E65" i="2"/>
  <c r="O40" i="8"/>
  <c r="E69" i="2"/>
  <c r="P46" i="8"/>
  <c r="Q128" i="8"/>
  <c r="P39" i="8"/>
  <c r="P40" i="8" s="1"/>
  <c r="Q59" i="9"/>
  <c r="Q60" i="9" s="1"/>
  <c r="O13" i="10"/>
  <c r="T78" i="9" l="1"/>
  <c r="T108" i="9" s="1"/>
  <c r="S87" i="9"/>
  <c r="S74" i="24"/>
  <c r="S77" i="24" s="1"/>
  <c r="R37" i="8"/>
  <c r="R92" i="9"/>
  <c r="R16" i="9" s="1"/>
  <c r="Q93" i="9"/>
  <c r="Q25" i="10"/>
  <c r="Q129" i="8"/>
  <c r="Q131" i="8" s="1"/>
  <c r="S118" i="20"/>
  <c r="S143" i="20" s="1"/>
  <c r="S81" i="9"/>
  <c r="S82" i="9" s="1"/>
  <c r="S83" i="9" s="1"/>
  <c r="S13" i="9" s="1"/>
  <c r="S116" i="20"/>
  <c r="S84" i="9"/>
  <c r="S96" i="8" s="1"/>
  <c r="S97" i="8" s="1"/>
  <c r="S239" i="20"/>
  <c r="S240" i="20"/>
  <c r="S241" i="20" s="1"/>
  <c r="S139" i="20" s="1"/>
  <c r="S140" i="20" s="1"/>
  <c r="T115" i="20"/>
  <c r="R91" i="9"/>
  <c r="S92" i="9" s="1"/>
  <c r="S16" i="9" s="1"/>
  <c r="S22" i="9" s="1"/>
  <c r="S98" i="1"/>
  <c r="S122" i="1" s="1"/>
  <c r="S96" i="1"/>
  <c r="S110" i="1"/>
  <c r="S113" i="1" s="1"/>
  <c r="S116" i="1" s="1"/>
  <c r="S208" i="1" s="1"/>
  <c r="S211" i="1" s="1"/>
  <c r="U112" i="11"/>
  <c r="T57" i="24" s="1"/>
  <c r="R118" i="1"/>
  <c r="R119" i="1" s="1"/>
  <c r="R80" i="24" s="1"/>
  <c r="R111" i="9"/>
  <c r="R112" i="9"/>
  <c r="E66" i="2"/>
  <c r="C211" i="2" s="1"/>
  <c r="Q105" i="8"/>
  <c r="P43" i="8"/>
  <c r="R59" i="9"/>
  <c r="Q39" i="8"/>
  <c r="Q40" i="8" s="1"/>
  <c r="R140" i="8" l="1"/>
  <c r="T58" i="24"/>
  <c r="T83" i="24" s="1"/>
  <c r="T71" i="24"/>
  <c r="Q23" i="10"/>
  <c r="Q106" i="8"/>
  <c r="Q108" i="8" s="1"/>
  <c r="R128" i="8"/>
  <c r="Q46" i="8"/>
  <c r="S212" i="1"/>
  <c r="S213" i="1"/>
  <c r="S214" i="1" s="1"/>
  <c r="S89" i="9"/>
  <c r="S90" i="9" s="1"/>
  <c r="S109" i="9" s="1"/>
  <c r="T56" i="24"/>
  <c r="S24" i="9"/>
  <c r="S57" i="9" s="1"/>
  <c r="T117" i="20"/>
  <c r="T116" i="20" s="1"/>
  <c r="S20" i="10"/>
  <c r="T79" i="9"/>
  <c r="T81" i="9" s="1"/>
  <c r="T82" i="9" s="1"/>
  <c r="T83" i="9" s="1"/>
  <c r="T13" i="9" s="1"/>
  <c r="R93" i="9"/>
  <c r="R106" i="8" s="1"/>
  <c r="U113" i="11"/>
  <c r="R13" i="10"/>
  <c r="S37" i="8"/>
  <c r="T95" i="8"/>
  <c r="R115" i="9"/>
  <c r="R19" i="9"/>
  <c r="R22" i="9" s="1"/>
  <c r="R24" i="9" s="1"/>
  <c r="R57" i="9" s="1"/>
  <c r="R60" i="9" s="1"/>
  <c r="R114" i="9"/>
  <c r="V111" i="11"/>
  <c r="U55" i="24" s="1"/>
  <c r="U78" i="9" s="1"/>
  <c r="T87" i="9" l="1"/>
  <c r="T74" i="24"/>
  <c r="T77" i="24" s="1"/>
  <c r="Q43" i="8"/>
  <c r="R105" i="8"/>
  <c r="R108" i="8" s="1"/>
  <c r="R43" i="8" s="1"/>
  <c r="S118" i="1"/>
  <c r="S119" i="1" s="1"/>
  <c r="S80" i="24" s="1"/>
  <c r="T131" i="20"/>
  <c r="T134" i="20" s="1"/>
  <c r="T137" i="20" s="1"/>
  <c r="T235" i="20" s="1"/>
  <c r="T238" i="20" s="1"/>
  <c r="T240" i="20" s="1"/>
  <c r="T241" i="20" s="1"/>
  <c r="T139" i="20" s="1"/>
  <c r="T140" i="20" s="1"/>
  <c r="T118" i="20"/>
  <c r="T143" i="20" s="1"/>
  <c r="T84" i="9"/>
  <c r="T20" i="10" s="1"/>
  <c r="U80" i="9"/>
  <c r="U79" i="9"/>
  <c r="V80" i="9" s="1"/>
  <c r="U115" i="20"/>
  <c r="R23" i="10"/>
  <c r="S91" i="9"/>
  <c r="T92" i="9" s="1"/>
  <c r="T16" i="9" s="1"/>
  <c r="T22" i="9" s="1"/>
  <c r="T24" i="9" s="1"/>
  <c r="T57" i="9" s="1"/>
  <c r="S59" i="9"/>
  <c r="S60" i="9" s="1"/>
  <c r="S39" i="8" s="1"/>
  <c r="S40" i="8" s="1"/>
  <c r="R39" i="8"/>
  <c r="R40" i="8" s="1"/>
  <c r="V112" i="11"/>
  <c r="U57" i="24" s="1"/>
  <c r="S111" i="9"/>
  <c r="S115" i="9"/>
  <c r="R25" i="10"/>
  <c r="R129" i="8"/>
  <c r="R131" i="8" s="1"/>
  <c r="T110" i="1"/>
  <c r="T113" i="1" s="1"/>
  <c r="T116" i="1" s="1"/>
  <c r="T208" i="1" s="1"/>
  <c r="T211" i="1" s="1"/>
  <c r="T96" i="1"/>
  <c r="T98" i="1"/>
  <c r="T122" i="1" s="1"/>
  <c r="S140" i="8" l="1"/>
  <c r="U58" i="24"/>
  <c r="U83" i="24" s="1"/>
  <c r="U71" i="24"/>
  <c r="T239" i="20"/>
  <c r="T96" i="8"/>
  <c r="T97" i="8" s="1"/>
  <c r="T37" i="8" s="1"/>
  <c r="U56" i="24"/>
  <c r="U87" i="9" s="1"/>
  <c r="T89" i="9"/>
  <c r="U117" i="20"/>
  <c r="U116" i="20" s="1"/>
  <c r="U81" i="9"/>
  <c r="U82" i="9" s="1"/>
  <c r="U83" i="9" s="1"/>
  <c r="U13" i="9" s="1"/>
  <c r="U84" i="9"/>
  <c r="U96" i="8" s="1"/>
  <c r="U108" i="9"/>
  <c r="S105" i="8"/>
  <c r="S93" i="9"/>
  <c r="S23" i="10" s="1"/>
  <c r="T59" i="9"/>
  <c r="T60" i="9" s="1"/>
  <c r="T39" i="8" s="1"/>
  <c r="V113" i="11"/>
  <c r="T213" i="1"/>
  <c r="T214" i="1" s="1"/>
  <c r="T212" i="1"/>
  <c r="R46" i="8"/>
  <c r="S128" i="8"/>
  <c r="S129" i="8"/>
  <c r="S25" i="10"/>
  <c r="W111" i="11"/>
  <c r="V55" i="24" s="1"/>
  <c r="V78" i="9" s="1"/>
  <c r="S13" i="10"/>
  <c r="U74" i="24" l="1"/>
  <c r="U77" i="24" s="1"/>
  <c r="U95" i="8"/>
  <c r="U97" i="8" s="1"/>
  <c r="U37" i="8" s="1"/>
  <c r="T90" i="9"/>
  <c r="T109" i="9" s="1"/>
  <c r="U131" i="20"/>
  <c r="U134" i="20" s="1"/>
  <c r="U137" i="20" s="1"/>
  <c r="U235" i="20" s="1"/>
  <c r="U238" i="20" s="1"/>
  <c r="U239" i="20" s="1"/>
  <c r="U118" i="20"/>
  <c r="U143" i="20" s="1"/>
  <c r="U20" i="10"/>
  <c r="V79" i="9"/>
  <c r="V81" i="9" s="1"/>
  <c r="V82" i="9" s="1"/>
  <c r="V83" i="9" s="1"/>
  <c r="V13" i="9" s="1"/>
  <c r="V115" i="20"/>
  <c r="S106" i="8"/>
  <c r="S108" i="8" s="1"/>
  <c r="S43" i="8" s="1"/>
  <c r="S131" i="8"/>
  <c r="T118" i="1"/>
  <c r="T119" i="1" s="1"/>
  <c r="T80" i="24" s="1"/>
  <c r="W112" i="11"/>
  <c r="V57" i="24" s="1"/>
  <c r="T40" i="8"/>
  <c r="U96" i="1"/>
  <c r="U110" i="1"/>
  <c r="U113" i="1" s="1"/>
  <c r="U116" i="1" s="1"/>
  <c r="U208" i="1" s="1"/>
  <c r="U211" i="1" s="1"/>
  <c r="U98" i="1"/>
  <c r="U122" i="1" s="1"/>
  <c r="U59" i="9"/>
  <c r="T140" i="8" l="1"/>
  <c r="U240" i="20"/>
  <c r="U241" i="20" s="1"/>
  <c r="U139" i="20" s="1"/>
  <c r="U140" i="20" s="1"/>
  <c r="V58" i="24"/>
  <c r="V83" i="24" s="1"/>
  <c r="V71" i="24"/>
  <c r="V74" i="24" s="1"/>
  <c r="V77" i="24" s="1"/>
  <c r="T91" i="9"/>
  <c r="V56" i="24"/>
  <c r="V87" i="9" s="1"/>
  <c r="U89" i="9"/>
  <c r="T111" i="9"/>
  <c r="T115" i="9"/>
  <c r="V117" i="20"/>
  <c r="V131" i="20" s="1"/>
  <c r="V134" i="20" s="1"/>
  <c r="V137" i="20" s="1"/>
  <c r="V235" i="20" s="1"/>
  <c r="V238" i="20" s="1"/>
  <c r="W80" i="9"/>
  <c r="V108" i="9"/>
  <c r="V84" i="9"/>
  <c r="V20" i="10" s="1"/>
  <c r="T105" i="8"/>
  <c r="V95" i="8"/>
  <c r="X111" i="11"/>
  <c r="W55" i="24" s="1"/>
  <c r="W78" i="9" s="1"/>
  <c r="T128" i="8"/>
  <c r="S46" i="8"/>
  <c r="U213" i="1"/>
  <c r="U214" i="1" s="1"/>
  <c r="U212" i="1"/>
  <c r="T13" i="10"/>
  <c r="W113" i="11"/>
  <c r="U92" i="9" l="1"/>
  <c r="U16" i="9" s="1"/>
  <c r="T93" i="9"/>
  <c r="V116" i="20"/>
  <c r="V118" i="20"/>
  <c r="V143" i="20" s="1"/>
  <c r="U90" i="9"/>
  <c r="U109" i="9" s="1"/>
  <c r="T129" i="8"/>
  <c r="T131" i="8" s="1"/>
  <c r="T25" i="10"/>
  <c r="V96" i="8"/>
  <c r="V97" i="8" s="1"/>
  <c r="V37" i="8" s="1"/>
  <c r="W108" i="9"/>
  <c r="W115" i="20"/>
  <c r="V239" i="20"/>
  <c r="V240" i="20"/>
  <c r="V241" i="20" s="1"/>
  <c r="V139" i="20" s="1"/>
  <c r="V140" i="20" s="1"/>
  <c r="U118" i="1"/>
  <c r="U119" i="1" s="1"/>
  <c r="U80" i="24" s="1"/>
  <c r="U140" i="8" s="1"/>
  <c r="X112" i="11"/>
  <c r="W57" i="24" s="1"/>
  <c r="V98" i="1"/>
  <c r="V122" i="1" s="1"/>
  <c r="V110" i="1"/>
  <c r="V113" i="1" s="1"/>
  <c r="V116" i="1" s="1"/>
  <c r="V208" i="1" s="1"/>
  <c r="V211" i="1" s="1"/>
  <c r="V96" i="1"/>
  <c r="W58" i="24" l="1"/>
  <c r="W83" i="24" s="1"/>
  <c r="W71" i="24"/>
  <c r="W74" i="24" s="1"/>
  <c r="W77" i="24" s="1"/>
  <c r="T23" i="10"/>
  <c r="T106" i="8"/>
  <c r="T108" i="8" s="1"/>
  <c r="U105" i="8" s="1"/>
  <c r="U91" i="9"/>
  <c r="W56" i="24"/>
  <c r="W87" i="9" s="1"/>
  <c r="T46" i="8"/>
  <c r="U128" i="8"/>
  <c r="V89" i="9"/>
  <c r="U111" i="9"/>
  <c r="U112" i="9"/>
  <c r="W117" i="20"/>
  <c r="W118" i="20" s="1"/>
  <c r="W143" i="20" s="1"/>
  <c r="W79" i="9"/>
  <c r="W81" i="9" s="1"/>
  <c r="W82" i="9" s="1"/>
  <c r="W83" i="9" s="1"/>
  <c r="W13" i="9" s="1"/>
  <c r="W95" i="8"/>
  <c r="X113" i="11"/>
  <c r="Y111" i="11"/>
  <c r="X55" i="24" s="1"/>
  <c r="X78" i="9" s="1"/>
  <c r="U13" i="10"/>
  <c r="V212" i="1"/>
  <c r="V213" i="1"/>
  <c r="V214" i="1" s="1"/>
  <c r="T43" i="8" l="1"/>
  <c r="V92" i="9"/>
  <c r="V16" i="9" s="1"/>
  <c r="V22" i="9" s="1"/>
  <c r="V24" i="9" s="1"/>
  <c r="V57" i="9" s="1"/>
  <c r="U93" i="9"/>
  <c r="V90" i="9"/>
  <c r="V109" i="9" s="1"/>
  <c r="U114" i="9"/>
  <c r="U19" i="9"/>
  <c r="U22" i="9" s="1"/>
  <c r="U24" i="9" s="1"/>
  <c r="U57" i="9" s="1"/>
  <c r="U60" i="9" s="1"/>
  <c r="U115" i="9"/>
  <c r="W131" i="20"/>
  <c r="W134" i="20" s="1"/>
  <c r="W137" i="20" s="1"/>
  <c r="W235" i="20" s="1"/>
  <c r="W238" i="20" s="1"/>
  <c r="W240" i="20" s="1"/>
  <c r="W241" i="20" s="1"/>
  <c r="W139" i="20" s="1"/>
  <c r="W140" i="20" s="1"/>
  <c r="W116" i="20"/>
  <c r="X80" i="9"/>
  <c r="W84" i="9"/>
  <c r="W96" i="8" s="1"/>
  <c r="W97" i="8" s="1"/>
  <c r="X95" i="8" s="1"/>
  <c r="X108" i="9"/>
  <c r="X115" i="20"/>
  <c r="V118" i="1"/>
  <c r="V119" i="1" s="1"/>
  <c r="V80" i="24" s="1"/>
  <c r="V140" i="8" s="1"/>
  <c r="Y112" i="11"/>
  <c r="X57" i="24" s="1"/>
  <c r="W110" i="1"/>
  <c r="W113" i="1" s="1"/>
  <c r="W116" i="1" s="1"/>
  <c r="W98" i="1"/>
  <c r="W122" i="1" s="1"/>
  <c r="W96" i="1"/>
  <c r="X58" i="24" l="1"/>
  <c r="X83" i="24" s="1"/>
  <c r="X71" i="24"/>
  <c r="X74" i="24" s="1"/>
  <c r="X77" i="24" s="1"/>
  <c r="V91" i="9"/>
  <c r="V93" i="9" s="1"/>
  <c r="U23" i="10"/>
  <c r="U106" i="8"/>
  <c r="U108" i="8" s="1"/>
  <c r="W239" i="20"/>
  <c r="W89" i="9"/>
  <c r="X56" i="24"/>
  <c r="X87" i="9" s="1"/>
  <c r="U129" i="8"/>
  <c r="U131" i="8" s="1"/>
  <c r="U25" i="10"/>
  <c r="V59" i="9"/>
  <c r="V60" i="9" s="1"/>
  <c r="U39" i="8"/>
  <c r="U40" i="8" s="1"/>
  <c r="V111" i="9"/>
  <c r="V115" i="9"/>
  <c r="X117" i="20"/>
  <c r="X118" i="20" s="1"/>
  <c r="X143" i="20" s="1"/>
  <c r="W20" i="10"/>
  <c r="X79" i="9"/>
  <c r="X81" i="9" s="1"/>
  <c r="X82" i="9" s="1"/>
  <c r="X83" i="9" s="1"/>
  <c r="X13" i="9" s="1"/>
  <c r="W37" i="8"/>
  <c r="Y113" i="11"/>
  <c r="V13" i="10"/>
  <c r="Z111" i="11"/>
  <c r="Y55" i="24" s="1"/>
  <c r="Y78" i="9" s="1"/>
  <c r="W208" i="1"/>
  <c r="W211" i="1" s="1"/>
  <c r="W92" i="9" l="1"/>
  <c r="W16" i="9" s="1"/>
  <c r="W22" i="9" s="1"/>
  <c r="W24" i="9" s="1"/>
  <c r="W57" i="9" s="1"/>
  <c r="V105" i="8"/>
  <c r="U43" i="8"/>
  <c r="V106" i="8"/>
  <c r="V23" i="10"/>
  <c r="W90" i="9"/>
  <c r="W109" i="9" s="1"/>
  <c r="W115" i="9" s="1"/>
  <c r="W25" i="10" s="1"/>
  <c r="U46" i="8"/>
  <c r="V128" i="8"/>
  <c r="W59" i="9"/>
  <c r="V39" i="8"/>
  <c r="V40" i="8" s="1"/>
  <c r="X131" i="20"/>
  <c r="X134" i="20" s="1"/>
  <c r="X137" i="20" s="1"/>
  <c r="X235" i="20" s="1"/>
  <c r="X238" i="20" s="1"/>
  <c r="X240" i="20" s="1"/>
  <c r="X241" i="20" s="1"/>
  <c r="X139" i="20" s="1"/>
  <c r="X140" i="20" s="1"/>
  <c r="V129" i="8"/>
  <c r="V25" i="10"/>
  <c r="X116" i="20"/>
  <c r="X84" i="9"/>
  <c r="X96" i="8" s="1"/>
  <c r="X97" i="8" s="1"/>
  <c r="Y95" i="8" s="1"/>
  <c r="Y80" i="9"/>
  <c r="Y108" i="9"/>
  <c r="Y115" i="20"/>
  <c r="X110" i="1"/>
  <c r="X113" i="1" s="1"/>
  <c r="X116" i="1" s="1"/>
  <c r="X98" i="1"/>
  <c r="X122" i="1" s="1"/>
  <c r="X96" i="1"/>
  <c r="Z112" i="11"/>
  <c r="Y57" i="24" s="1"/>
  <c r="W212" i="1"/>
  <c r="W213" i="1"/>
  <c r="W214" i="1" s="1"/>
  <c r="Y58" i="24" l="1"/>
  <c r="Y83" i="24" s="1"/>
  <c r="Y71" i="24"/>
  <c r="Y74" i="24" s="1"/>
  <c r="Y77" i="24" s="1"/>
  <c r="W60" i="9"/>
  <c r="W39" i="8" s="1"/>
  <c r="W40" i="8" s="1"/>
  <c r="W129" i="8"/>
  <c r="V108" i="8"/>
  <c r="W105" i="8" s="1"/>
  <c r="W111" i="9"/>
  <c r="X239" i="20"/>
  <c r="V131" i="8"/>
  <c r="V46" i="8" s="1"/>
  <c r="W91" i="9"/>
  <c r="X89" i="9"/>
  <c r="X90" i="9" s="1"/>
  <c r="X109" i="9" s="1"/>
  <c r="X111" i="9" s="1"/>
  <c r="Y56" i="24"/>
  <c r="Y87" i="9" s="1"/>
  <c r="Y117" i="20"/>
  <c r="Y116" i="20" s="1"/>
  <c r="X20" i="10"/>
  <c r="Y79" i="9"/>
  <c r="Y81" i="9" s="1"/>
  <c r="Y82" i="9" s="1"/>
  <c r="Y83" i="9" s="1"/>
  <c r="Y13" i="9" s="1"/>
  <c r="X37" i="8"/>
  <c r="Z113" i="11"/>
  <c r="AA111" i="11"/>
  <c r="Z55" i="24" s="1"/>
  <c r="Z78" i="9" s="1"/>
  <c r="X208" i="1"/>
  <c r="X211" i="1" s="1"/>
  <c r="W118" i="1"/>
  <c r="X59" i="9" l="1"/>
  <c r="V43" i="8"/>
  <c r="W128" i="8"/>
  <c r="W131" i="8" s="1"/>
  <c r="X128" i="8" s="1"/>
  <c r="X92" i="9"/>
  <c r="X16" i="9" s="1"/>
  <c r="W93" i="9"/>
  <c r="Y118" i="20"/>
  <c r="Y143" i="20" s="1"/>
  <c r="X112" i="9"/>
  <c r="X19" i="9" s="1"/>
  <c r="X91" i="9"/>
  <c r="Y92" i="9" s="1"/>
  <c r="Y16" i="9" s="1"/>
  <c r="Y22" i="9" s="1"/>
  <c r="Y24" i="9" s="1"/>
  <c r="Y57" i="9" s="1"/>
  <c r="Y131" i="20"/>
  <c r="Y134" i="20" s="1"/>
  <c r="Y137" i="20" s="1"/>
  <c r="Y235" i="20" s="1"/>
  <c r="Y238" i="20" s="1"/>
  <c r="Y239" i="20" s="1"/>
  <c r="Y84" i="9"/>
  <c r="Y20" i="10" s="1"/>
  <c r="Z80" i="9"/>
  <c r="Z108" i="9"/>
  <c r="Z115" i="20"/>
  <c r="Y96" i="1"/>
  <c r="Y98" i="1"/>
  <c r="Y122" i="1" s="1"/>
  <c r="Y110" i="1"/>
  <c r="Y113" i="1" s="1"/>
  <c r="Y116" i="1" s="1"/>
  <c r="AA112" i="11"/>
  <c r="Z57" i="24" s="1"/>
  <c r="X213" i="1"/>
  <c r="X214" i="1" s="1"/>
  <c r="X212" i="1"/>
  <c r="W119" i="1"/>
  <c r="W80" i="24" s="1"/>
  <c r="W140" i="8" s="1"/>
  <c r="Z58" i="24" l="1"/>
  <c r="Z83" i="24" s="1"/>
  <c r="Z71" i="24"/>
  <c r="Z74" i="24" s="1"/>
  <c r="Z77" i="24" s="1"/>
  <c r="Y240" i="20"/>
  <c r="Y241" i="20" s="1"/>
  <c r="Y139" i="20" s="1"/>
  <c r="Y140" i="20" s="1"/>
  <c r="W46" i="8"/>
  <c r="X115" i="9"/>
  <c r="X129" i="8" s="1"/>
  <c r="X131" i="8" s="1"/>
  <c r="X114" i="9"/>
  <c r="X93" i="9"/>
  <c r="X23" i="10" s="1"/>
  <c r="W106" i="8"/>
  <c r="W108" i="8" s="1"/>
  <c r="W23" i="10"/>
  <c r="Z56" i="24"/>
  <c r="Z87" i="9" s="1"/>
  <c r="Y89" i="9"/>
  <c r="Y96" i="8"/>
  <c r="Y97" i="8" s="1"/>
  <c r="Z95" i="8" s="1"/>
  <c r="Z117" i="20"/>
  <c r="Z131" i="20" s="1"/>
  <c r="Z134" i="20" s="1"/>
  <c r="Z137" i="20" s="1"/>
  <c r="Z235" i="20" s="1"/>
  <c r="Z238" i="20" s="1"/>
  <c r="Z79" i="9"/>
  <c r="Z84" i="9" s="1"/>
  <c r="Z20" i="10" s="1"/>
  <c r="AB111" i="11"/>
  <c r="AA55" i="24" s="1"/>
  <c r="AA113" i="11"/>
  <c r="Y208" i="1"/>
  <c r="Y211" i="1" s="1"/>
  <c r="W13" i="10"/>
  <c r="X118" i="1"/>
  <c r="AA78" i="9" l="1"/>
  <c r="F11" i="2"/>
  <c r="X25" i="10"/>
  <c r="X106" i="8"/>
  <c r="W43" i="8"/>
  <c r="X105" i="8"/>
  <c r="Z118" i="20"/>
  <c r="Z143" i="20" s="1"/>
  <c r="Y90" i="9"/>
  <c r="Y109" i="9" s="1"/>
  <c r="Y37" i="8"/>
  <c r="Z116" i="20"/>
  <c r="AA80" i="9"/>
  <c r="Z96" i="8"/>
  <c r="Z97" i="8" s="1"/>
  <c r="Z37" i="8" s="1"/>
  <c r="Z81" i="9"/>
  <c r="Z82" i="9" s="1"/>
  <c r="Z83" i="9" s="1"/>
  <c r="Z13" i="9" s="1"/>
  <c r="Z239" i="20"/>
  <c r="Z240" i="20"/>
  <c r="Z241" i="20" s="1"/>
  <c r="Z139" i="20" s="1"/>
  <c r="Z140" i="20" s="1"/>
  <c r="AA115" i="20"/>
  <c r="Z96" i="1"/>
  <c r="Z110" i="1"/>
  <c r="Z113" i="1" s="1"/>
  <c r="Z116" i="1" s="1"/>
  <c r="Z98" i="1"/>
  <c r="Z122" i="1" s="1"/>
  <c r="AB112" i="11"/>
  <c r="AA57" i="24" s="1"/>
  <c r="X119" i="1"/>
  <c r="X80" i="24" s="1"/>
  <c r="X140" i="8" s="1"/>
  <c r="Y212" i="1"/>
  <c r="Y213" i="1"/>
  <c r="Y214" i="1" s="1"/>
  <c r="Y128" i="8"/>
  <c r="X46" i="8"/>
  <c r="F185" i="2" l="1"/>
  <c r="D218" i="2"/>
  <c r="AA58" i="24"/>
  <c r="AA83" i="24" s="1"/>
  <c r="AA71" i="24"/>
  <c r="F13" i="2"/>
  <c r="X108" i="8"/>
  <c r="Y105" i="8" s="1"/>
  <c r="AA56" i="24"/>
  <c r="Z89" i="9"/>
  <c r="Y91" i="9"/>
  <c r="Y115" i="9"/>
  <c r="Y111" i="9"/>
  <c r="AA117" i="20"/>
  <c r="AA116" i="20" s="1"/>
  <c r="AA95" i="8"/>
  <c r="AA108" i="9"/>
  <c r="AB113" i="11"/>
  <c r="AC111" i="11"/>
  <c r="AB55" i="24" s="1"/>
  <c r="Z208" i="1"/>
  <c r="Z211" i="1" s="1"/>
  <c r="X13" i="10"/>
  <c r="Y118" i="1"/>
  <c r="D220" i="2" l="1"/>
  <c r="AA87" i="9"/>
  <c r="F12" i="2"/>
  <c r="AA74" i="24"/>
  <c r="AA77" i="24" s="1"/>
  <c r="F29" i="2"/>
  <c r="D222" i="2" s="1"/>
  <c r="AB78" i="9"/>
  <c r="AB108" i="9" s="1"/>
  <c r="X43" i="8"/>
  <c r="Z90" i="9"/>
  <c r="Z109" i="9" s="1"/>
  <c r="Y93" i="9"/>
  <c r="Z92" i="9"/>
  <c r="Z16" i="9" s="1"/>
  <c r="Z22" i="9" s="1"/>
  <c r="Z24" i="9" s="1"/>
  <c r="Z57" i="9" s="1"/>
  <c r="Y129" i="8"/>
  <c r="Y131" i="8" s="1"/>
  <c r="Z128" i="8" s="1"/>
  <c r="Y25" i="10"/>
  <c r="AA131" i="20"/>
  <c r="AA134" i="20" s="1"/>
  <c r="AA137" i="20" s="1"/>
  <c r="AA235" i="20" s="1"/>
  <c r="AA238" i="20" s="1"/>
  <c r="AA240" i="20" s="1"/>
  <c r="AA241" i="20" s="1"/>
  <c r="AA139" i="20" s="1"/>
  <c r="AA140" i="20" s="1"/>
  <c r="AA118" i="20"/>
  <c r="AA143" i="20" s="1"/>
  <c r="AA79" i="9"/>
  <c r="AA81" i="9" s="1"/>
  <c r="AA82" i="9" s="1"/>
  <c r="AA83" i="9" s="1"/>
  <c r="AA13" i="9" s="1"/>
  <c r="AB115" i="20"/>
  <c r="AA98" i="1"/>
  <c r="AA122" i="1" s="1"/>
  <c r="AA96" i="1"/>
  <c r="AA110" i="1"/>
  <c r="AC112" i="11"/>
  <c r="AB57" i="24" s="1"/>
  <c r="Z213" i="1"/>
  <c r="Z214" i="1" s="1"/>
  <c r="Z212" i="1"/>
  <c r="Y119" i="1"/>
  <c r="Y80" i="24" s="1"/>
  <c r="Y140" i="8" s="1"/>
  <c r="AB71" i="24" l="1"/>
  <c r="F173" i="2"/>
  <c r="D219" i="2"/>
  <c r="AB58" i="24"/>
  <c r="AB83" i="24" s="1"/>
  <c r="AA239" i="20"/>
  <c r="Y46" i="8"/>
  <c r="Z91" i="9"/>
  <c r="AA92" i="9" s="1"/>
  <c r="AA16" i="9" s="1"/>
  <c r="Y23" i="10"/>
  <c r="Y106" i="8"/>
  <c r="Y108" i="8" s="1"/>
  <c r="Z115" i="9"/>
  <c r="Z111" i="9"/>
  <c r="AB56" i="24"/>
  <c r="AB117" i="20"/>
  <c r="AB116" i="20" s="1"/>
  <c r="AB107" i="22"/>
  <c r="AB131" i="22" s="1"/>
  <c r="AB80" i="9"/>
  <c r="AA84" i="9"/>
  <c r="AA96" i="8" s="1"/>
  <c r="AA97" i="8" s="1"/>
  <c r="AB79" i="9"/>
  <c r="AC80" i="9" s="1"/>
  <c r="F15" i="2"/>
  <c r="F129" i="2"/>
  <c r="I225" i="2" s="1"/>
  <c r="AC113" i="11"/>
  <c r="AA113" i="1"/>
  <c r="F131" i="2"/>
  <c r="AD111" i="11"/>
  <c r="AC55" i="24" s="1"/>
  <c r="AA89" i="9"/>
  <c r="AA90" i="9" s="1"/>
  <c r="AA109" i="9" s="1"/>
  <c r="AA112" i="9" s="1"/>
  <c r="AA115" i="9" s="1"/>
  <c r="Z118" i="1"/>
  <c r="Y13" i="10"/>
  <c r="AB87" i="9" l="1"/>
  <c r="AC78" i="9"/>
  <c r="AB74" i="24"/>
  <c r="AB77" i="24" s="1"/>
  <c r="AB95" i="24" s="1"/>
  <c r="Z93" i="9"/>
  <c r="Z106" i="8" s="1"/>
  <c r="Y43" i="8"/>
  <c r="Z105" i="8"/>
  <c r="Z129" i="8"/>
  <c r="Z131" i="8" s="1"/>
  <c r="Z25" i="10"/>
  <c r="AB131" i="20"/>
  <c r="AB134" i="20" s="1"/>
  <c r="AB137" i="20" s="1"/>
  <c r="AB235" i="20" s="1"/>
  <c r="AB238" i="20" s="1"/>
  <c r="AB239" i="20" s="1"/>
  <c r="AB118" i="20"/>
  <c r="AB143" i="20" s="1"/>
  <c r="AB84" i="9"/>
  <c r="AB96" i="8" s="1"/>
  <c r="AB81" i="9"/>
  <c r="AB82" i="9" s="1"/>
  <c r="AB83" i="9" s="1"/>
  <c r="AB13" i="9" s="1"/>
  <c r="AA20" i="10"/>
  <c r="AC115" i="20"/>
  <c r="AA111" i="9"/>
  <c r="AA91" i="9"/>
  <c r="AA93" i="9" s="1"/>
  <c r="F14" i="2"/>
  <c r="F167" i="2"/>
  <c r="AA116" i="1"/>
  <c r="AD112" i="11"/>
  <c r="AC57" i="24" s="1"/>
  <c r="AB98" i="1"/>
  <c r="AB122" i="1" s="1"/>
  <c r="AB96" i="1"/>
  <c r="AB110" i="1"/>
  <c r="AB113" i="1" s="1"/>
  <c r="AB116" i="1" s="1"/>
  <c r="AB208" i="1" s="1"/>
  <c r="AB211" i="1" s="1"/>
  <c r="AB95" i="8"/>
  <c r="AA37" i="8"/>
  <c r="Z119" i="1"/>
  <c r="Z80" i="24" s="1"/>
  <c r="Z140" i="8" s="1"/>
  <c r="AA25" i="10"/>
  <c r="AA129" i="8"/>
  <c r="AA19" i="9"/>
  <c r="AA22" i="9" s="1"/>
  <c r="AA24" i="9" s="1"/>
  <c r="AA114" i="9"/>
  <c r="AC71" i="24" l="1"/>
  <c r="AC58" i="24"/>
  <c r="AC83" i="24" s="1"/>
  <c r="F63" i="2"/>
  <c r="F171" i="2"/>
  <c r="F169" i="2"/>
  <c r="AB240" i="20"/>
  <c r="AB241" i="20" s="1"/>
  <c r="AB139" i="20" s="1"/>
  <c r="AB140" i="20" s="1"/>
  <c r="Z108" i="8"/>
  <c r="Z43" i="8" s="1"/>
  <c r="Z23" i="10"/>
  <c r="AA128" i="8"/>
  <c r="AA131" i="8" s="1"/>
  <c r="Z46" i="8"/>
  <c r="AB89" i="9"/>
  <c r="AB90" i="9" s="1"/>
  <c r="AB109" i="9" s="1"/>
  <c r="AC56" i="24"/>
  <c r="AC117" i="20"/>
  <c r="AC118" i="20" s="1"/>
  <c r="AC143" i="20" s="1"/>
  <c r="AC107" i="22"/>
  <c r="AB20" i="10"/>
  <c r="AB92" i="9"/>
  <c r="AB16" i="9" s="1"/>
  <c r="AB22" i="9" s="1"/>
  <c r="AB24" i="9" s="1"/>
  <c r="AB57" i="9" s="1"/>
  <c r="AB97" i="8"/>
  <c r="AC95" i="8" s="1"/>
  <c r="AD113" i="11"/>
  <c r="AC108" i="9"/>
  <c r="AC79" i="9"/>
  <c r="AC81" i="9" s="1"/>
  <c r="AC82" i="9" s="1"/>
  <c r="AC83" i="9" s="1"/>
  <c r="AC13" i="9" s="1"/>
  <c r="AA208" i="1"/>
  <c r="AA211" i="1" s="1"/>
  <c r="AE111" i="11"/>
  <c r="AD55" i="24" s="1"/>
  <c r="AA57" i="9"/>
  <c r="Z13" i="10"/>
  <c r="AA23" i="10"/>
  <c r="AA106" i="8"/>
  <c r="AC131" i="20" l="1"/>
  <c r="AC134" i="20" s="1"/>
  <c r="AC137" i="20" s="1"/>
  <c r="AC235" i="20" s="1"/>
  <c r="AC238" i="20" s="1"/>
  <c r="AC240" i="20" s="1"/>
  <c r="AC241" i="20" s="1"/>
  <c r="AC139" i="20" s="1"/>
  <c r="AC140" i="20" s="1"/>
  <c r="AD78" i="9"/>
  <c r="AC87" i="9"/>
  <c r="AC74" i="24"/>
  <c r="AC77" i="24" s="1"/>
  <c r="AA105" i="8"/>
  <c r="AA108" i="8" s="1"/>
  <c r="AB128" i="8"/>
  <c r="AA46" i="8"/>
  <c r="F72" i="2" s="1"/>
  <c r="AC116" i="20"/>
  <c r="AD115" i="20"/>
  <c r="AB37" i="8"/>
  <c r="AE112" i="11"/>
  <c r="AD57" i="24" s="1"/>
  <c r="AC84" i="9"/>
  <c r="AD80" i="9"/>
  <c r="AC110" i="1"/>
  <c r="AC113" i="1" s="1"/>
  <c r="AC116" i="1" s="1"/>
  <c r="AC208" i="1" s="1"/>
  <c r="AC211" i="1" s="1"/>
  <c r="AC212" i="1" s="1"/>
  <c r="AC98" i="1"/>
  <c r="AC122" i="1" s="1"/>
  <c r="AC96" i="1"/>
  <c r="AB115" i="9"/>
  <c r="AB111" i="9"/>
  <c r="AA212" i="1"/>
  <c r="AA213" i="1"/>
  <c r="AA214" i="1" s="1"/>
  <c r="AB213" i="1"/>
  <c r="AB214" i="1" s="1"/>
  <c r="AB212" i="1"/>
  <c r="AB91" i="9"/>
  <c r="AD71" i="24" l="1"/>
  <c r="AC239" i="20"/>
  <c r="AD58" i="24"/>
  <c r="AD83" i="24" s="1"/>
  <c r="AB105" i="8"/>
  <c r="AA43" i="8"/>
  <c r="F69" i="2" s="1"/>
  <c r="F175" i="2" s="1"/>
  <c r="AC89" i="9"/>
  <c r="AC90" i="9" s="1"/>
  <c r="AC109" i="9" s="1"/>
  <c r="AD56" i="24"/>
  <c r="AD117" i="20"/>
  <c r="AD116" i="20" s="1"/>
  <c r="AD107" i="22"/>
  <c r="AC213" i="1"/>
  <c r="AC214" i="1" s="1"/>
  <c r="AE113" i="11"/>
  <c r="AC92" i="9"/>
  <c r="AC16" i="9" s="1"/>
  <c r="AC22" i="9" s="1"/>
  <c r="AC24" i="9" s="1"/>
  <c r="AC57" i="9" s="1"/>
  <c r="AB93" i="9"/>
  <c r="AA118" i="1"/>
  <c r="AB129" i="8"/>
  <c r="AB131" i="8" s="1"/>
  <c r="AB25" i="10"/>
  <c r="AF111" i="11"/>
  <c r="AE55" i="24" s="1"/>
  <c r="AB118" i="1"/>
  <c r="AC96" i="8"/>
  <c r="AC97" i="8" s="1"/>
  <c r="AC20" i="10"/>
  <c r="AD108" i="9"/>
  <c r="AD79" i="9"/>
  <c r="AB119" i="1" l="1"/>
  <c r="AB80" i="24" s="1"/>
  <c r="AB79" i="24"/>
  <c r="AD87" i="9"/>
  <c r="AE78" i="9"/>
  <c r="AD74" i="24"/>
  <c r="AD77" i="24" s="1"/>
  <c r="AC118" i="1"/>
  <c r="AD131" i="20"/>
  <c r="AD134" i="20" s="1"/>
  <c r="AD137" i="20" s="1"/>
  <c r="AD235" i="20" s="1"/>
  <c r="AD238" i="20" s="1"/>
  <c r="AD239" i="20" s="1"/>
  <c r="AD118" i="20"/>
  <c r="AD143" i="20" s="1"/>
  <c r="AE115" i="20"/>
  <c r="AC91" i="9"/>
  <c r="AC93" i="9" s="1"/>
  <c r="AE80" i="9"/>
  <c r="AD84" i="9"/>
  <c r="AB23" i="10"/>
  <c r="AB106" i="8"/>
  <c r="AB108" i="8" s="1"/>
  <c r="AB43" i="8" s="1"/>
  <c r="AC115" i="9"/>
  <c r="AC111" i="9"/>
  <c r="AC128" i="8"/>
  <c r="AB46" i="8"/>
  <c r="AD81" i="9"/>
  <c r="AD82" i="9" s="1"/>
  <c r="AD83" i="9" s="1"/>
  <c r="AD13" i="9" s="1"/>
  <c r="AD95" i="8"/>
  <c r="AC37" i="8"/>
  <c r="AB13" i="10"/>
  <c r="AF112" i="11"/>
  <c r="AE57" i="24" s="1"/>
  <c r="AA119" i="1"/>
  <c r="AA80" i="24" s="1"/>
  <c r="AD110" i="1"/>
  <c r="AD113" i="1" s="1"/>
  <c r="AD116" i="1" s="1"/>
  <c r="AD208" i="1" s="1"/>
  <c r="AD211" i="1" s="1"/>
  <c r="AD98" i="1"/>
  <c r="AD122" i="1" s="1"/>
  <c r="AD96" i="1"/>
  <c r="AE71" i="24" l="1"/>
  <c r="AC119" i="1"/>
  <c r="AC79" i="24"/>
  <c r="AA140" i="8"/>
  <c r="F38" i="2"/>
  <c r="D228" i="2" s="1"/>
  <c r="AE58" i="24"/>
  <c r="AE83" i="24" s="1"/>
  <c r="AD89" i="9"/>
  <c r="AD90" i="9" s="1"/>
  <c r="AD109" i="9" s="1"/>
  <c r="AD240" i="20"/>
  <c r="AD241" i="20" s="1"/>
  <c r="AD139" i="20" s="1"/>
  <c r="AD140" i="20" s="1"/>
  <c r="AE56" i="24"/>
  <c r="AE117" i="20"/>
  <c r="AE116" i="20" s="1"/>
  <c r="AE107" i="22"/>
  <c r="AD92" i="9"/>
  <c r="AD16" i="9" s="1"/>
  <c r="AC105" i="8"/>
  <c r="AD96" i="8"/>
  <c r="AD97" i="8" s="1"/>
  <c r="AD20" i="10"/>
  <c r="AF113" i="11"/>
  <c r="AE79" i="9"/>
  <c r="AE81" i="9" s="1"/>
  <c r="AE82" i="9" s="1"/>
  <c r="AE83" i="9" s="1"/>
  <c r="AE13" i="9" s="1"/>
  <c r="AE108" i="9"/>
  <c r="AC106" i="8"/>
  <c r="AC23" i="10"/>
  <c r="AG111" i="11"/>
  <c r="AF55" i="24" s="1"/>
  <c r="AA13" i="10"/>
  <c r="AD213" i="1"/>
  <c r="AD214" i="1" s="1"/>
  <c r="AD212" i="1"/>
  <c r="AC25" i="10"/>
  <c r="AC129" i="8"/>
  <c r="AC131" i="8" s="1"/>
  <c r="AC13" i="10" l="1"/>
  <c r="AC80" i="24"/>
  <c r="AF78" i="9"/>
  <c r="AE87" i="9"/>
  <c r="AE74" i="24"/>
  <c r="AE77" i="24" s="1"/>
  <c r="AE118" i="20"/>
  <c r="AE143" i="20" s="1"/>
  <c r="AE131" i="20"/>
  <c r="AE134" i="20" s="1"/>
  <c r="AE137" i="20" s="1"/>
  <c r="AE235" i="20" s="1"/>
  <c r="AE238" i="20" s="1"/>
  <c r="AE240" i="20" s="1"/>
  <c r="AE241" i="20" s="1"/>
  <c r="AE139" i="20" s="1"/>
  <c r="AE140" i="20" s="1"/>
  <c r="AF115" i="20"/>
  <c r="AD91" i="9"/>
  <c r="AD93" i="9" s="1"/>
  <c r="AC46" i="8"/>
  <c r="AD128" i="8"/>
  <c r="AE95" i="8"/>
  <c r="AD37" i="8"/>
  <c r="AD118" i="1"/>
  <c r="AG112" i="11"/>
  <c r="AF57" i="24" s="1"/>
  <c r="AE98" i="1"/>
  <c r="AE122" i="1" s="1"/>
  <c r="AE110" i="1"/>
  <c r="AE113" i="1" s="1"/>
  <c r="AE116" i="1" s="1"/>
  <c r="AE208" i="1" s="1"/>
  <c r="AE211" i="1" s="1"/>
  <c r="AE96" i="1"/>
  <c r="AF80" i="9"/>
  <c r="AE84" i="9"/>
  <c r="AC108" i="8"/>
  <c r="AD111" i="9"/>
  <c r="AD112" i="9"/>
  <c r="AF71" i="24" l="1"/>
  <c r="AD119" i="1"/>
  <c r="AD80" i="24" s="1"/>
  <c r="AD79" i="24"/>
  <c r="AF58" i="24"/>
  <c r="AF83" i="24" s="1"/>
  <c r="AE239" i="20"/>
  <c r="AE89" i="9"/>
  <c r="AE90" i="9" s="1"/>
  <c r="AE109" i="9" s="1"/>
  <c r="AF56" i="24"/>
  <c r="AF117" i="20"/>
  <c r="AF131" i="20" s="1"/>
  <c r="AF134" i="20" s="1"/>
  <c r="AF137" i="20" s="1"/>
  <c r="AF235" i="20" s="1"/>
  <c r="AF238" i="20" s="1"/>
  <c r="AF107" i="22"/>
  <c r="AE92" i="9"/>
  <c r="AE16" i="9" s="1"/>
  <c r="AE22" i="9" s="1"/>
  <c r="AE24" i="9" s="1"/>
  <c r="AE57" i="9" s="1"/>
  <c r="AE212" i="1"/>
  <c r="AE213" i="1"/>
  <c r="AE214" i="1" s="1"/>
  <c r="AD114" i="9"/>
  <c r="AD19" i="9"/>
  <c r="AD22" i="9" s="1"/>
  <c r="AD24" i="9" s="1"/>
  <c r="AD57" i="9" s="1"/>
  <c r="AD23" i="10"/>
  <c r="AD106" i="8"/>
  <c r="AF79" i="9"/>
  <c r="AF81" i="9" s="1"/>
  <c r="AF82" i="9" s="1"/>
  <c r="AF83" i="9" s="1"/>
  <c r="AF13" i="9" s="1"/>
  <c r="AF108" i="9"/>
  <c r="AE96" i="8"/>
  <c r="AE97" i="8" s="1"/>
  <c r="AE20" i="10"/>
  <c r="AG113" i="11"/>
  <c r="AH111" i="11"/>
  <c r="AG55" i="24" s="1"/>
  <c r="AG78" i="9" s="1"/>
  <c r="AD115" i="9"/>
  <c r="AD105" i="8"/>
  <c r="AC43" i="8"/>
  <c r="AD13" i="10" l="1"/>
  <c r="AF87" i="9"/>
  <c r="AF74" i="24"/>
  <c r="AF77" i="24" s="1"/>
  <c r="AF116" i="20"/>
  <c r="AF118" i="20"/>
  <c r="AF143" i="20" s="1"/>
  <c r="AG115" i="20"/>
  <c r="AF239" i="20"/>
  <c r="AF240" i="20"/>
  <c r="AF241" i="20" s="1"/>
  <c r="AF139" i="20" s="1"/>
  <c r="AF140" i="20" s="1"/>
  <c r="AD108" i="8"/>
  <c r="AD43" i="8" s="1"/>
  <c r="AF95" i="8"/>
  <c r="AE37" i="8"/>
  <c r="AH112" i="11"/>
  <c r="AG57" i="24" s="1"/>
  <c r="AG71" i="24" s="1"/>
  <c r="AE91" i="9"/>
  <c r="AF84" i="9"/>
  <c r="AG80" i="9"/>
  <c r="AE118" i="1"/>
  <c r="AE111" i="9"/>
  <c r="AE115" i="9"/>
  <c r="AF98" i="1"/>
  <c r="AF122" i="1" s="1"/>
  <c r="AF110" i="1"/>
  <c r="AF113" i="1" s="1"/>
  <c r="AF116" i="1" s="1"/>
  <c r="AF96" i="1"/>
  <c r="AD129" i="8"/>
  <c r="AD131" i="8" s="1"/>
  <c r="AD25" i="10"/>
  <c r="AE119" i="1" l="1"/>
  <c r="AE80" i="24" s="1"/>
  <c r="AE79" i="24"/>
  <c r="AG58" i="24"/>
  <c r="AG83" i="24" s="1"/>
  <c r="AG74" i="24"/>
  <c r="AG77" i="24" s="1"/>
  <c r="AF89" i="9"/>
  <c r="AF90" i="9" s="1"/>
  <c r="AF109" i="9" s="1"/>
  <c r="AG56" i="24"/>
  <c r="AG87" i="9" s="1"/>
  <c r="AG117" i="20"/>
  <c r="AG116" i="20" s="1"/>
  <c r="AG107" i="22"/>
  <c r="AE105" i="8"/>
  <c r="AF92" i="9"/>
  <c r="AF16" i="9" s="1"/>
  <c r="AF22" i="9" s="1"/>
  <c r="AF24" i="9" s="1"/>
  <c r="AF57" i="9" s="1"/>
  <c r="AE93" i="9"/>
  <c r="AH113" i="11"/>
  <c r="AI111" i="11"/>
  <c r="AH55" i="24" s="1"/>
  <c r="AH78" i="9" s="1"/>
  <c r="AF208" i="1"/>
  <c r="AF211" i="1" s="1"/>
  <c r="AE129" i="8"/>
  <c r="AE25" i="10"/>
  <c r="AF20" i="10"/>
  <c r="AF96" i="8"/>
  <c r="AF97" i="8" s="1"/>
  <c r="AE128" i="8"/>
  <c r="AD46" i="8"/>
  <c r="AG108" i="9"/>
  <c r="AG79" i="9"/>
  <c r="AE13" i="10" l="1"/>
  <c r="AG131" i="20"/>
  <c r="AG134" i="20" s="1"/>
  <c r="AG137" i="20" s="1"/>
  <c r="AG235" i="20" s="1"/>
  <c r="AG238" i="20" s="1"/>
  <c r="AG240" i="20" s="1"/>
  <c r="AG241" i="20" s="1"/>
  <c r="AG139" i="20" s="1"/>
  <c r="AG140" i="20" s="1"/>
  <c r="AG118" i="20"/>
  <c r="AG143" i="20" s="1"/>
  <c r="AH115" i="20"/>
  <c r="AE131" i="8"/>
  <c r="AF128" i="8" s="1"/>
  <c r="AF91" i="9"/>
  <c r="AF93" i="9" s="1"/>
  <c r="AE106" i="8"/>
  <c r="AE108" i="8" s="1"/>
  <c r="AE23" i="10"/>
  <c r="AG84" i="9"/>
  <c r="AH80" i="9"/>
  <c r="AG95" i="8"/>
  <c r="AF37" i="8"/>
  <c r="AI112" i="11"/>
  <c r="AH57" i="24" s="1"/>
  <c r="AH71" i="24" s="1"/>
  <c r="AG98" i="1"/>
  <c r="AG122" i="1" s="1"/>
  <c r="AG110" i="1"/>
  <c r="AG96" i="1"/>
  <c r="AF115" i="9"/>
  <c r="AF111" i="9"/>
  <c r="AF213" i="1"/>
  <c r="AF214" i="1" s="1"/>
  <c r="AF212" i="1"/>
  <c r="AG81" i="9"/>
  <c r="AG82" i="9" s="1"/>
  <c r="AG83" i="9" s="1"/>
  <c r="AG13" i="9" s="1"/>
  <c r="AH58" i="24" l="1"/>
  <c r="AH83" i="24" s="1"/>
  <c r="AH74" i="24"/>
  <c r="AH77" i="24" s="1"/>
  <c r="AG239" i="20"/>
  <c r="AH56" i="24"/>
  <c r="AH87" i="9" s="1"/>
  <c r="AH117" i="20"/>
  <c r="AH131" i="20" s="1"/>
  <c r="AH134" i="20" s="1"/>
  <c r="AH137" i="20" s="1"/>
  <c r="AH235" i="20" s="1"/>
  <c r="AH238" i="20" s="1"/>
  <c r="AH107" i="22"/>
  <c r="AE46" i="8"/>
  <c r="AG92" i="9"/>
  <c r="AG16" i="9" s="1"/>
  <c r="AI113" i="11"/>
  <c r="AF118" i="1"/>
  <c r="AG113" i="1"/>
  <c r="AG96" i="8"/>
  <c r="AG97" i="8" s="1"/>
  <c r="AG20" i="10"/>
  <c r="AF106" i="8"/>
  <c r="AF23" i="10"/>
  <c r="AH108" i="9"/>
  <c r="AH79" i="9"/>
  <c r="AH81" i="9" s="1"/>
  <c r="AH82" i="9" s="1"/>
  <c r="AH83" i="9" s="1"/>
  <c r="AH13" i="9" s="1"/>
  <c r="AJ111" i="11"/>
  <c r="AI55" i="24" s="1"/>
  <c r="AI78" i="9" s="1"/>
  <c r="AF25" i="10"/>
  <c r="AF129" i="8"/>
  <c r="AF131" i="8" s="1"/>
  <c r="AG89" i="9"/>
  <c r="AE43" i="8"/>
  <c r="AF105" i="8"/>
  <c r="AF119" i="1" l="1"/>
  <c r="AF80" i="24" s="1"/>
  <c r="AF79" i="24"/>
  <c r="AH118" i="20"/>
  <c r="AH143" i="20" s="1"/>
  <c r="AH116" i="20"/>
  <c r="AI115" i="20"/>
  <c r="AH239" i="20"/>
  <c r="AH240" i="20"/>
  <c r="AH241" i="20" s="1"/>
  <c r="AH139" i="20" s="1"/>
  <c r="AH140" i="20" s="1"/>
  <c r="AF108" i="8"/>
  <c r="AF43" i="8" s="1"/>
  <c r="AF46" i="8"/>
  <c r="AG128" i="8"/>
  <c r="AG90" i="9"/>
  <c r="AG109" i="9" s="1"/>
  <c r="AJ112" i="11"/>
  <c r="AI57" i="24" s="1"/>
  <c r="AI71" i="24" s="1"/>
  <c r="AG116" i="1"/>
  <c r="AH95" i="8"/>
  <c r="AG37" i="8"/>
  <c r="AI80" i="9"/>
  <c r="AH84" i="9"/>
  <c r="AH110" i="1"/>
  <c r="AH98" i="1"/>
  <c r="AH122" i="1" s="1"/>
  <c r="AH96" i="1"/>
  <c r="AF13" i="10"/>
  <c r="AI58" i="24" l="1"/>
  <c r="AI83" i="24" s="1"/>
  <c r="AI74" i="24"/>
  <c r="AI77" i="24" s="1"/>
  <c r="AI56" i="24"/>
  <c r="AI87" i="9" s="1"/>
  <c r="AI117" i="20"/>
  <c r="AI118" i="20" s="1"/>
  <c r="AI143" i="20" s="1"/>
  <c r="AI107" i="22"/>
  <c r="AG105" i="8"/>
  <c r="AG91" i="9"/>
  <c r="AH92" i="9" s="1"/>
  <c r="AH16" i="9" s="1"/>
  <c r="AH22" i="9" s="1"/>
  <c r="AH24" i="9" s="1"/>
  <c r="AH57" i="9" s="1"/>
  <c r="AG208" i="1"/>
  <c r="AG211" i="1" s="1"/>
  <c r="AG111" i="9"/>
  <c r="AG112" i="9"/>
  <c r="AK111" i="11"/>
  <c r="AJ55" i="24" s="1"/>
  <c r="AJ78" i="9" s="1"/>
  <c r="AI79" i="9"/>
  <c r="AI108" i="9"/>
  <c r="AH113" i="1"/>
  <c r="AH20" i="10"/>
  <c r="AH96" i="8"/>
  <c r="AH97" i="8" s="1"/>
  <c r="AH89" i="9"/>
  <c r="AJ113" i="11"/>
  <c r="AI116" i="20" l="1"/>
  <c r="AI131" i="20"/>
  <c r="AI134" i="20" s="1"/>
  <c r="AI137" i="20" s="1"/>
  <c r="AI235" i="20" s="1"/>
  <c r="AI238" i="20" s="1"/>
  <c r="AI239" i="20" s="1"/>
  <c r="AJ115" i="20"/>
  <c r="AG93" i="9"/>
  <c r="AG106" i="8" s="1"/>
  <c r="AG108" i="8" s="1"/>
  <c r="AH37" i="8"/>
  <c r="AI95" i="8"/>
  <c r="AI110" i="1"/>
  <c r="AI98" i="1"/>
  <c r="AI122" i="1" s="1"/>
  <c r="AI96" i="1"/>
  <c r="AI81" i="9"/>
  <c r="AI82" i="9" s="1"/>
  <c r="AI83" i="9" s="1"/>
  <c r="AI13" i="9" s="1"/>
  <c r="AJ80" i="9"/>
  <c r="AI84" i="9"/>
  <c r="AG114" i="9"/>
  <c r="AG19" i="9"/>
  <c r="AG22" i="9" s="1"/>
  <c r="AG24" i="9" s="1"/>
  <c r="AG213" i="1"/>
  <c r="AG214" i="1" s="1"/>
  <c r="AG212" i="1"/>
  <c r="AH116" i="1"/>
  <c r="AK112" i="11"/>
  <c r="AJ57" i="24" s="1"/>
  <c r="AJ71" i="24" s="1"/>
  <c r="AH90" i="9"/>
  <c r="AH109" i="9" s="1"/>
  <c r="AG115" i="9"/>
  <c r="AJ58" i="24" l="1"/>
  <c r="AJ83" i="24" s="1"/>
  <c r="AJ74" i="24"/>
  <c r="AJ77" i="24" s="1"/>
  <c r="AJ56" i="24"/>
  <c r="AJ87" i="9" s="1"/>
  <c r="AI240" i="20"/>
  <c r="AI241" i="20" s="1"/>
  <c r="AI139" i="20" s="1"/>
  <c r="AI140" i="20" s="1"/>
  <c r="AJ117" i="20"/>
  <c r="AJ118" i="20" s="1"/>
  <c r="AJ143" i="20" s="1"/>
  <c r="AJ107" i="22"/>
  <c r="AG23" i="10"/>
  <c r="AL111" i="11"/>
  <c r="AK55" i="24" s="1"/>
  <c r="AK78" i="9" s="1"/>
  <c r="AH115" i="9"/>
  <c r="AH111" i="9"/>
  <c r="AG57" i="9"/>
  <c r="AG118" i="1"/>
  <c r="AG79" i="24" s="1"/>
  <c r="AK113" i="11"/>
  <c r="AI20" i="10"/>
  <c r="AI96" i="8"/>
  <c r="AI97" i="8" s="1"/>
  <c r="AG129" i="8"/>
  <c r="AG131" i="8" s="1"/>
  <c r="AG25" i="10"/>
  <c r="AH208" i="1"/>
  <c r="AH211" i="1" s="1"/>
  <c r="AI89" i="9"/>
  <c r="AG43" i="8"/>
  <c r="AH105" i="8"/>
  <c r="AH91" i="9"/>
  <c r="AJ108" i="9"/>
  <c r="AJ79" i="9"/>
  <c r="AJ81" i="9" s="1"/>
  <c r="AJ82" i="9" s="1"/>
  <c r="AJ83" i="9" s="1"/>
  <c r="AJ13" i="9" s="1"/>
  <c r="AI113" i="1"/>
  <c r="AJ116" i="20" l="1"/>
  <c r="AJ131" i="20"/>
  <c r="AJ134" i="20" s="1"/>
  <c r="AJ137" i="20" s="1"/>
  <c r="AJ235" i="20" s="1"/>
  <c r="AJ238" i="20" s="1"/>
  <c r="AJ240" i="20" s="1"/>
  <c r="AJ241" i="20" s="1"/>
  <c r="AJ139" i="20" s="1"/>
  <c r="AJ140" i="20" s="1"/>
  <c r="AK115" i="20"/>
  <c r="AI116" i="1"/>
  <c r="AI92" i="9"/>
  <c r="AI16" i="9" s="1"/>
  <c r="AI22" i="9" s="1"/>
  <c r="AI24" i="9" s="1"/>
  <c r="AH93" i="9"/>
  <c r="AJ110" i="1"/>
  <c r="AJ98" i="1"/>
  <c r="AJ122" i="1" s="1"/>
  <c r="AJ96" i="1"/>
  <c r="AJ84" i="9"/>
  <c r="AK80" i="9"/>
  <c r="AI90" i="9"/>
  <c r="AI109" i="9" s="1"/>
  <c r="AG119" i="1"/>
  <c r="AG80" i="24" s="1"/>
  <c r="AL112" i="11"/>
  <c r="AK57" i="24" s="1"/>
  <c r="AK71" i="24" s="1"/>
  <c r="AH128" i="8"/>
  <c r="AG46" i="8"/>
  <c r="AI37" i="8"/>
  <c r="AJ95" i="8"/>
  <c r="AH213" i="1"/>
  <c r="AH214" i="1" s="1"/>
  <c r="AH212" i="1"/>
  <c r="AH129" i="8"/>
  <c r="AH25" i="10"/>
  <c r="AK58" i="24" l="1"/>
  <c r="AK83" i="24" s="1"/>
  <c r="AK74" i="24"/>
  <c r="AK77" i="24" s="1"/>
  <c r="AK56" i="24"/>
  <c r="AK87" i="9" s="1"/>
  <c r="AK117" i="20"/>
  <c r="AK131" i="20" s="1"/>
  <c r="AK134" i="20" s="1"/>
  <c r="AK137" i="20" s="1"/>
  <c r="AK235" i="20" s="1"/>
  <c r="AK238" i="20" s="1"/>
  <c r="AK107" i="22"/>
  <c r="AJ239" i="20"/>
  <c r="AH131" i="8"/>
  <c r="AH46" i="8" s="1"/>
  <c r="AH106" i="8"/>
  <c r="AH108" i="8" s="1"/>
  <c r="AH23" i="10"/>
  <c r="AI115" i="9"/>
  <c r="AI111" i="9"/>
  <c r="AJ113" i="1"/>
  <c r="AH118" i="1"/>
  <c r="AH79" i="24" s="1"/>
  <c r="AK79" i="9"/>
  <c r="AK108" i="9"/>
  <c r="AG13" i="10"/>
  <c r="AJ96" i="8"/>
  <c r="AJ97" i="8" s="1"/>
  <c r="AJ20" i="10"/>
  <c r="AJ89" i="9"/>
  <c r="AI57" i="9"/>
  <c r="AI208" i="1"/>
  <c r="AI211" i="1" s="1"/>
  <c r="AL113" i="11"/>
  <c r="AI91" i="9"/>
  <c r="AM111" i="11"/>
  <c r="AL55" i="24" s="1"/>
  <c r="AL78" i="9" s="1"/>
  <c r="AK118" i="20" l="1"/>
  <c r="AK143" i="20" s="1"/>
  <c r="AK116" i="20"/>
  <c r="AL115" i="20"/>
  <c r="AK240" i="20"/>
  <c r="AK241" i="20" s="1"/>
  <c r="AK139" i="20" s="1"/>
  <c r="AK140" i="20" s="1"/>
  <c r="AK239" i="20"/>
  <c r="AI128" i="8"/>
  <c r="AJ37" i="8"/>
  <c r="AK95" i="8"/>
  <c r="AJ90" i="9"/>
  <c r="AJ109" i="9" s="1"/>
  <c r="AH43" i="8"/>
  <c r="AI105" i="8"/>
  <c r="AI212" i="1"/>
  <c r="AI213" i="1"/>
  <c r="AI214" i="1" s="1"/>
  <c r="AH119" i="1"/>
  <c r="AH80" i="24" s="1"/>
  <c r="AN111" i="11"/>
  <c r="AM55" i="24" s="1"/>
  <c r="AJ92" i="9"/>
  <c r="AJ16" i="9" s="1"/>
  <c r="AI93" i="9"/>
  <c r="AL80" i="9"/>
  <c r="AK84" i="9"/>
  <c r="AJ116" i="1"/>
  <c r="AM112" i="11"/>
  <c r="AL57" i="24" s="1"/>
  <c r="AL71" i="24" s="1"/>
  <c r="AK110" i="1"/>
  <c r="AK98" i="1"/>
  <c r="AK122" i="1" s="1"/>
  <c r="AK96" i="1"/>
  <c r="AK81" i="9"/>
  <c r="AK82" i="9" s="1"/>
  <c r="AK83" i="9" s="1"/>
  <c r="AK13" i="9" s="1"/>
  <c r="AI129" i="8"/>
  <c r="AI25" i="10"/>
  <c r="AM78" i="9" l="1"/>
  <c r="G11" i="2"/>
  <c r="E218" i="2" s="1"/>
  <c r="AL58" i="24"/>
  <c r="AL83" i="24" s="1"/>
  <c r="AL74" i="24"/>
  <c r="AL77" i="24" s="1"/>
  <c r="AL56" i="24"/>
  <c r="AL87" i="9" s="1"/>
  <c r="AL117" i="20"/>
  <c r="AL116" i="20" s="1"/>
  <c r="AL107" i="22"/>
  <c r="AM115" i="20"/>
  <c r="AI131" i="8"/>
  <c r="AI46" i="8" s="1"/>
  <c r="AJ91" i="9"/>
  <c r="AJ93" i="9" s="1"/>
  <c r="AI118" i="1"/>
  <c r="AI79" i="24" s="1"/>
  <c r="AL108" i="9"/>
  <c r="AL79" i="9"/>
  <c r="AL81" i="9" s="1"/>
  <c r="AL82" i="9" s="1"/>
  <c r="AL83" i="9" s="1"/>
  <c r="AL13" i="9" s="1"/>
  <c r="AJ111" i="9"/>
  <c r="AJ112" i="9"/>
  <c r="AJ115" i="9" s="1"/>
  <c r="AI23" i="10"/>
  <c r="AI106" i="8"/>
  <c r="AI108" i="8" s="1"/>
  <c r="AK113" i="1"/>
  <c r="AJ208" i="1"/>
  <c r="AJ211" i="1" s="1"/>
  <c r="AN112" i="11"/>
  <c r="AM57" i="24" s="1"/>
  <c r="AK89" i="9"/>
  <c r="AM113" i="11"/>
  <c r="AK96" i="8"/>
  <c r="AK97" i="8" s="1"/>
  <c r="AK20" i="10"/>
  <c r="AH13" i="10"/>
  <c r="AM71" i="24" l="1"/>
  <c r="G29" i="2" s="1"/>
  <c r="G13" i="2"/>
  <c r="AM58" i="24"/>
  <c r="AM83" i="24" s="1"/>
  <c r="AL118" i="20"/>
  <c r="AL143" i="20" s="1"/>
  <c r="AM56" i="24"/>
  <c r="AL131" i="20"/>
  <c r="AL134" i="20" s="1"/>
  <c r="AL137" i="20" s="1"/>
  <c r="AL235" i="20" s="1"/>
  <c r="AL238" i="20" s="1"/>
  <c r="AL239" i="20" s="1"/>
  <c r="AM117" i="20"/>
  <c r="AM118" i="20" s="1"/>
  <c r="AM143" i="20" s="1"/>
  <c r="AM107" i="22"/>
  <c r="G185" i="2"/>
  <c r="AJ128" i="8"/>
  <c r="AK92" i="9"/>
  <c r="AK16" i="9" s="1"/>
  <c r="AK22" i="9" s="1"/>
  <c r="AK24" i="9" s="1"/>
  <c r="AK57" i="9" s="1"/>
  <c r="AL95" i="8"/>
  <c r="AK37" i="8"/>
  <c r="AJ129" i="8"/>
  <c r="AJ25" i="10"/>
  <c r="AJ212" i="1"/>
  <c r="AJ213" i="1"/>
  <c r="AJ214" i="1" s="1"/>
  <c r="AI119" i="1"/>
  <c r="AI80" i="24" s="1"/>
  <c r="AK90" i="9"/>
  <c r="AK109" i="9" s="1"/>
  <c r="AL110" i="1"/>
  <c r="AL113" i="1" s="1"/>
  <c r="AL116" i="1" s="1"/>
  <c r="AL98" i="1"/>
  <c r="AL122" i="1" s="1"/>
  <c r="AL96" i="1"/>
  <c r="AK116" i="1"/>
  <c r="AJ23" i="10"/>
  <c r="AJ106" i="8"/>
  <c r="AN113" i="11"/>
  <c r="AJ105" i="8"/>
  <c r="AI43" i="8"/>
  <c r="AJ19" i="9"/>
  <c r="AJ114" i="9"/>
  <c r="AL84" i="9"/>
  <c r="AM80" i="9"/>
  <c r="AM79" i="9"/>
  <c r="AM108" i="9"/>
  <c r="E220" i="2" l="1"/>
  <c r="AM74" i="24"/>
  <c r="AM77" i="24" s="1"/>
  <c r="G35" i="2" s="1"/>
  <c r="E226" i="2" s="1"/>
  <c r="E222" i="2"/>
  <c r="AM87" i="9"/>
  <c r="G12" i="2"/>
  <c r="AL89" i="9"/>
  <c r="AL90" i="9" s="1"/>
  <c r="AL109" i="9" s="1"/>
  <c r="AL240" i="20"/>
  <c r="AL241" i="20" s="1"/>
  <c r="AL139" i="20" s="1"/>
  <c r="AL140" i="20" s="1"/>
  <c r="AM116" i="20"/>
  <c r="AM131" i="20"/>
  <c r="AM134" i="20" s="1"/>
  <c r="AM137" i="20" s="1"/>
  <c r="AM235" i="20" s="1"/>
  <c r="AM238" i="20" s="1"/>
  <c r="AM240" i="20" s="1"/>
  <c r="AM241" i="20" s="1"/>
  <c r="AM139" i="20" s="1"/>
  <c r="AM140" i="20" s="1"/>
  <c r="AJ131" i="8"/>
  <c r="AJ46" i="8" s="1"/>
  <c r="AM84" i="9"/>
  <c r="AM20" i="10" s="1"/>
  <c r="AM98" i="1"/>
  <c r="AM122" i="1" s="1"/>
  <c r="AM110" i="1"/>
  <c r="AM96" i="1"/>
  <c r="AJ118" i="1"/>
  <c r="AJ79" i="24" s="1"/>
  <c r="AL96" i="8"/>
  <c r="AL97" i="8" s="1"/>
  <c r="AL20" i="10"/>
  <c r="AK111" i="9"/>
  <c r="AK115" i="9"/>
  <c r="AM81" i="9"/>
  <c r="AM82" i="9" s="1"/>
  <c r="AM83" i="9" s="1"/>
  <c r="AM13" i="9" s="1"/>
  <c r="AJ108" i="8"/>
  <c r="AL208" i="1"/>
  <c r="AL211" i="1" s="1"/>
  <c r="AI13" i="10"/>
  <c r="AK208" i="1"/>
  <c r="AK211" i="1" s="1"/>
  <c r="AK91" i="9"/>
  <c r="G173" i="2" l="1"/>
  <c r="E219" i="2"/>
  <c r="AM239" i="20"/>
  <c r="AK128" i="8"/>
  <c r="AM96" i="8"/>
  <c r="AL91" i="9"/>
  <c r="AM92" i="9" s="1"/>
  <c r="AM16" i="9" s="1"/>
  <c r="AK212" i="1"/>
  <c r="AK213" i="1"/>
  <c r="AK214" i="1" s="1"/>
  <c r="AL212" i="1"/>
  <c r="AL213" i="1"/>
  <c r="AL214" i="1" s="1"/>
  <c r="AL37" i="8"/>
  <c r="AM95" i="8"/>
  <c r="G15" i="2"/>
  <c r="G129" i="2"/>
  <c r="J225" i="2" s="1"/>
  <c r="AM89" i="9"/>
  <c r="AL111" i="9"/>
  <c r="AL115" i="9"/>
  <c r="AL92" i="9"/>
  <c r="AL16" i="9" s="1"/>
  <c r="AL22" i="9" s="1"/>
  <c r="AL24" i="9" s="1"/>
  <c r="AK93" i="9"/>
  <c r="AK129" i="8"/>
  <c r="AK25" i="10"/>
  <c r="AJ119" i="1"/>
  <c r="AJ80" i="24" s="1"/>
  <c r="AM113" i="1"/>
  <c r="G131" i="2"/>
  <c r="AK105" i="8"/>
  <c r="AJ43" i="8"/>
  <c r="AM97" i="8" l="1"/>
  <c r="AM37" i="8" s="1"/>
  <c r="AK131" i="8"/>
  <c r="AL128" i="8" s="1"/>
  <c r="AL25" i="10"/>
  <c r="AL129" i="8"/>
  <c r="AK118" i="1"/>
  <c r="AK79" i="24" s="1"/>
  <c r="AM116" i="1"/>
  <c r="AK23" i="10"/>
  <c r="AK106" i="8"/>
  <c r="AK108" i="8" s="1"/>
  <c r="G167" i="2"/>
  <c r="G14" i="2"/>
  <c r="AL118" i="1"/>
  <c r="AJ13" i="10"/>
  <c r="AL57" i="9"/>
  <c r="AM90" i="9"/>
  <c r="AM109" i="9" s="1"/>
  <c r="AL93" i="9"/>
  <c r="AL119" i="1" l="1"/>
  <c r="AL80" i="24" s="1"/>
  <c r="AL79" i="24"/>
  <c r="G63" i="2"/>
  <c r="G171" i="2"/>
  <c r="G169" i="2"/>
  <c r="AK46" i="8"/>
  <c r="AL131" i="8"/>
  <c r="AM128" i="8" s="1"/>
  <c r="AL105" i="8"/>
  <c r="AK43" i="8"/>
  <c r="AM112" i="9"/>
  <c r="AM111" i="9"/>
  <c r="AK119" i="1"/>
  <c r="AK80" i="24" s="1"/>
  <c r="AL106" i="8"/>
  <c r="AL23" i="10"/>
  <c r="AM91" i="9"/>
  <c r="AM93" i="9" s="1"/>
  <c r="AL13" i="10"/>
  <c r="AM208" i="1"/>
  <c r="AM211" i="1" s="1"/>
  <c r="AL46" i="8" l="1"/>
  <c r="AM115" i="9"/>
  <c r="AM114" i="9"/>
  <c r="AM19" i="9"/>
  <c r="AM22" i="9" s="1"/>
  <c r="AM24" i="9" s="1"/>
  <c r="AK13" i="10"/>
  <c r="AM23" i="10"/>
  <c r="AM106" i="8"/>
  <c r="AM212" i="1"/>
  <c r="AM213" i="1"/>
  <c r="AM214" i="1" s="1"/>
  <c r="AL108" i="8"/>
  <c r="AM118" i="1" l="1"/>
  <c r="AM79" i="24" s="1"/>
  <c r="AM105" i="8"/>
  <c r="AM108" i="8" s="1"/>
  <c r="AM43" i="8" s="1"/>
  <c r="AL43" i="8"/>
  <c r="AM25" i="10"/>
  <c r="AM129" i="8"/>
  <c r="AM131" i="8" s="1"/>
  <c r="AM46" i="8" s="1"/>
  <c r="G72" i="2" s="1"/>
  <c r="AM57" i="9"/>
  <c r="G69" i="2" l="1"/>
  <c r="G175" i="2" s="1"/>
  <c r="AM119" i="1"/>
  <c r="AM80" i="24" s="1"/>
  <c r="G38" i="2" s="1"/>
  <c r="AM13" i="10" l="1"/>
  <c r="AG110" i="22" l="1"/>
  <c r="AG117" i="22" s="1"/>
  <c r="AG119" i="22" s="1"/>
  <c r="AF110" i="22"/>
  <c r="AF117" i="22" s="1"/>
  <c r="AF119" i="22" s="1"/>
  <c r="AH110" i="22"/>
  <c r="AH117" i="22" s="1"/>
  <c r="AH119" i="22" s="1"/>
  <c r="AK110" i="22"/>
  <c r="AK117" i="22" s="1"/>
  <c r="AK119" i="22" s="1"/>
  <c r="AJ110" i="22"/>
  <c r="AJ117" i="22" s="1"/>
  <c r="AJ119" i="22" s="1"/>
  <c r="AI110" i="22"/>
  <c r="AI117" i="22" s="1"/>
  <c r="AI119" i="22" s="1"/>
  <c r="AM110" i="22"/>
  <c r="AM117" i="22" s="1"/>
  <c r="AM119" i="22" s="1"/>
  <c r="AE110" i="22"/>
  <c r="AE117" i="22" s="1"/>
  <c r="AE119" i="22" s="1"/>
  <c r="AL110" i="22"/>
  <c r="AL117" i="22" s="1"/>
  <c r="AL119" i="22" s="1"/>
  <c r="AC110" i="22"/>
  <c r="AC117" i="22" s="1"/>
  <c r="AC119" i="22" s="1"/>
  <c r="AD110" i="22"/>
  <c r="AD117" i="22" s="1"/>
  <c r="AD119" i="22" s="1"/>
  <c r="AL131" i="22" l="1"/>
  <c r="AL122" i="22"/>
  <c r="AL125" i="22" s="1"/>
  <c r="AI131" i="22"/>
  <c r="AI122" i="22"/>
  <c r="AI125" i="22" s="1"/>
  <c r="AF131" i="22"/>
  <c r="AF122" i="22"/>
  <c r="AF125" i="22" s="1"/>
  <c r="AB247" i="22"/>
  <c r="AJ131" i="22"/>
  <c r="AJ122" i="22"/>
  <c r="AJ125" i="22" s="1"/>
  <c r="AG131" i="22"/>
  <c r="AG122" i="22"/>
  <c r="AG125" i="22" s="1"/>
  <c r="AD122" i="22"/>
  <c r="AD125" i="22" s="1"/>
  <c r="AD131" i="22"/>
  <c r="AE131" i="22"/>
  <c r="AE122" i="22"/>
  <c r="AE125" i="22" s="1"/>
  <c r="AK131" i="22"/>
  <c r="AK122" i="22"/>
  <c r="AK125" i="22" s="1"/>
  <c r="AK244" i="22" s="1"/>
  <c r="AC131" i="22"/>
  <c r="AC122" i="22"/>
  <c r="AC125" i="22" s="1"/>
  <c r="AM131" i="22"/>
  <c r="AM122" i="22"/>
  <c r="AM125" i="22" s="1"/>
  <c r="AH131" i="22"/>
  <c r="AH122" i="22"/>
  <c r="AH125" i="22" s="1"/>
  <c r="J75" i="22"/>
  <c r="J74" i="22" s="1"/>
  <c r="J110" i="22"/>
  <c r="J117" i="22" s="1"/>
  <c r="J119" i="22" s="1"/>
  <c r="J122" i="22" s="1"/>
  <c r="J125" i="22" s="1"/>
  <c r="J244" i="22" s="1"/>
  <c r="J247" i="22" s="1"/>
  <c r="E110" i="22"/>
  <c r="E117" i="22" s="1"/>
  <c r="E119" i="22" s="1"/>
  <c r="E122" i="22" s="1"/>
  <c r="E125" i="22" s="1"/>
  <c r="E244" i="22" s="1"/>
  <c r="E247" i="22" s="1"/>
  <c r="O110" i="22"/>
  <c r="O117" i="22" s="1"/>
  <c r="N110" i="22"/>
  <c r="N117" i="22" s="1"/>
  <c r="G110" i="22"/>
  <c r="G117" i="22" s="1"/>
  <c r="K110" i="22"/>
  <c r="K117" i="22" s="1"/>
  <c r="K119" i="22" s="1"/>
  <c r="K122" i="22" s="1"/>
  <c r="K125" i="22" s="1"/>
  <c r="K244" i="22" s="1"/>
  <c r="K247" i="22" s="1"/>
  <c r="F110" i="22"/>
  <c r="F117" i="22" s="1"/>
  <c r="L110" i="22"/>
  <c r="L117" i="22" s="1"/>
  <c r="M110" i="22"/>
  <c r="M117" i="22" s="1"/>
  <c r="H110" i="22"/>
  <c r="H117" i="22" s="1"/>
  <c r="H119" i="22" s="1"/>
  <c r="H122" i="22" s="1"/>
  <c r="H125" i="22" s="1"/>
  <c r="H244" i="22" s="1"/>
  <c r="H247" i="22" s="1"/>
  <c r="I110" i="22"/>
  <c r="I117" i="22" s="1"/>
  <c r="D110" i="22"/>
  <c r="D117" i="22" s="1"/>
  <c r="AD244" i="22" l="1"/>
  <c r="AD247" i="22" s="1"/>
  <c r="AI244" i="22"/>
  <c r="AI247" i="22" s="1"/>
  <c r="AH244" i="22"/>
  <c r="AH247" i="22" s="1"/>
  <c r="AE244" i="22"/>
  <c r="AE247" i="22" s="1"/>
  <c r="AF244" i="22"/>
  <c r="AF247" i="22" s="1"/>
  <c r="AL244" i="22"/>
  <c r="AL247" i="22" s="1"/>
  <c r="AC244" i="22"/>
  <c r="AC247" i="22" s="1"/>
  <c r="AG244" i="22"/>
  <c r="AG247" i="22" s="1"/>
  <c r="AM244" i="22"/>
  <c r="AM247" i="22" s="1"/>
  <c r="AJ244" i="22"/>
  <c r="AJ247" i="22" s="1"/>
  <c r="AK247" i="22"/>
  <c r="D119" i="22"/>
  <c r="D122" i="22" s="1"/>
  <c r="D125" i="22" s="1"/>
  <c r="M119" i="22"/>
  <c r="M122" i="22" s="1"/>
  <c r="M125" i="22" s="1"/>
  <c r="M244" i="22" s="1"/>
  <c r="M247" i="22" s="1"/>
  <c r="L119" i="22"/>
  <c r="L122" i="22" s="1"/>
  <c r="L125" i="22" s="1"/>
  <c r="L244" i="22" s="1"/>
  <c r="L247" i="22" s="1"/>
  <c r="G119" i="22"/>
  <c r="G122" i="22" s="1"/>
  <c r="G125" i="22" s="1"/>
  <c r="G244" i="22" s="1"/>
  <c r="G247" i="22" s="1"/>
  <c r="I119" i="22"/>
  <c r="I122" i="22" s="1"/>
  <c r="I125" i="22" s="1"/>
  <c r="I244" i="22" s="1"/>
  <c r="I247" i="22" s="1"/>
  <c r="N119" i="22"/>
  <c r="N122" i="22" s="1"/>
  <c r="N125" i="22" s="1"/>
  <c r="N244" i="22" s="1"/>
  <c r="N247" i="22" s="1"/>
  <c r="O119" i="22"/>
  <c r="O122" i="22" s="1"/>
  <c r="O125" i="22" s="1"/>
  <c r="O244" i="22" s="1"/>
  <c r="O247" i="22" s="1"/>
  <c r="F119" i="22"/>
  <c r="F122" i="22" s="1"/>
  <c r="F125" i="22" s="1"/>
  <c r="F244" i="22" s="1"/>
  <c r="F247" i="22" s="1"/>
  <c r="D244" i="22" l="1"/>
  <c r="D247" i="22" s="1"/>
  <c r="W110" i="22"/>
  <c r="W117" i="22" s="1"/>
  <c r="Y110" i="22"/>
  <c r="Y117" i="22" s="1"/>
  <c r="U110" i="22"/>
  <c r="U117" i="22" s="1"/>
  <c r="U119" i="22" s="1"/>
  <c r="U122" i="22" s="1"/>
  <c r="U125" i="22" s="1"/>
  <c r="U244" i="22" s="1"/>
  <c r="U247" i="22" s="1"/>
  <c r="T110" i="22"/>
  <c r="T117" i="22" s="1"/>
  <c r="R110" i="22"/>
  <c r="R117" i="22" s="1"/>
  <c r="AA110" i="22"/>
  <c r="AA117" i="22" s="1"/>
  <c r="AA119" i="22" s="1"/>
  <c r="AA122" i="22" s="1"/>
  <c r="AA125" i="22" s="1"/>
  <c r="AA244" i="22" s="1"/>
  <c r="AA247" i="22" s="1"/>
  <c r="S110" i="22"/>
  <c r="S117" i="22" s="1"/>
  <c r="S119" i="22" s="1"/>
  <c r="S122" i="22" s="1"/>
  <c r="S125" i="22" s="1"/>
  <c r="S244" i="22" s="1"/>
  <c r="S247" i="22" s="1"/>
  <c r="Z110" i="22"/>
  <c r="Z117" i="22" s="1"/>
  <c r="X110" i="22"/>
  <c r="X117" i="22"/>
  <c r="V110" i="22"/>
  <c r="V117" i="22" s="1"/>
  <c r="V119" i="22" s="1"/>
  <c r="V122" i="22" s="1"/>
  <c r="V125" i="22" s="1"/>
  <c r="V244" i="22" s="1"/>
  <c r="V247" i="22" s="1"/>
  <c r="Q110" i="22"/>
  <c r="Q117" i="22" s="1"/>
  <c r="Q119" i="22" s="1"/>
  <c r="Q122" i="22" s="1"/>
  <c r="Q125" i="22" s="1"/>
  <c r="Q244" i="22" s="1"/>
  <c r="Q247" i="22" s="1"/>
  <c r="P110" i="22"/>
  <c r="P117" i="22" s="1"/>
  <c r="P119" i="22" s="1"/>
  <c r="P122" i="22" s="1"/>
  <c r="P125" i="22" s="1"/>
  <c r="P244" i="22" s="1"/>
  <c r="P247" i="22" s="1"/>
  <c r="G249" i="22" l="1"/>
  <c r="G250" i="22" s="1"/>
  <c r="K248" i="22"/>
  <c r="I249" i="22"/>
  <c r="I250" i="22" s="1"/>
  <c r="E248" i="22"/>
  <c r="H248" i="22"/>
  <c r="N248" i="22"/>
  <c r="D249" i="22"/>
  <c r="D250" i="22" s="1"/>
  <c r="G248" i="22"/>
  <c r="M248" i="22"/>
  <c r="N249" i="22"/>
  <c r="N250" i="22" s="1"/>
  <c r="M249" i="22"/>
  <c r="M250" i="22" s="1"/>
  <c r="L249" i="22"/>
  <c r="L250" i="22" s="1"/>
  <c r="I248" i="22"/>
  <c r="H249" i="22"/>
  <c r="H250" i="22" s="1"/>
  <c r="L248" i="22"/>
  <c r="F249" i="22"/>
  <c r="F250" i="22" s="1"/>
  <c r="D248" i="22"/>
  <c r="J248" i="22"/>
  <c r="K249" i="22"/>
  <c r="K250" i="22" s="1"/>
  <c r="J249" i="22"/>
  <c r="J250" i="22" s="1"/>
  <c r="O249" i="22"/>
  <c r="O250" i="22" s="1"/>
  <c r="O248" i="22"/>
  <c r="E249" i="22"/>
  <c r="E250" i="22" s="1"/>
  <c r="F248" i="22"/>
  <c r="P248" i="22"/>
  <c r="Q249" i="22"/>
  <c r="Q250" i="22" s="1"/>
  <c r="Q119" i="9" s="1"/>
  <c r="Q122" i="9" s="1"/>
  <c r="Q248" i="22"/>
  <c r="P249" i="22"/>
  <c r="P250" i="22" s="1"/>
  <c r="P119" i="9" s="1"/>
  <c r="Z119" i="22"/>
  <c r="Z122" i="22" s="1"/>
  <c r="Z125" i="22" s="1"/>
  <c r="Z244" i="22" s="1"/>
  <c r="Z247" i="22" s="1"/>
  <c r="Y119" i="22"/>
  <c r="Y122" i="22" s="1"/>
  <c r="Y125" i="22" s="1"/>
  <c r="Y244" i="22" s="1"/>
  <c r="Y247" i="22" s="1"/>
  <c r="T119" i="22"/>
  <c r="T122" i="22" s="1"/>
  <c r="T125" i="22" s="1"/>
  <c r="T244" i="22" s="1"/>
  <c r="T247" i="22" s="1"/>
  <c r="W119" i="22"/>
  <c r="W122" i="22" s="1"/>
  <c r="W125" i="22" s="1"/>
  <c r="W244" i="22" s="1"/>
  <c r="W247" i="22" s="1"/>
  <c r="X119" i="22"/>
  <c r="X122" i="22" s="1"/>
  <c r="X125" i="22" s="1"/>
  <c r="X244" i="22" s="1"/>
  <c r="X247" i="22" s="1"/>
  <c r="R119" i="22"/>
  <c r="R122" i="22" s="1"/>
  <c r="R125" i="22" s="1"/>
  <c r="R244" i="22" s="1"/>
  <c r="R247" i="22" s="1"/>
  <c r="T249" i="22" l="1"/>
  <c r="T250" i="22" s="1"/>
  <c r="T119" i="9" s="1"/>
  <c r="T122" i="9" s="1"/>
  <c r="T135" i="8" s="1"/>
  <c r="Q135" i="8"/>
  <c r="Q26" i="10"/>
  <c r="Q27" i="10" s="1"/>
  <c r="Q29" i="10" s="1"/>
  <c r="Q61" i="10" s="1"/>
  <c r="AH249" i="22"/>
  <c r="N127" i="22"/>
  <c r="N128" i="22" s="1"/>
  <c r="N119" i="9"/>
  <c r="N122" i="9" s="1"/>
  <c r="E127" i="22"/>
  <c r="E128" i="22" s="1"/>
  <c r="E119" i="9"/>
  <c r="E122" i="9" s="1"/>
  <c r="AD249" i="22"/>
  <c r="AK249" i="22"/>
  <c r="AJ249" i="22"/>
  <c r="H127" i="22"/>
  <c r="H128" i="22" s="1"/>
  <c r="H119" i="9"/>
  <c r="H122" i="9" s="1"/>
  <c r="O127" i="22"/>
  <c r="O128" i="22" s="1"/>
  <c r="O119" i="9"/>
  <c r="O122" i="9" s="1"/>
  <c r="F127" i="22"/>
  <c r="F128" i="22" s="1"/>
  <c r="F119" i="9"/>
  <c r="F122" i="9" s="1"/>
  <c r="AG249" i="22"/>
  <c r="D127" i="22"/>
  <c r="D128" i="22" s="1"/>
  <c r="D119" i="9"/>
  <c r="I127" i="22"/>
  <c r="I128" i="22" s="1"/>
  <c r="I119" i="9"/>
  <c r="I122" i="9" s="1"/>
  <c r="AB249" i="22"/>
  <c r="AB250" i="22" s="1"/>
  <c r="K127" i="22"/>
  <c r="K128" i="22" s="1"/>
  <c r="K119" i="9"/>
  <c r="K122" i="9" s="1"/>
  <c r="AE249" i="22"/>
  <c r="G127" i="22"/>
  <c r="G128" i="22" s="1"/>
  <c r="G119" i="9"/>
  <c r="G122" i="9" s="1"/>
  <c r="P122" i="9"/>
  <c r="AF249" i="22"/>
  <c r="L127" i="22"/>
  <c r="L128" i="22" s="1"/>
  <c r="L119" i="9"/>
  <c r="L122" i="9" s="1"/>
  <c r="AI249" i="22"/>
  <c r="J127" i="22"/>
  <c r="J128" i="22" s="1"/>
  <c r="J119" i="9"/>
  <c r="J122" i="9" s="1"/>
  <c r="AM249" i="22"/>
  <c r="M127" i="22"/>
  <c r="M128" i="22" s="1"/>
  <c r="M119" i="9"/>
  <c r="M122" i="9" s="1"/>
  <c r="AC249" i="22"/>
  <c r="AL249" i="22"/>
  <c r="V248" i="22"/>
  <c r="V249" i="22"/>
  <c r="V250" i="22" s="1"/>
  <c r="S248" i="22"/>
  <c r="AA248" i="22"/>
  <c r="S249" i="22"/>
  <c r="S250" i="22" s="1"/>
  <c r="S119" i="9" s="1"/>
  <c r="S122" i="9" s="1"/>
  <c r="R248" i="22"/>
  <c r="U249" i="22"/>
  <c r="U250" i="22" s="1"/>
  <c r="U119" i="9" s="1"/>
  <c r="U122" i="9" s="1"/>
  <c r="U248" i="22"/>
  <c r="R249" i="22"/>
  <c r="R250" i="22" s="1"/>
  <c r="Y248" i="22"/>
  <c r="W249" i="22"/>
  <c r="W250" i="22" s="1"/>
  <c r="W119" i="9" s="1"/>
  <c r="W122" i="9" s="1"/>
  <c r="X249" i="22"/>
  <c r="X250" i="22" s="1"/>
  <c r="X119" i="9" s="1"/>
  <c r="T248" i="22"/>
  <c r="Z249" i="22"/>
  <c r="Z250" i="22" s="1"/>
  <c r="Y249" i="22"/>
  <c r="Y250" i="22" s="1"/>
  <c r="AA249" i="22"/>
  <c r="AA250" i="22" s="1"/>
  <c r="AA119" i="9" s="1"/>
  <c r="AA122" i="9" s="1"/>
  <c r="X248" i="22"/>
  <c r="Z248" i="22"/>
  <c r="W248" i="22"/>
  <c r="Q127" i="22"/>
  <c r="Q128" i="22" s="1"/>
  <c r="P127" i="22"/>
  <c r="P128" i="22" s="1"/>
  <c r="T127" i="22"/>
  <c r="T128" i="22" s="1"/>
  <c r="T26" i="10" l="1"/>
  <c r="T27" i="10" s="1"/>
  <c r="T29" i="10" s="1"/>
  <c r="T61" i="10" s="1"/>
  <c r="R127" i="22"/>
  <c r="R128" i="22" s="1"/>
  <c r="R119" i="9"/>
  <c r="AA135" i="8"/>
  <c r="AA26" i="10"/>
  <c r="AA27" i="10" s="1"/>
  <c r="AA29" i="10" s="1"/>
  <c r="AA61" i="10" s="1"/>
  <c r="M135" i="8"/>
  <c r="M26" i="10"/>
  <c r="M27" i="10" s="1"/>
  <c r="M29" i="10" s="1"/>
  <c r="M61" i="10" s="1"/>
  <c r="I135" i="8"/>
  <c r="I26" i="10"/>
  <c r="I27" i="10" s="1"/>
  <c r="I29" i="10" s="1"/>
  <c r="I61" i="10" s="1"/>
  <c r="E135" i="8"/>
  <c r="E26" i="10"/>
  <c r="E27" i="10" s="1"/>
  <c r="E29" i="10" s="1"/>
  <c r="E61" i="10" s="1"/>
  <c r="J26" i="10"/>
  <c r="J27" i="10" s="1"/>
  <c r="J29" i="10" s="1"/>
  <c r="J61" i="10" s="1"/>
  <c r="J135" i="8"/>
  <c r="O135" i="8"/>
  <c r="O26" i="10"/>
  <c r="O27" i="10" s="1"/>
  <c r="O29" i="10" s="1"/>
  <c r="O61" i="10" s="1"/>
  <c r="Y127" i="22"/>
  <c r="Y128" i="22" s="1"/>
  <c r="Y119" i="9"/>
  <c r="Y122" i="9" s="1"/>
  <c r="W26" i="10"/>
  <c r="W27" i="10" s="1"/>
  <c r="W29" i="10" s="1"/>
  <c r="W61" i="10" s="1"/>
  <c r="W135" i="8"/>
  <c r="U26" i="10"/>
  <c r="U27" i="10" s="1"/>
  <c r="U29" i="10" s="1"/>
  <c r="U61" i="10" s="1"/>
  <c r="U135" i="8"/>
  <c r="P135" i="8"/>
  <c r="P26" i="10"/>
  <c r="P27" i="10" s="1"/>
  <c r="P29" i="10" s="1"/>
  <c r="P61" i="10" s="1"/>
  <c r="K135" i="8"/>
  <c r="K26" i="10"/>
  <c r="K27" i="10" s="1"/>
  <c r="K29" i="10" s="1"/>
  <c r="K61" i="10" s="1"/>
  <c r="F26" i="10"/>
  <c r="F27" i="10" s="1"/>
  <c r="F29" i="10" s="1"/>
  <c r="F61" i="10" s="1"/>
  <c r="F135" i="8"/>
  <c r="H135" i="8"/>
  <c r="H26" i="10"/>
  <c r="H27" i="10" s="1"/>
  <c r="H29" i="10" s="1"/>
  <c r="H61" i="10" s="1"/>
  <c r="S135" i="8"/>
  <c r="S26" i="10"/>
  <c r="S27" i="10" s="1"/>
  <c r="S29" i="10" s="1"/>
  <c r="S61" i="10" s="1"/>
  <c r="AB119" i="9"/>
  <c r="AB122" i="9" s="1"/>
  <c r="AB127" i="22"/>
  <c r="AB128" i="22" s="1"/>
  <c r="Z127" i="22"/>
  <c r="Z128" i="22" s="1"/>
  <c r="Z119" i="9"/>
  <c r="Z122" i="9" s="1"/>
  <c r="V127" i="22"/>
  <c r="V128" i="22" s="1"/>
  <c r="V119" i="9"/>
  <c r="V122" i="9" s="1"/>
  <c r="L26" i="10"/>
  <c r="L27" i="10" s="1"/>
  <c r="L29" i="10" s="1"/>
  <c r="L61" i="10" s="1"/>
  <c r="L135" i="8"/>
  <c r="G26" i="10"/>
  <c r="G27" i="10" s="1"/>
  <c r="G29" i="10" s="1"/>
  <c r="G61" i="10" s="1"/>
  <c r="G135" i="8"/>
  <c r="D122" i="9"/>
  <c r="S120" i="9"/>
  <c r="R120" i="9"/>
  <c r="V120" i="9"/>
  <c r="U120" i="9"/>
  <c r="P120" i="9"/>
  <c r="AA120" i="9"/>
  <c r="Y120" i="9"/>
  <c r="Z120" i="9"/>
  <c r="W120" i="9"/>
  <c r="X120" i="9"/>
  <c r="X121" i="9" s="1"/>
  <c r="X21" i="9" s="1"/>
  <c r="X22" i="9" s="1"/>
  <c r="X24" i="9" s="1"/>
  <c r="T120" i="9"/>
  <c r="Q120" i="9"/>
  <c r="N135" i="8"/>
  <c r="N26" i="10"/>
  <c r="N27" i="10" s="1"/>
  <c r="N29" i="10" s="1"/>
  <c r="N61" i="10" s="1"/>
  <c r="W127" i="22"/>
  <c r="W128" i="22" s="1"/>
  <c r="U127" i="22"/>
  <c r="U128" i="22" s="1"/>
  <c r="S127" i="22"/>
  <c r="S128" i="22" s="1"/>
  <c r="AA127" i="22"/>
  <c r="AA128" i="22" s="1"/>
  <c r="X127" i="22"/>
  <c r="X128" i="22" s="1"/>
  <c r="AJ248" i="22"/>
  <c r="AB140" i="8" l="1"/>
  <c r="D26" i="10"/>
  <c r="D27" i="10" s="1"/>
  <c r="D29" i="10" s="1"/>
  <c r="D61" i="10" s="1"/>
  <c r="D64" i="10" s="1"/>
  <c r="E63" i="10" s="1"/>
  <c r="E64" i="10" s="1"/>
  <c r="F63" i="10" s="1"/>
  <c r="F64" i="10" s="1"/>
  <c r="G63" i="10" s="1"/>
  <c r="G64" i="10" s="1"/>
  <c r="H63" i="10" s="1"/>
  <c r="H64" i="10" s="1"/>
  <c r="I63" i="10" s="1"/>
  <c r="I64" i="10" s="1"/>
  <c r="J63" i="10" s="1"/>
  <c r="J64" i="10" s="1"/>
  <c r="K63" i="10" s="1"/>
  <c r="K64" i="10" s="1"/>
  <c r="L63" i="10" s="1"/>
  <c r="L64" i="10" s="1"/>
  <c r="M63" i="10" s="1"/>
  <c r="M64" i="10" s="1"/>
  <c r="N63" i="10" s="1"/>
  <c r="N64" i="10" s="1"/>
  <c r="O63" i="10" s="1"/>
  <c r="O64" i="10" s="1"/>
  <c r="P63" i="10" s="1"/>
  <c r="P64" i="10" s="1"/>
  <c r="Q63" i="10" s="1"/>
  <c r="Q64" i="10" s="1"/>
  <c r="R63" i="10" s="1"/>
  <c r="D135" i="8"/>
  <c r="D136" i="8" s="1"/>
  <c r="V135" i="8"/>
  <c r="V26" i="10"/>
  <c r="V27" i="10" s="1"/>
  <c r="V29" i="10" s="1"/>
  <c r="V61" i="10" s="1"/>
  <c r="X57" i="9"/>
  <c r="X60" i="9" s="1"/>
  <c r="F45" i="2"/>
  <c r="F48" i="2" s="1"/>
  <c r="AB26" i="10"/>
  <c r="AB27" i="10" s="1"/>
  <c r="AB29" i="10" s="1"/>
  <c r="AB61" i="10" s="1"/>
  <c r="AB135" i="8"/>
  <c r="Y26" i="10"/>
  <c r="Y27" i="10" s="1"/>
  <c r="Y29" i="10" s="1"/>
  <c r="Y61" i="10" s="1"/>
  <c r="Y135" i="8"/>
  <c r="X122" i="9"/>
  <c r="R122" i="9"/>
  <c r="AH120" i="9"/>
  <c r="AB120" i="9"/>
  <c r="AD120" i="9"/>
  <c r="AG120" i="9"/>
  <c r="AJ120" i="9"/>
  <c r="AJ121" i="9" s="1"/>
  <c r="AJ21" i="9" s="1"/>
  <c r="AJ22" i="9" s="1"/>
  <c r="AJ24" i="9" s="1"/>
  <c r="AF120" i="9"/>
  <c r="AM120" i="9"/>
  <c r="AI120" i="9"/>
  <c r="AK120" i="9"/>
  <c r="AE120" i="9"/>
  <c r="AL120" i="9"/>
  <c r="AC120" i="9"/>
  <c r="Z26" i="10"/>
  <c r="Z27" i="10" s="1"/>
  <c r="Z29" i="10" s="1"/>
  <c r="Z61" i="10" s="1"/>
  <c r="Z135" i="8"/>
  <c r="AB248" i="22"/>
  <c r="AL248" i="22"/>
  <c r="AD248" i="22"/>
  <c r="AF248" i="22"/>
  <c r="AK250" i="22"/>
  <c r="AH250" i="22"/>
  <c r="AH119" i="9" s="1"/>
  <c r="AJ250" i="22"/>
  <c r="AE250" i="22"/>
  <c r="AE119" i="9" s="1"/>
  <c r="AM250" i="22"/>
  <c r="AF250" i="22"/>
  <c r="AF119" i="9" s="1"/>
  <c r="AG250" i="22"/>
  <c r="AG119" i="9" s="1"/>
  <c r="AC250" i="22"/>
  <c r="AC119" i="9" s="1"/>
  <c r="AL250" i="22"/>
  <c r="AI250" i="22"/>
  <c r="AI119" i="9" s="1"/>
  <c r="AC248" i="22"/>
  <c r="AE248" i="22"/>
  <c r="AM248" i="22"/>
  <c r="AI248" i="22"/>
  <c r="AD250" i="22"/>
  <c r="AD119" i="9" s="1"/>
  <c r="AH248" i="22"/>
  <c r="AG248" i="22"/>
  <c r="AK248" i="22"/>
  <c r="AJ57" i="9" l="1"/>
  <c r="G45" i="2"/>
  <c r="G48" i="2" s="1"/>
  <c r="X39" i="8"/>
  <c r="X40" i="8" s="1"/>
  <c r="Y59" i="9"/>
  <c r="Y60" i="9" s="1"/>
  <c r="R135" i="8"/>
  <c r="R26" i="10"/>
  <c r="R27" i="10" s="1"/>
  <c r="R29" i="10" s="1"/>
  <c r="R61" i="10" s="1"/>
  <c r="R64" i="10" s="1"/>
  <c r="S63" i="10" s="1"/>
  <c r="S64" i="10" s="1"/>
  <c r="T63" i="10" s="1"/>
  <c r="T64" i="10" s="1"/>
  <c r="U63" i="10" s="1"/>
  <c r="U64" i="10" s="1"/>
  <c r="V63" i="10" s="1"/>
  <c r="V64" i="10" s="1"/>
  <c r="W63" i="10" s="1"/>
  <c r="W64" i="10" s="1"/>
  <c r="X63" i="10" s="1"/>
  <c r="X26" i="10"/>
  <c r="X27" i="10" s="1"/>
  <c r="X29" i="10" s="1"/>
  <c r="X61" i="10" s="1"/>
  <c r="X135" i="8"/>
  <c r="D47" i="8"/>
  <c r="D48" i="8" s="1"/>
  <c r="D50" i="8" s="1"/>
  <c r="E134" i="8"/>
  <c r="E136" i="8" s="1"/>
  <c r="AJ119" i="9"/>
  <c r="AJ122" i="9" s="1"/>
  <c r="AL119" i="9"/>
  <c r="AL122" i="9" s="1"/>
  <c r="AM119" i="9"/>
  <c r="AM122" i="9" s="1"/>
  <c r="AK119" i="9"/>
  <c r="AK122" i="9" s="1"/>
  <c r="AI127" i="22"/>
  <c r="AI128" i="22" s="1"/>
  <c r="AI140" i="8" s="1"/>
  <c r="AI122" i="9"/>
  <c r="AF127" i="22"/>
  <c r="AF128" i="22" s="1"/>
  <c r="AF140" i="8" s="1"/>
  <c r="AF122" i="9"/>
  <c r="AH127" i="22"/>
  <c r="AH128" i="22" s="1"/>
  <c r="AH140" i="8" s="1"/>
  <c r="AH122" i="9"/>
  <c r="AC127" i="22"/>
  <c r="AC128" i="22" s="1"/>
  <c r="AC122" i="9"/>
  <c r="AE127" i="22"/>
  <c r="AE128" i="22" s="1"/>
  <c r="AE140" i="8" s="1"/>
  <c r="AE122" i="9"/>
  <c r="AD127" i="22"/>
  <c r="AD128" i="22" s="1"/>
  <c r="AD140" i="8" s="1"/>
  <c r="AD122" i="9"/>
  <c r="AG127" i="22"/>
  <c r="AG128" i="22" s="1"/>
  <c r="AG140" i="8" s="1"/>
  <c r="AG122" i="9"/>
  <c r="AL127" i="22"/>
  <c r="AL128" i="22" s="1"/>
  <c r="AL140" i="8" s="1"/>
  <c r="AM127" i="22"/>
  <c r="AM128" i="22" s="1"/>
  <c r="AM140" i="8" s="1"/>
  <c r="AK127" i="22"/>
  <c r="AK128" i="22" s="1"/>
  <c r="AK140" i="8" s="1"/>
  <c r="AJ127" i="22"/>
  <c r="AJ128" i="22" s="1"/>
  <c r="AJ140" i="8" s="1"/>
  <c r="AC140" i="8" l="1"/>
  <c r="E228" i="2"/>
  <c r="X64" i="10"/>
  <c r="Y63" i="10" s="1"/>
  <c r="Y64" i="10" s="1"/>
  <c r="Z63" i="10" s="1"/>
  <c r="Z64" i="10" s="1"/>
  <c r="AA63" i="10" s="1"/>
  <c r="AA64" i="10" s="1"/>
  <c r="AB63" i="10" s="1"/>
  <c r="AB64" i="10" s="1"/>
  <c r="AC63" i="10" s="1"/>
  <c r="Z59" i="9"/>
  <c r="Z60" i="9" s="1"/>
  <c r="Y39" i="8"/>
  <c r="Y40" i="8" s="1"/>
  <c r="F134" i="8"/>
  <c r="F136" i="8" s="1"/>
  <c r="E47" i="8"/>
  <c r="E48" i="8" s="1"/>
  <c r="E50" i="8" s="1"/>
  <c r="E57" i="8" s="1"/>
  <c r="F32" i="2"/>
  <c r="D224" i="2" s="1"/>
  <c r="N95" i="24"/>
  <c r="N98" i="24" s="1"/>
  <c r="X95" i="24"/>
  <c r="X98" i="24" s="1"/>
  <c r="Z95" i="24"/>
  <c r="Z98" i="24" s="1"/>
  <c r="V95" i="24"/>
  <c r="V98" i="24" s="1"/>
  <c r="Q95" i="24"/>
  <c r="Q98" i="24" s="1"/>
  <c r="E32" i="2"/>
  <c r="C224" i="2" s="1"/>
  <c r="R95" i="24"/>
  <c r="R98" i="24" s="1"/>
  <c r="Y95" i="24"/>
  <c r="Y98" i="24" s="1"/>
  <c r="S95" i="24"/>
  <c r="S98" i="24" s="1"/>
  <c r="AA95" i="24"/>
  <c r="AA98" i="24" s="1"/>
  <c r="AD95" i="24"/>
  <c r="AD98" i="24" s="1"/>
  <c r="G95" i="24"/>
  <c r="G98" i="24" s="1"/>
  <c r="AK26" i="10"/>
  <c r="AK27" i="10" s="1"/>
  <c r="AK29" i="10" s="1"/>
  <c r="AK61" i="10" s="1"/>
  <c r="AK135" i="8"/>
  <c r="AM135" i="8"/>
  <c r="AM26" i="10"/>
  <c r="AM27" i="10" s="1"/>
  <c r="AM29" i="10" s="1"/>
  <c r="AM61" i="10" s="1"/>
  <c r="AL135" i="8"/>
  <c r="AL26" i="10"/>
  <c r="AL27" i="10" s="1"/>
  <c r="AL29" i="10" s="1"/>
  <c r="AL61" i="10" s="1"/>
  <c r="AJ135" i="8"/>
  <c r="AJ26" i="10"/>
  <c r="AJ27" i="10" s="1"/>
  <c r="AJ29" i="10" s="1"/>
  <c r="AJ61" i="10" s="1"/>
  <c r="AG26" i="10"/>
  <c r="AG27" i="10" s="1"/>
  <c r="AG29" i="10" s="1"/>
  <c r="AG61" i="10" s="1"/>
  <c r="AG135" i="8"/>
  <c r="AE135" i="8"/>
  <c r="AE26" i="10"/>
  <c r="AE27" i="10" s="1"/>
  <c r="AE29" i="10" s="1"/>
  <c r="AE61" i="10" s="1"/>
  <c r="AF26" i="10"/>
  <c r="AF27" i="10" s="1"/>
  <c r="AF29" i="10" s="1"/>
  <c r="AF61" i="10" s="1"/>
  <c r="AF135" i="8"/>
  <c r="AD135" i="8"/>
  <c r="AD26" i="10"/>
  <c r="AD27" i="10" s="1"/>
  <c r="AD29" i="10" s="1"/>
  <c r="AD61" i="10" s="1"/>
  <c r="AC26" i="10"/>
  <c r="AC27" i="10" s="1"/>
  <c r="AC29" i="10" s="1"/>
  <c r="AC61" i="10" s="1"/>
  <c r="AC135" i="8"/>
  <c r="AH135" i="8"/>
  <c r="AH26" i="10"/>
  <c r="AH27" i="10" s="1"/>
  <c r="AH29" i="10" s="1"/>
  <c r="AH61" i="10" s="1"/>
  <c r="AI26" i="10"/>
  <c r="AI27" i="10" s="1"/>
  <c r="AI29" i="10" s="1"/>
  <c r="AI61" i="10" s="1"/>
  <c r="AI135" i="8"/>
  <c r="D142" i="8"/>
  <c r="D143" i="8" s="1"/>
  <c r="D63" i="8" s="1"/>
  <c r="D65" i="8" s="1"/>
  <c r="AC64" i="10" l="1"/>
  <c r="AD63" i="10" s="1"/>
  <c r="AD64" i="10" s="1"/>
  <c r="AE63" i="10" s="1"/>
  <c r="AE64" i="10" s="1"/>
  <c r="AF63" i="10" s="1"/>
  <c r="AF64" i="10" s="1"/>
  <c r="AG63" i="10" s="1"/>
  <c r="AG64" i="10" s="1"/>
  <c r="AH63" i="10" s="1"/>
  <c r="AH64" i="10" s="1"/>
  <c r="AI63" i="10" s="1"/>
  <c r="AI64" i="10" s="1"/>
  <c r="AJ63" i="10" s="1"/>
  <c r="AJ64" i="10" s="1"/>
  <c r="AK63" i="10" s="1"/>
  <c r="AK64" i="10" s="1"/>
  <c r="AL63" i="10" s="1"/>
  <c r="AL64" i="10" s="1"/>
  <c r="AM63" i="10" s="1"/>
  <c r="AM64" i="10" s="1"/>
  <c r="F47" i="8"/>
  <c r="F48" i="8" s="1"/>
  <c r="F50" i="8" s="1"/>
  <c r="F57" i="8" s="1"/>
  <c r="G134" i="8"/>
  <c r="G136" i="8" s="1"/>
  <c r="Z39" i="8"/>
  <c r="Z40" i="8" s="1"/>
  <c r="AA59" i="9"/>
  <c r="AA60" i="9" s="1"/>
  <c r="E133" i="2"/>
  <c r="E149" i="2"/>
  <c r="F133" i="2"/>
  <c r="F149" i="2"/>
  <c r="K95" i="24"/>
  <c r="K98" i="24" s="1"/>
  <c r="E35" i="2"/>
  <c r="F35" i="2"/>
  <c r="D226" i="2" s="1"/>
  <c r="G32" i="2"/>
  <c r="E224" i="2" s="1"/>
  <c r="M95" i="24"/>
  <c r="M98" i="24" s="1"/>
  <c r="J95" i="24"/>
  <c r="J98" i="24" s="1"/>
  <c r="O95" i="24"/>
  <c r="O98" i="24" s="1"/>
  <c r="L95" i="24"/>
  <c r="L98" i="24" s="1"/>
  <c r="I95" i="24"/>
  <c r="I98" i="24" s="1"/>
  <c r="E95" i="24"/>
  <c r="E98" i="24" s="1"/>
  <c r="H95" i="24"/>
  <c r="H98" i="24" s="1"/>
  <c r="U95" i="24"/>
  <c r="U98" i="24" s="1"/>
  <c r="F95" i="24"/>
  <c r="F98" i="24" s="1"/>
  <c r="T95" i="24"/>
  <c r="T98" i="24" s="1"/>
  <c r="W95" i="24"/>
  <c r="W98" i="24" s="1"/>
  <c r="P95" i="24"/>
  <c r="P98" i="24" s="1"/>
  <c r="AB98" i="24"/>
  <c r="AF95" i="24"/>
  <c r="AF98" i="24" s="1"/>
  <c r="AJ95" i="24"/>
  <c r="AJ98" i="24" s="1"/>
  <c r="AL95" i="24"/>
  <c r="AL98" i="24" s="1"/>
  <c r="AG95" i="24"/>
  <c r="AG98" i="24" s="1"/>
  <c r="AI95" i="24"/>
  <c r="AI98" i="24" s="1"/>
  <c r="AK95" i="24"/>
  <c r="AK98" i="24" s="1"/>
  <c r="AC95" i="24"/>
  <c r="AC98" i="24" s="1"/>
  <c r="E139" i="8"/>
  <c r="AB100" i="24" l="1"/>
  <c r="AB101" i="24" s="1"/>
  <c r="E187" i="2"/>
  <c r="C226" i="2"/>
  <c r="G47" i="8"/>
  <c r="G48" i="8" s="1"/>
  <c r="G50" i="8" s="1"/>
  <c r="G57" i="8" s="1"/>
  <c r="H134" i="8"/>
  <c r="H136" i="8" s="1"/>
  <c r="AB59" i="9"/>
  <c r="AB60" i="9" s="1"/>
  <c r="AA39" i="8"/>
  <c r="F49" i="2"/>
  <c r="N99" i="24"/>
  <c r="G99" i="24"/>
  <c r="G133" i="2"/>
  <c r="G149" i="2"/>
  <c r="O100" i="24"/>
  <c r="O101" i="24" s="1"/>
  <c r="O79" i="24" s="1"/>
  <c r="R100" i="24"/>
  <c r="R101" i="24" s="1"/>
  <c r="R79" i="24" s="1"/>
  <c r="T100" i="24"/>
  <c r="T101" i="24" s="1"/>
  <c r="T79" i="24" s="1"/>
  <c r="R99" i="24"/>
  <c r="X99" i="24"/>
  <c r="W99" i="24"/>
  <c r="K99" i="24"/>
  <c r="M100" i="24"/>
  <c r="M101" i="24" s="1"/>
  <c r="M79" i="24" s="1"/>
  <c r="W100" i="24"/>
  <c r="W101" i="24" s="1"/>
  <c r="W79" i="24" s="1"/>
  <c r="L100" i="24"/>
  <c r="L101" i="24" s="1"/>
  <c r="L79" i="24" s="1"/>
  <c r="M99" i="24"/>
  <c r="P99" i="24"/>
  <c r="V99" i="24"/>
  <c r="AA100" i="24"/>
  <c r="AA101" i="24" s="1"/>
  <c r="AA79" i="24" s="1"/>
  <c r="F187" i="2"/>
  <c r="F135" i="2"/>
  <c r="I100" i="24"/>
  <c r="I101" i="24" s="1"/>
  <c r="I79" i="24" s="1"/>
  <c r="S100" i="24"/>
  <c r="S101" i="24" s="1"/>
  <c r="S79" i="24" s="1"/>
  <c r="L99" i="24"/>
  <c r="G100" i="24"/>
  <c r="G101" i="24" s="1"/>
  <c r="G79" i="24" s="1"/>
  <c r="Z99" i="24"/>
  <c r="AA99" i="24"/>
  <c r="H99" i="24"/>
  <c r="P100" i="24"/>
  <c r="P101" i="24" s="1"/>
  <c r="P79" i="24" s="1"/>
  <c r="X100" i="24"/>
  <c r="X101" i="24" s="1"/>
  <c r="X79" i="24" s="1"/>
  <c r="G135" i="2"/>
  <c r="G187" i="2"/>
  <c r="U100" i="24"/>
  <c r="U101" i="24" s="1"/>
  <c r="U79" i="24" s="1"/>
  <c r="Z100" i="24"/>
  <c r="Z101" i="24" s="1"/>
  <c r="Z79" i="24" s="1"/>
  <c r="U99" i="24"/>
  <c r="O99" i="24"/>
  <c r="K100" i="24"/>
  <c r="K101" i="24" s="1"/>
  <c r="K79" i="24" s="1"/>
  <c r="Q99" i="24"/>
  <c r="E100" i="24"/>
  <c r="E101" i="24" s="1"/>
  <c r="E79" i="24" s="1"/>
  <c r="F100" i="24"/>
  <c r="F101" i="24" s="1"/>
  <c r="F79" i="24" s="1"/>
  <c r="E99" i="24"/>
  <c r="F99" i="24"/>
  <c r="T99" i="24"/>
  <c r="V100" i="24"/>
  <c r="V101" i="24" s="1"/>
  <c r="V79" i="24" s="1"/>
  <c r="Q100" i="24"/>
  <c r="Q101" i="24" s="1"/>
  <c r="Q79" i="24" s="1"/>
  <c r="J99" i="24"/>
  <c r="H100" i="24"/>
  <c r="H101" i="24" s="1"/>
  <c r="H79" i="24" s="1"/>
  <c r="Y100" i="24"/>
  <c r="Y101" i="24" s="1"/>
  <c r="Y79" i="24" s="1"/>
  <c r="N100" i="24"/>
  <c r="N101" i="24" s="1"/>
  <c r="N79" i="24" s="1"/>
  <c r="J100" i="24"/>
  <c r="J101" i="24" s="1"/>
  <c r="J79" i="24" s="1"/>
  <c r="S99" i="24"/>
  <c r="Y99" i="24"/>
  <c r="I99" i="24"/>
  <c r="E135" i="2"/>
  <c r="H142" i="8"/>
  <c r="U142" i="8"/>
  <c r="Z142" i="8"/>
  <c r="AA142" i="8"/>
  <c r="K142" i="8"/>
  <c r="E142" i="8"/>
  <c r="E143" i="8" s="1"/>
  <c r="E63" i="8" s="1"/>
  <c r="E65" i="8" s="1"/>
  <c r="E67" i="8" s="1"/>
  <c r="G142" i="8"/>
  <c r="I142" i="8"/>
  <c r="S142" i="8"/>
  <c r="P142" i="8"/>
  <c r="X142" i="8"/>
  <c r="M142" i="8"/>
  <c r="F142" i="8"/>
  <c r="W142" i="8"/>
  <c r="V142" i="8"/>
  <c r="Q142" i="8"/>
  <c r="Y142" i="8"/>
  <c r="N142" i="8"/>
  <c r="J142" i="8"/>
  <c r="O142" i="8"/>
  <c r="T142" i="8"/>
  <c r="R142" i="8"/>
  <c r="L142" i="8"/>
  <c r="AB99" i="24"/>
  <c r="AC99" i="24"/>
  <c r="AC100" i="24"/>
  <c r="AC101" i="24" s="1"/>
  <c r="AD99" i="24"/>
  <c r="AD100" i="24"/>
  <c r="AD101" i="24" s="1"/>
  <c r="AH95" i="24"/>
  <c r="AH98" i="24" s="1"/>
  <c r="AM95" i="24"/>
  <c r="AM98" i="24" s="1"/>
  <c r="AE95" i="24"/>
  <c r="AE98" i="24" s="1"/>
  <c r="AC142" i="8"/>
  <c r="AB142" i="8"/>
  <c r="AD142" i="8"/>
  <c r="AC59" i="9" l="1"/>
  <c r="AC60" i="9" s="1"/>
  <c r="AB39" i="8"/>
  <c r="AB40" i="8" s="1"/>
  <c r="F65" i="2"/>
  <c r="AA40" i="8"/>
  <c r="H47" i="8"/>
  <c r="H48" i="8" s="1"/>
  <c r="H50" i="8" s="1"/>
  <c r="H57" i="8" s="1"/>
  <c r="I134" i="8"/>
  <c r="I136" i="8" s="1"/>
  <c r="F37" i="2"/>
  <c r="E37" i="2"/>
  <c r="E38" i="2"/>
  <c r="F189" i="2"/>
  <c r="F191" i="2" s="1"/>
  <c r="AE100" i="24"/>
  <c r="AE101" i="24" s="1"/>
  <c r="AK99" i="24"/>
  <c r="AL99" i="24"/>
  <c r="AG100" i="24"/>
  <c r="AG101" i="24" s="1"/>
  <c r="AJ100" i="24"/>
  <c r="AJ101" i="24" s="1"/>
  <c r="AF99" i="24"/>
  <c r="AJ99" i="24"/>
  <c r="AE99" i="24"/>
  <c r="AI99" i="24"/>
  <c r="AM100" i="24"/>
  <c r="AM101" i="24" s="1"/>
  <c r="AH100" i="24"/>
  <c r="AH101" i="24" s="1"/>
  <c r="AI100" i="24"/>
  <c r="AI101" i="24" s="1"/>
  <c r="AG99" i="24"/>
  <c r="AM99" i="24"/>
  <c r="AL100" i="24"/>
  <c r="AL101" i="24" s="1"/>
  <c r="AF100" i="24"/>
  <c r="AF101" i="24" s="1"/>
  <c r="AH99" i="24"/>
  <c r="AK100" i="24"/>
  <c r="AK101" i="24" s="1"/>
  <c r="AM142" i="8"/>
  <c r="AI142" i="8"/>
  <c r="AF142" i="8"/>
  <c r="AG142" i="8"/>
  <c r="AL142" i="8"/>
  <c r="AE142" i="8"/>
  <c r="AK142" i="8"/>
  <c r="AH142" i="8"/>
  <c r="AJ142" i="8"/>
  <c r="F139" i="8"/>
  <c r="F143" i="8" s="1"/>
  <c r="F63" i="8" s="1"/>
  <c r="F65" i="8" s="1"/>
  <c r="F67" i="8" s="1"/>
  <c r="E66" i="10"/>
  <c r="E62" i="9"/>
  <c r="G37" i="2" l="1"/>
  <c r="G39" i="2" s="1"/>
  <c r="D227" i="2"/>
  <c r="F39" i="2"/>
  <c r="E189" i="2"/>
  <c r="E191" i="2" s="1"/>
  <c r="C228" i="2"/>
  <c r="E39" i="2"/>
  <c r="C227" i="2"/>
  <c r="F66" i="2"/>
  <c r="D211" i="2" s="1"/>
  <c r="I47" i="8"/>
  <c r="I48" i="8" s="1"/>
  <c r="I50" i="8" s="1"/>
  <c r="I57" i="8" s="1"/>
  <c r="J134" i="8"/>
  <c r="J136" i="8" s="1"/>
  <c r="AC39" i="8"/>
  <c r="AC40" i="8" s="1"/>
  <c r="AD59" i="9"/>
  <c r="AD60" i="9" s="1"/>
  <c r="G189" i="2"/>
  <c r="G191" i="2" s="1"/>
  <c r="G139" i="8"/>
  <c r="G143" i="8" s="1"/>
  <c r="H139" i="8" s="1"/>
  <c r="H143" i="8" s="1"/>
  <c r="F66" i="10"/>
  <c r="F62" i="9"/>
  <c r="E227" i="2" l="1"/>
  <c r="AE59" i="9"/>
  <c r="AE60" i="9" s="1"/>
  <c r="AD39" i="8"/>
  <c r="AD40" i="8" s="1"/>
  <c r="K134" i="8"/>
  <c r="K136" i="8" s="1"/>
  <c r="J47" i="8"/>
  <c r="J48" i="8" s="1"/>
  <c r="J50" i="8" s="1"/>
  <c r="J57" i="8" s="1"/>
  <c r="G63" i="8"/>
  <c r="G65" i="8" s="1"/>
  <c r="G67" i="8" s="1"/>
  <c r="G66" i="10" s="1"/>
  <c r="H63" i="8"/>
  <c r="H65" i="8" s="1"/>
  <c r="H67" i="8" s="1"/>
  <c r="I139" i="8"/>
  <c r="I143" i="8" s="1"/>
  <c r="L134" i="8" l="1"/>
  <c r="L136" i="8" s="1"/>
  <c r="K47" i="8"/>
  <c r="K48" i="8" s="1"/>
  <c r="K50" i="8" s="1"/>
  <c r="K57" i="8" s="1"/>
  <c r="AF59" i="9"/>
  <c r="AF60" i="9" s="1"/>
  <c r="AE39" i="8"/>
  <c r="AE40" i="8" s="1"/>
  <c r="G62" i="9"/>
  <c r="J139" i="8"/>
  <c r="J143" i="8" s="1"/>
  <c r="I63" i="8"/>
  <c r="I65" i="8" s="1"/>
  <c r="I67" i="8" s="1"/>
  <c r="H66" i="10"/>
  <c r="H62" i="9"/>
  <c r="AG59" i="9" l="1"/>
  <c r="AG60" i="9" s="1"/>
  <c r="AF39" i="8"/>
  <c r="AF40" i="8" s="1"/>
  <c r="L47" i="8"/>
  <c r="L48" i="8" s="1"/>
  <c r="L50" i="8" s="1"/>
  <c r="L57" i="8" s="1"/>
  <c r="M134" i="8"/>
  <c r="M136" i="8" s="1"/>
  <c r="I62" i="9"/>
  <c r="I66" i="10"/>
  <c r="K139" i="8"/>
  <c r="K143" i="8" s="1"/>
  <c r="J63" i="8"/>
  <c r="J65" i="8" s="1"/>
  <c r="J67" i="8" s="1"/>
  <c r="M47" i="8" l="1"/>
  <c r="M48" i="8" s="1"/>
  <c r="M50" i="8" s="1"/>
  <c r="M57" i="8" s="1"/>
  <c r="N134" i="8"/>
  <c r="N136" i="8" s="1"/>
  <c r="AH59" i="9"/>
  <c r="AH60" i="9" s="1"/>
  <c r="AG39" i="8"/>
  <c r="AG40" i="8" s="1"/>
  <c r="J62" i="9"/>
  <c r="J66" i="10"/>
  <c r="L139" i="8"/>
  <c r="L143" i="8" s="1"/>
  <c r="K63" i="8"/>
  <c r="K65" i="8" s="1"/>
  <c r="K67" i="8" s="1"/>
  <c r="AH39" i="8" l="1"/>
  <c r="AH40" i="8" s="1"/>
  <c r="AI59" i="9"/>
  <c r="AI60" i="9" s="1"/>
  <c r="O134" i="8"/>
  <c r="O136" i="8" s="1"/>
  <c r="N47" i="8"/>
  <c r="N48" i="8" s="1"/>
  <c r="N50" i="8" s="1"/>
  <c r="N57" i="8" s="1"/>
  <c r="K66" i="10"/>
  <c r="K62" i="9"/>
  <c r="L63" i="8"/>
  <c r="L65" i="8" s="1"/>
  <c r="L67" i="8" s="1"/>
  <c r="M139" i="8"/>
  <c r="M143" i="8" s="1"/>
  <c r="O47" i="8" l="1"/>
  <c r="P134" i="8"/>
  <c r="P136" i="8" s="1"/>
  <c r="AI39" i="8"/>
  <c r="AI40" i="8" s="1"/>
  <c r="AJ59" i="9"/>
  <c r="AJ60" i="9" s="1"/>
  <c r="M63" i="8"/>
  <c r="M65" i="8" s="1"/>
  <c r="M67" i="8" s="1"/>
  <c r="N139" i="8"/>
  <c r="N143" i="8" s="1"/>
  <c r="L62" i="9"/>
  <c r="L66" i="10"/>
  <c r="E73" i="2" l="1"/>
  <c r="O48" i="8"/>
  <c r="AK59" i="9"/>
  <c r="AK60" i="9" s="1"/>
  <c r="AJ39" i="8"/>
  <c r="AJ40" i="8" s="1"/>
  <c r="P47" i="8"/>
  <c r="P48" i="8" s="1"/>
  <c r="P50" i="8" s="1"/>
  <c r="P57" i="8" s="1"/>
  <c r="Q134" i="8"/>
  <c r="Q136" i="8" s="1"/>
  <c r="N63" i="8"/>
  <c r="N65" i="8" s="1"/>
  <c r="N67" i="8" s="1"/>
  <c r="O139" i="8"/>
  <c r="O143" i="8" s="1"/>
  <c r="M66" i="10"/>
  <c r="M62" i="9"/>
  <c r="AK39" i="8" l="1"/>
  <c r="AK40" i="8" s="1"/>
  <c r="AL59" i="9"/>
  <c r="AL60" i="9" s="1"/>
  <c r="R134" i="8"/>
  <c r="R136" i="8" s="1"/>
  <c r="Q47" i="8"/>
  <c r="Q48" i="8" s="1"/>
  <c r="Q50" i="8" s="1"/>
  <c r="Q57" i="8" s="1"/>
  <c r="O50" i="8"/>
  <c r="E74" i="2"/>
  <c r="C212" i="2" s="1"/>
  <c r="P139" i="8"/>
  <c r="P143" i="8" s="1"/>
  <c r="O63" i="8"/>
  <c r="N62" i="9"/>
  <c r="N66" i="10"/>
  <c r="R47" i="8" l="1"/>
  <c r="R48" i="8" s="1"/>
  <c r="R50" i="8" s="1"/>
  <c r="R57" i="8" s="1"/>
  <c r="S134" i="8"/>
  <c r="S136" i="8" s="1"/>
  <c r="E159" i="2"/>
  <c r="E157" i="2"/>
  <c r="H228" i="2" s="1"/>
  <c r="AL39" i="8"/>
  <c r="AL40" i="8" s="1"/>
  <c r="AM59" i="9"/>
  <c r="AM60" i="9" s="1"/>
  <c r="O57" i="8"/>
  <c r="E83" i="2" s="1"/>
  <c r="C213" i="2" s="1"/>
  <c r="E76" i="2"/>
  <c r="O65" i="8"/>
  <c r="E89" i="2"/>
  <c r="Q139" i="8"/>
  <c r="Q143" i="8" s="1"/>
  <c r="P63" i="8"/>
  <c r="P65" i="8" s="1"/>
  <c r="P67" i="8" s="1"/>
  <c r="G49" i="2" l="1"/>
  <c r="AM39" i="8"/>
  <c r="S47" i="8"/>
  <c r="S48" i="8" s="1"/>
  <c r="S50" i="8" s="1"/>
  <c r="S57" i="8" s="1"/>
  <c r="T134" i="8"/>
  <c r="T136" i="8" s="1"/>
  <c r="P66" i="10"/>
  <c r="P62" i="9"/>
  <c r="R139" i="8"/>
  <c r="R143" i="8" s="1"/>
  <c r="Q63" i="8"/>
  <c r="Q65" i="8" s="1"/>
  <c r="Q67" i="8" s="1"/>
  <c r="E91" i="2"/>
  <c r="O67" i="8"/>
  <c r="E137" i="2" l="1"/>
  <c r="E123" i="2"/>
  <c r="E147" i="2"/>
  <c r="H226" i="2" s="1"/>
  <c r="C214" i="2"/>
  <c r="T47" i="8"/>
  <c r="T48" i="8" s="1"/>
  <c r="T50" i="8" s="1"/>
  <c r="T57" i="8" s="1"/>
  <c r="U134" i="8"/>
  <c r="U136" i="8" s="1"/>
  <c r="G65" i="2"/>
  <c r="AM40" i="8"/>
  <c r="E139" i="2"/>
  <c r="H227" i="2" s="1"/>
  <c r="Q66" i="10"/>
  <c r="Q62" i="9"/>
  <c r="R63" i="8"/>
  <c r="R65" i="8" s="1"/>
  <c r="R67" i="8" s="1"/>
  <c r="S139" i="8"/>
  <c r="S143" i="8" s="1"/>
  <c r="O62" i="9"/>
  <c r="O66" i="10"/>
  <c r="G66" i="2" l="1"/>
  <c r="E211" i="2" s="1"/>
  <c r="V134" i="8"/>
  <c r="V136" i="8" s="1"/>
  <c r="U47" i="8"/>
  <c r="U48" i="8" s="1"/>
  <c r="U50" i="8" s="1"/>
  <c r="U57" i="8" s="1"/>
  <c r="E177" i="2"/>
  <c r="S63" i="8"/>
  <c r="S65" i="8" s="1"/>
  <c r="S67" i="8" s="1"/>
  <c r="T139" i="8"/>
  <c r="T143" i="8" s="1"/>
  <c r="R66" i="10"/>
  <c r="R62" i="9"/>
  <c r="V47" i="8" l="1"/>
  <c r="V48" i="8" s="1"/>
  <c r="V50" i="8" s="1"/>
  <c r="V57" i="8" s="1"/>
  <c r="W134" i="8"/>
  <c r="W136" i="8" s="1"/>
  <c r="T63" i="8"/>
  <c r="T65" i="8" s="1"/>
  <c r="T67" i="8" s="1"/>
  <c r="U139" i="8"/>
  <c r="U143" i="8" s="1"/>
  <c r="S66" i="10"/>
  <c r="S62" i="9"/>
  <c r="W47" i="8" l="1"/>
  <c r="W48" i="8" s="1"/>
  <c r="W50" i="8" s="1"/>
  <c r="W57" i="8" s="1"/>
  <c r="X134" i="8"/>
  <c r="X136" i="8" s="1"/>
  <c r="U63" i="8"/>
  <c r="U65" i="8" s="1"/>
  <c r="U67" i="8" s="1"/>
  <c r="V139" i="8"/>
  <c r="V143" i="8" s="1"/>
  <c r="T66" i="10"/>
  <c r="T62" i="9"/>
  <c r="X47" i="8" l="1"/>
  <c r="X48" i="8" s="1"/>
  <c r="X50" i="8" s="1"/>
  <c r="X57" i="8" s="1"/>
  <c r="Y134" i="8"/>
  <c r="Y136" i="8" s="1"/>
  <c r="W139" i="8"/>
  <c r="W143" i="8" s="1"/>
  <c r="V63" i="8"/>
  <c r="V65" i="8" s="1"/>
  <c r="V67" i="8" s="1"/>
  <c r="U66" i="10"/>
  <c r="U62" i="9"/>
  <c r="Y47" i="8" l="1"/>
  <c r="Y48" i="8" s="1"/>
  <c r="Y50" i="8" s="1"/>
  <c r="Y57" i="8" s="1"/>
  <c r="Z134" i="8"/>
  <c r="Z136" i="8" s="1"/>
  <c r="V62" i="9"/>
  <c r="V66" i="10"/>
  <c r="W63" i="8"/>
  <c r="W65" i="8" s="1"/>
  <c r="W67" i="8" s="1"/>
  <c r="X139" i="8"/>
  <c r="X143" i="8" s="1"/>
  <c r="AA134" i="8" l="1"/>
  <c r="AA136" i="8" s="1"/>
  <c r="Z47" i="8"/>
  <c r="Z48" i="8" s="1"/>
  <c r="Z50" i="8" s="1"/>
  <c r="Z57" i="8" s="1"/>
  <c r="X63" i="8"/>
  <c r="X65" i="8" s="1"/>
  <c r="X67" i="8" s="1"/>
  <c r="Y139" i="8"/>
  <c r="Y143" i="8" s="1"/>
  <c r="W62" i="9"/>
  <c r="W66" i="10"/>
  <c r="AB134" i="8" l="1"/>
  <c r="AB136" i="8" s="1"/>
  <c r="AA47" i="8"/>
  <c r="Y63" i="8"/>
  <c r="Y65" i="8" s="1"/>
  <c r="Y67" i="8" s="1"/>
  <c r="Z139" i="8"/>
  <c r="Z143" i="8" s="1"/>
  <c r="X62" i="9"/>
  <c r="X66" i="10"/>
  <c r="AA48" i="8" l="1"/>
  <c r="F73" i="2"/>
  <c r="AC134" i="8"/>
  <c r="AC136" i="8" s="1"/>
  <c r="AB47" i="8"/>
  <c r="AB48" i="8" s="1"/>
  <c r="AB50" i="8" s="1"/>
  <c r="AB57" i="8" s="1"/>
  <c r="AA139" i="8"/>
  <c r="AA143" i="8" s="1"/>
  <c r="Z63" i="8"/>
  <c r="Z65" i="8" s="1"/>
  <c r="Z67" i="8" s="1"/>
  <c r="Y66" i="10"/>
  <c r="Y62" i="9"/>
  <c r="AD134" i="8" l="1"/>
  <c r="AD136" i="8" s="1"/>
  <c r="AC47" i="8"/>
  <c r="AC48" i="8" s="1"/>
  <c r="AC50" i="8" s="1"/>
  <c r="AC57" i="8" s="1"/>
  <c r="F74" i="2"/>
  <c r="D212" i="2" s="1"/>
  <c r="AA50" i="8"/>
  <c r="Z66" i="10"/>
  <c r="Z62" i="9"/>
  <c r="AB139" i="8"/>
  <c r="AB143" i="8" s="1"/>
  <c r="AA63" i="8"/>
  <c r="F76" i="2" l="1"/>
  <c r="AA57" i="8"/>
  <c r="F83" i="2" s="1"/>
  <c r="D213" i="2" s="1"/>
  <c r="F159" i="2"/>
  <c r="F157" i="2"/>
  <c r="I228" i="2" s="1"/>
  <c r="AD47" i="8"/>
  <c r="AD48" i="8" s="1"/>
  <c r="AD50" i="8" s="1"/>
  <c r="AD57" i="8" s="1"/>
  <c r="AE134" i="8"/>
  <c r="AE136" i="8" s="1"/>
  <c r="AA65" i="8"/>
  <c r="F89" i="2"/>
  <c r="AB63" i="8"/>
  <c r="AB65" i="8" s="1"/>
  <c r="AB67" i="8" s="1"/>
  <c r="AC139" i="8"/>
  <c r="AC143" i="8" s="1"/>
  <c r="AE47" i="8" l="1"/>
  <c r="AE48" i="8" s="1"/>
  <c r="AE50" i="8" s="1"/>
  <c r="AE57" i="8" s="1"/>
  <c r="AF134" i="8"/>
  <c r="AF136" i="8" s="1"/>
  <c r="AD139" i="8"/>
  <c r="AD143" i="8" s="1"/>
  <c r="AC63" i="8"/>
  <c r="AC65" i="8" s="1"/>
  <c r="AC67" i="8" s="1"/>
  <c r="AB62" i="9"/>
  <c r="AB66" i="10"/>
  <c r="F91" i="2"/>
  <c r="F137" i="2" s="1"/>
  <c r="AA67" i="8"/>
  <c r="F139" i="2" l="1"/>
  <c r="I227" i="2" s="1"/>
  <c r="D214" i="2"/>
  <c r="AG134" i="8"/>
  <c r="AG136" i="8" s="1"/>
  <c r="AF47" i="8"/>
  <c r="AF48" i="8" s="1"/>
  <c r="AF50" i="8" s="1"/>
  <c r="AF57" i="8" s="1"/>
  <c r="AA62" i="9"/>
  <c r="AA66" i="10"/>
  <c r="AC62" i="9"/>
  <c r="AC66" i="10"/>
  <c r="F147" i="2"/>
  <c r="I226" i="2" s="1"/>
  <c r="F123" i="2"/>
  <c r="AE139" i="8"/>
  <c r="AE143" i="8" s="1"/>
  <c r="AD63" i="8"/>
  <c r="AD65" i="8" s="1"/>
  <c r="AD67" i="8" s="1"/>
  <c r="AH134" i="8" l="1"/>
  <c r="AH136" i="8" s="1"/>
  <c r="AG47" i="8"/>
  <c r="AG48" i="8" s="1"/>
  <c r="AG50" i="8" s="1"/>
  <c r="AG57" i="8" s="1"/>
  <c r="F177" i="2"/>
  <c r="AD66" i="10"/>
  <c r="AD62" i="9"/>
  <c r="AF139" i="8"/>
  <c r="AF143" i="8" s="1"/>
  <c r="AE63" i="8"/>
  <c r="AE65" i="8" s="1"/>
  <c r="AE67" i="8" s="1"/>
  <c r="AI134" i="8" l="1"/>
  <c r="AI136" i="8" s="1"/>
  <c r="AH47" i="8"/>
  <c r="AH48" i="8" s="1"/>
  <c r="AH50" i="8" s="1"/>
  <c r="AH57" i="8" s="1"/>
  <c r="AE62" i="9"/>
  <c r="AE66" i="10"/>
  <c r="AF63" i="8"/>
  <c r="AF65" i="8" s="1"/>
  <c r="AF67" i="8" s="1"/>
  <c r="AG139" i="8"/>
  <c r="AG143" i="8" s="1"/>
  <c r="AJ134" i="8" l="1"/>
  <c r="AJ136" i="8" s="1"/>
  <c r="AI47" i="8"/>
  <c r="AI48" i="8" s="1"/>
  <c r="AI50" i="8" s="1"/>
  <c r="AI57" i="8" s="1"/>
  <c r="AH139" i="8"/>
  <c r="AH143" i="8" s="1"/>
  <c r="AG63" i="8"/>
  <c r="AG65" i="8" s="1"/>
  <c r="AG67" i="8" s="1"/>
  <c r="AF66" i="10"/>
  <c r="AF62" i="9"/>
  <c r="AJ47" i="8" l="1"/>
  <c r="AJ48" i="8" s="1"/>
  <c r="AJ50" i="8" s="1"/>
  <c r="AJ57" i="8" s="1"/>
  <c r="AK134" i="8"/>
  <c r="AK136" i="8" s="1"/>
  <c r="AG62" i="9"/>
  <c r="AG66" i="10"/>
  <c r="AH63" i="8"/>
  <c r="AH65" i="8" s="1"/>
  <c r="AH67" i="8" s="1"/>
  <c r="AI139" i="8"/>
  <c r="AI143" i="8" s="1"/>
  <c r="AL134" i="8" l="1"/>
  <c r="AL136" i="8" s="1"/>
  <c r="AK47" i="8"/>
  <c r="AK48" i="8" s="1"/>
  <c r="AK50" i="8" s="1"/>
  <c r="AK57" i="8" s="1"/>
  <c r="AJ139" i="8"/>
  <c r="AJ143" i="8" s="1"/>
  <c r="AI63" i="8"/>
  <c r="AI65" i="8" s="1"/>
  <c r="AI67" i="8" s="1"/>
  <c r="AH66" i="10"/>
  <c r="AH62" i="9"/>
  <c r="AM134" i="8" l="1"/>
  <c r="AM136" i="8" s="1"/>
  <c r="AM47" i="8" s="1"/>
  <c r="AL47" i="8"/>
  <c r="AL48" i="8" s="1"/>
  <c r="AL50" i="8" s="1"/>
  <c r="AL57" i="8" s="1"/>
  <c r="AI66" i="10"/>
  <c r="AI62" i="9"/>
  <c r="AK139" i="8"/>
  <c r="AK143" i="8" s="1"/>
  <c r="AJ63" i="8"/>
  <c r="AJ65" i="8" s="1"/>
  <c r="AJ67" i="8" s="1"/>
  <c r="AM48" i="8" l="1"/>
  <c r="G73" i="2"/>
  <c r="AJ66" i="10"/>
  <c r="AJ62" i="9"/>
  <c r="AL139" i="8"/>
  <c r="AL143" i="8" s="1"/>
  <c r="AK63" i="8"/>
  <c r="AK65" i="8" s="1"/>
  <c r="AK67" i="8" s="1"/>
  <c r="G74" i="2" l="1"/>
  <c r="E212" i="2" s="1"/>
  <c r="AM50" i="8"/>
  <c r="AK66" i="10"/>
  <c r="AK62" i="9"/>
  <c r="AM139" i="8"/>
  <c r="AM143" i="8" s="1"/>
  <c r="AM63" i="8" s="1"/>
  <c r="AL63" i="8"/>
  <c r="AL65" i="8" s="1"/>
  <c r="AL67" i="8" s="1"/>
  <c r="G76" i="2" l="1"/>
  <c r="AM57" i="8"/>
  <c r="G83" i="2" s="1"/>
  <c r="E213" i="2" s="1"/>
  <c r="G159" i="2"/>
  <c r="G157" i="2"/>
  <c r="J228" i="2" s="1"/>
  <c r="AL62" i="9"/>
  <c r="AL66" i="10"/>
  <c r="AM65" i="8"/>
  <c r="G91" i="2" s="1"/>
  <c r="G137" i="2" s="1"/>
  <c r="G89" i="2"/>
  <c r="G139" i="2" l="1"/>
  <c r="J227" i="2" s="1"/>
  <c r="E214" i="2"/>
  <c r="AM67" i="8"/>
  <c r="AM62" i="9" l="1"/>
  <c r="AM66" i="10"/>
  <c r="G123" i="2"/>
  <c r="G177" i="2" s="1"/>
  <c r="G147" i="2"/>
  <c r="J226" i="2" s="1"/>
  <c r="D57" i="8" l="1"/>
  <c r="D67" i="8" s="1"/>
  <c r="D62" i="9" l="1"/>
  <c r="D66"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Hulme</author>
  </authors>
  <commentList>
    <comment ref="E22" authorId="0" shapeId="0" xr:uid="{7398E8B2-2AAB-B945-8A9B-0C72910FCB1B}">
      <text>
        <r>
          <rPr>
            <sz val="9"/>
            <color rgb="FF000000"/>
            <rFont val="Calibri"/>
            <family val="2"/>
          </rPr>
          <t>Enter the starting month and year in here. The rest will change automatically.</t>
        </r>
      </text>
    </comment>
    <comment ref="E69" authorId="0" shapeId="0" xr:uid="{9B62710B-BCA6-4733-A20E-7E77F47876C0}">
      <text>
        <r>
          <rPr>
            <sz val="9"/>
            <color rgb="FF000000"/>
            <rFont val="Calibri"/>
            <family val="2"/>
          </rPr>
          <t>Enter the starting month and year in here. The rest will change automatically.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Simon Hulme</author>
  </authors>
  <commentList>
    <comment ref="B7" authorId="0" shapeId="0" xr:uid="{00000000-0006-0000-0100-000001000000}">
      <text>
        <r>
          <rPr>
            <sz val="9"/>
            <color rgb="FF000000"/>
            <rFont val="Calibri"/>
            <family val="2"/>
          </rPr>
          <t>These are assumptions that are fixed for each year.</t>
        </r>
      </text>
    </comment>
    <comment ref="C76" authorId="0" shapeId="0" xr:uid="{00000000-0006-0000-0100-000007000000}">
      <text>
        <r>
          <rPr>
            <sz val="9"/>
            <color rgb="FF000000"/>
            <rFont val="Calibri"/>
            <family val="2"/>
          </rPr>
          <t xml:space="preserve">Generally there is no Depreciation applied to Freehold Buildings in the UK.  Depreciation would, however, normally be applied to building improvements or fixtures and fittings.
</t>
        </r>
        <r>
          <rPr>
            <sz val="9"/>
            <color rgb="FF000000"/>
            <rFont val="Calibri"/>
            <family val="2"/>
          </rPr>
          <t xml:space="preserve">
</t>
        </r>
        <r>
          <rPr>
            <sz val="9"/>
            <color rgb="FF000000"/>
            <rFont val="Calibri"/>
            <family val="2"/>
          </rPr>
          <t xml:space="preserve">In this input section, put in the original building costs and their current value. The difference is known as the Revaluation Reserve and sits in the Balance Sheet as a balancing item. 
</t>
        </r>
        <r>
          <rPr>
            <sz val="9"/>
            <color rgb="FF000000"/>
            <rFont val="Calibri"/>
            <family val="2"/>
          </rPr>
          <t xml:space="preserve">
</t>
        </r>
        <r>
          <rPr>
            <sz val="9"/>
            <color rgb="FF000000"/>
            <rFont val="Calibri"/>
            <family val="2"/>
          </rPr>
          <t xml:space="preserve">This Revaluation Reserve is not a profit unless it is sold. If the building was sold at above the cost, then this Revaluation Reserve would become a profit and would be added to the P&amp;L.  The Revaluation Reserve would then be removed from the Balance Sheet.  </t>
        </r>
      </text>
    </comment>
    <comment ref="C84" authorId="0" shapeId="0" xr:uid="{00000000-0006-0000-0100-000009000000}">
      <text>
        <r>
          <rPr>
            <sz val="9"/>
            <color indexed="81"/>
            <rFont val="Calibri"/>
            <family val="2"/>
          </rPr>
          <t>Check HMRC website for exact rate.</t>
        </r>
      </text>
    </comment>
    <comment ref="B89" authorId="0" shapeId="0" xr:uid="{00000000-0006-0000-0100-00000D000000}">
      <text>
        <r>
          <rPr>
            <sz val="9"/>
            <color rgb="FF000000"/>
            <rFont val="+mn-lt"/>
            <charset val="1"/>
          </rPr>
          <t>With the exception of the yellow lines, this is entirely worked out by formulas driven from the input assumptions above.</t>
        </r>
        <r>
          <rPr>
            <sz val="9"/>
            <color rgb="FF000000"/>
            <rFont val="+mn-lt"/>
            <charset val="1"/>
          </rPr>
          <t xml:space="preserve">
</t>
        </r>
      </text>
    </comment>
    <comment ref="B95" authorId="0" shapeId="0" xr:uid="{00000000-0006-0000-0100-00000E000000}">
      <text>
        <r>
          <rPr>
            <sz val="9"/>
            <color rgb="FF000000"/>
            <rFont val="Calibri"/>
            <family val="2"/>
          </rPr>
          <t xml:space="preserve">Sales in the P&amp;L always </t>
        </r>
        <r>
          <rPr>
            <b/>
            <sz val="9"/>
            <color rgb="FF000000"/>
            <rFont val="Calibri"/>
            <family val="2"/>
          </rPr>
          <t>exclude</t>
        </r>
        <r>
          <rPr>
            <sz val="9"/>
            <color rgb="FF000000"/>
            <rFont val="Calibri"/>
            <family val="2"/>
          </rPr>
          <t xml:space="preserve"> VAT.
</t>
        </r>
        <r>
          <rPr>
            <sz val="9"/>
            <color rgb="FF000000"/>
            <rFont val="Calibri"/>
            <family val="2"/>
          </rPr>
          <t xml:space="preserve">
</t>
        </r>
      </text>
    </comment>
    <comment ref="B99" authorId="0" shapeId="0" xr:uid="{00000000-0006-0000-0100-00000F000000}">
      <text>
        <r>
          <rPr>
            <sz val="9"/>
            <color rgb="FF000000"/>
            <rFont val="Calibri"/>
            <family val="2"/>
          </rPr>
          <t xml:space="preserve">All Overhead figures are calculated from formulas above. 
</t>
        </r>
        <r>
          <rPr>
            <sz val="9"/>
            <color rgb="FF000000"/>
            <rFont val="Calibri"/>
            <family val="2"/>
          </rPr>
          <t xml:space="preserve">
</t>
        </r>
        <r>
          <rPr>
            <sz val="9"/>
            <color rgb="FF000000"/>
            <rFont val="Calibri"/>
            <family val="2"/>
          </rPr>
          <t xml:space="preserve">But you could, if you prefer,  input directly into the rows. 
</t>
        </r>
        <r>
          <rPr>
            <sz val="9"/>
            <color rgb="FF000000"/>
            <rFont val="Calibri"/>
            <family val="2"/>
          </rPr>
          <t xml:space="preserve">
</t>
        </r>
        <r>
          <rPr>
            <sz val="9"/>
            <color rgb="FF000000"/>
            <rFont val="Calibri"/>
            <family val="2"/>
          </rPr>
          <t xml:space="preserve">Don't forget to colour the cells in yellow!
</t>
        </r>
        <r>
          <rPr>
            <sz val="9"/>
            <color rgb="FF000000"/>
            <rFont val="Calibri"/>
            <family val="2"/>
          </rPr>
          <t xml:space="preserve">
</t>
        </r>
      </text>
    </comment>
    <comment ref="B107" authorId="0" shapeId="0" xr:uid="{00000000-0006-0000-0100-000010000000}">
      <text>
        <r>
          <rPr>
            <sz val="9"/>
            <color rgb="FF000000"/>
            <rFont val="Calibri"/>
            <family val="2"/>
          </rPr>
          <t>This row, and the one below, is here as example to show that you can input directly into the P&amp;L sheet month by month if you prefer, rather than using the formula system above. It's your choice.</t>
        </r>
      </text>
    </comment>
    <comment ref="B110" authorId="0" shapeId="0" xr:uid="{00000000-0006-0000-0100-000011000000}">
      <text>
        <r>
          <rPr>
            <b/>
            <sz val="9"/>
            <color rgb="FF000000"/>
            <rFont val="Calibri"/>
            <family val="2"/>
          </rPr>
          <t xml:space="preserve">Earnings Before Interest Tax Depreciation &amp; Amortisation (EBITDA).
</t>
        </r>
        <r>
          <rPr>
            <sz val="9"/>
            <color rgb="FF000000"/>
            <rFont val="Calibri"/>
            <family val="2"/>
          </rPr>
          <t xml:space="preserve">
</t>
        </r>
        <r>
          <rPr>
            <sz val="9"/>
            <color rgb="FF000000"/>
            <rFont val="Calibri"/>
            <family val="2"/>
          </rPr>
          <t xml:space="preserve">EBITDA is now widely used in the real world as a second definition of profit, especially by Venture Capital  community. 
</t>
        </r>
        <r>
          <rPr>
            <sz val="9"/>
            <color rgb="FF000000"/>
            <rFont val="Calibri"/>
            <family val="2"/>
          </rPr>
          <t xml:space="preserve">
</t>
        </r>
        <r>
          <rPr>
            <sz val="9"/>
            <color rgb="FF000000"/>
            <rFont val="Calibri"/>
            <family val="2"/>
          </rPr>
          <t>As a profit definition it certainly has limitations, however, especially if the business is capital intensive.</t>
        </r>
      </text>
    </comment>
    <comment ref="B113" authorId="0" shapeId="0" xr:uid="{00000000-0006-0000-0100-000012000000}">
      <text>
        <r>
          <rPr>
            <b/>
            <sz val="9"/>
            <color rgb="FF000000"/>
            <rFont val="Calibri"/>
            <family val="2"/>
          </rPr>
          <t>Earnings Before Interest &amp; Tax Depreciation (EBIT) or Operating Profit.</t>
        </r>
        <r>
          <rPr>
            <sz val="9"/>
            <color rgb="FF000000"/>
            <rFont val="Calibri"/>
            <family val="2"/>
          </rPr>
          <t xml:space="preserve">
</t>
        </r>
        <r>
          <rPr>
            <sz val="9"/>
            <color rgb="FF000000"/>
            <rFont val="Calibri"/>
            <family val="2"/>
          </rPr>
          <t xml:space="preserve">
</t>
        </r>
        <r>
          <rPr>
            <sz val="9"/>
            <color rgb="FF000000"/>
            <rFont val="Calibri"/>
            <family val="2"/>
          </rPr>
          <t xml:space="preserve">This is an excellent profit measure as it shows the profitability of the business without the distortion of Interest.  In some cases a business may have high Interest costs as a result of historic problems, which then distort how profitable the underlying business really is.
</t>
        </r>
        <r>
          <rPr>
            <sz val="9"/>
            <color rgb="FF000000"/>
            <rFont val="Calibri"/>
            <family val="2"/>
          </rPr>
          <t xml:space="preserve">
</t>
        </r>
        <r>
          <rPr>
            <sz val="9"/>
            <color rgb="FF000000"/>
            <rFont val="Calibri"/>
            <family val="2"/>
          </rPr>
          <t>So this is generally regarded as a good measure.</t>
        </r>
      </text>
    </comment>
    <comment ref="B115" authorId="0" shapeId="0" xr:uid="{00000000-0006-0000-0100-000013000000}">
      <text>
        <r>
          <rPr>
            <sz val="9"/>
            <color rgb="FF000000"/>
            <rFont val="Calibri"/>
            <family val="2"/>
          </rPr>
          <t>Loan interest is a P&amp;L item, whilst loan capital  repayments are only a Cash Flow item.</t>
        </r>
      </text>
    </comment>
    <comment ref="B118" authorId="0" shapeId="0" xr:uid="{00000000-0006-0000-0100-000014000000}">
      <text>
        <r>
          <rPr>
            <sz val="9"/>
            <color rgb="FF000000"/>
            <rFont val="Calibri"/>
            <family val="2"/>
          </rPr>
          <t xml:space="preserve">Check exact rate of tax on HMRC website. Varies from year to year and is dependent on size of business.
</t>
        </r>
        <r>
          <rPr>
            <sz val="9"/>
            <color rgb="FF000000"/>
            <rFont val="Calibri"/>
            <family val="2"/>
          </rPr>
          <t xml:space="preserve">
</t>
        </r>
        <r>
          <rPr>
            <sz val="9"/>
            <color rgb="FF000000"/>
            <rFont val="Calibri"/>
            <family val="2"/>
          </rPr>
          <t>To calculate Corporation Tax see notes and workings below.</t>
        </r>
      </text>
    </comment>
    <comment ref="B129" authorId="0" shapeId="0" xr:uid="{81B71EBE-8832-A446-9A1F-9D81544DB7A9}">
      <text>
        <r>
          <rPr>
            <sz val="9"/>
            <color rgb="FF000000"/>
            <rFont val="Calibri"/>
            <family val="2"/>
          </rPr>
          <t xml:space="preserve">Fixed Assets, unless they are freehold property, will be subject to Depreciation*.  As the P&amp;L is charged the monthly depreciation of the asset, so the value of the asset is written down. This is a fantastic example of how the P&amp;L and BS are so perfectly linked.
</t>
        </r>
        <r>
          <rPr>
            <sz val="9"/>
            <color rgb="FF000000"/>
            <rFont val="Calibri"/>
            <family val="2"/>
          </rPr>
          <t xml:space="preserve">
</t>
        </r>
        <r>
          <rPr>
            <sz val="9"/>
            <color rgb="FF000000"/>
            <rFont val="Calibri"/>
            <family val="2"/>
          </rPr>
          <t xml:space="preserve">There are two methods of depreciation - Straight Line and Reducing Balance.  The examples below use Straight Line depreciation.
</t>
        </r>
        <r>
          <rPr>
            <sz val="9"/>
            <color rgb="FF000000"/>
            <rFont val="Calibri"/>
            <family val="2"/>
          </rPr>
          <t xml:space="preserve">
</t>
        </r>
        <r>
          <rPr>
            <sz val="9"/>
            <color rgb="FF000000"/>
            <rFont val="Calibri"/>
            <family val="2"/>
          </rPr>
          <t>* note that strictly speaking a freehold building should be depreciated at the rate of 2.5% a year whilst the land element is not depreciated. For the purposes of a simple financial model it is OK to ignore depreciation on freehold property.</t>
        </r>
      </text>
    </comment>
    <comment ref="B207" authorId="0" shapeId="0" xr:uid="{00000000-0006-0000-0100-000015000000}">
      <text>
        <r>
          <rPr>
            <sz val="9"/>
            <color rgb="FF000000"/>
            <rFont val="Calibri"/>
            <family val="2"/>
          </rPr>
          <t xml:space="preserve">The proper calculation of Corporation Tax will require the assistance of a professional accountant.
</t>
        </r>
        <r>
          <rPr>
            <sz val="9"/>
            <color rgb="FF000000"/>
            <rFont val="Calibri"/>
            <family val="2"/>
          </rPr>
          <t xml:space="preserve">
</t>
        </r>
        <r>
          <rPr>
            <sz val="9"/>
            <color rgb="FF000000"/>
            <rFont val="Calibri"/>
            <family val="2"/>
          </rPr>
          <t xml:space="preserve">In simplistic terms, the Taxable Profit is calculated by adding back Depreciation (which is not an allowable expense).  However, some allowance needs to be made for capital costs, so there's a Capital Allowance. The rules have changed over the years, but in certain cases you're allowed to deduct 100% of certain defined types of expenditure - typically plant &amp; machinery and fixtures &amp; fittings. 
</t>
        </r>
        <r>
          <rPr>
            <sz val="9"/>
            <color rgb="FF000000"/>
            <rFont val="Calibri"/>
            <family val="2"/>
          </rPr>
          <t xml:space="preserve">
</t>
        </r>
        <r>
          <rPr>
            <sz val="9"/>
            <color rgb="FF000000"/>
            <rFont val="Calibri"/>
            <family val="2"/>
          </rPr>
          <t xml:space="preserve">This is actually much more favourable than allowing Depreciation, since potentially the entire cost of this expenditure can be offset against the current Corporation Tax liability.
</t>
        </r>
        <r>
          <rPr>
            <sz val="9"/>
            <color rgb="FF000000"/>
            <rFont val="Calibri"/>
            <family val="2"/>
          </rPr>
          <t xml:space="preserve">
</t>
        </r>
        <r>
          <rPr>
            <sz val="9"/>
            <color rgb="FF000000"/>
            <rFont val="Calibri"/>
            <family val="2"/>
          </rPr>
          <t>Please refer to the HMRC website, or an accountant, for more detailed information.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Simon Hulme</author>
  </authors>
  <commentList>
    <comment ref="C91" authorId="0" shapeId="0" xr:uid="{C4E742C9-61F4-4F79-BB7D-C6F44196F15A}">
      <text>
        <r>
          <rPr>
            <sz val="9"/>
            <color indexed="81"/>
            <rFont val="Calibri"/>
            <family val="2"/>
          </rPr>
          <t>Check HMRC website for exact rate.</t>
        </r>
      </text>
    </comment>
    <comment ref="B98" authorId="0" shapeId="0" xr:uid="{21B31591-F32A-4847-8D93-21D03D735A53}">
      <text>
        <r>
          <rPr>
            <sz val="9"/>
            <color rgb="FF000000"/>
            <rFont val="+mn-lt"/>
            <charset val="1"/>
          </rPr>
          <t>With the exception of the yellow lines, this is entirely worked out by formulas driven from the input assumptions above.</t>
        </r>
        <r>
          <rPr>
            <sz val="9"/>
            <color rgb="FF000000"/>
            <rFont val="+mn-lt"/>
            <charset val="1"/>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Simon Hulme</author>
  </authors>
  <commentList>
    <comment ref="C46" authorId="0" shapeId="0" xr:uid="{5A124772-010F-4018-BA54-1B03D47A4127}">
      <text>
        <r>
          <rPr>
            <sz val="9"/>
            <color indexed="81"/>
            <rFont val="Calibri"/>
            <family val="2"/>
          </rPr>
          <t>Check HMRC website for exact rate.</t>
        </r>
      </text>
    </comment>
    <comment ref="B49" authorId="0" shapeId="0" xr:uid="{549F8A6F-E451-4FF5-A0BF-C2A825184A13}">
      <text>
        <r>
          <rPr>
            <sz val="9"/>
            <color rgb="FF000000"/>
            <rFont val="+mn-lt"/>
            <charset val="1"/>
          </rPr>
          <t>With the exception of the yellow lines, this is entirely worked out by formulas driven from the input assumptions above.</t>
        </r>
        <r>
          <rPr>
            <sz val="9"/>
            <color rgb="FF000000"/>
            <rFont val="+mn-lt"/>
            <charset val="1"/>
          </rPr>
          <t xml:space="preserve">
</t>
        </r>
      </text>
    </comment>
    <comment ref="B55" authorId="0" shapeId="0" xr:uid="{34A71286-E6AC-47E1-ACBF-085475F00833}">
      <text>
        <r>
          <rPr>
            <sz val="9"/>
            <color rgb="FF000000"/>
            <rFont val="Calibri"/>
            <family val="2"/>
          </rPr>
          <t xml:space="preserve">Sales in the P&amp;L always </t>
        </r>
        <r>
          <rPr>
            <b/>
            <sz val="9"/>
            <color rgb="FF000000"/>
            <rFont val="Calibri"/>
            <family val="2"/>
          </rPr>
          <t>exclude</t>
        </r>
        <r>
          <rPr>
            <sz val="9"/>
            <color rgb="FF000000"/>
            <rFont val="Calibri"/>
            <family val="2"/>
          </rPr>
          <t xml:space="preserve"> VAT.
</t>
        </r>
        <r>
          <rPr>
            <sz val="9"/>
            <color rgb="FF000000"/>
            <rFont val="Calibri"/>
            <family val="2"/>
          </rPr>
          <t xml:space="preserve">
</t>
        </r>
      </text>
    </comment>
    <comment ref="B59" authorId="0" shapeId="0" xr:uid="{49FD73A2-37AF-44E4-B919-9B0880B7D471}">
      <text>
        <r>
          <rPr>
            <sz val="9"/>
            <color rgb="FF000000"/>
            <rFont val="Calibri"/>
            <family val="2"/>
          </rPr>
          <t xml:space="preserve">All Overhead figures are calculated from formulas above. 
</t>
        </r>
        <r>
          <rPr>
            <sz val="9"/>
            <color rgb="FF000000"/>
            <rFont val="Calibri"/>
            <family val="2"/>
          </rPr>
          <t xml:space="preserve">
</t>
        </r>
        <r>
          <rPr>
            <sz val="9"/>
            <color rgb="FF000000"/>
            <rFont val="Calibri"/>
            <family val="2"/>
          </rPr>
          <t xml:space="preserve">But you could, if you prefer,  input directly into the rows. 
</t>
        </r>
        <r>
          <rPr>
            <sz val="9"/>
            <color rgb="FF000000"/>
            <rFont val="Calibri"/>
            <family val="2"/>
          </rPr>
          <t xml:space="preserve">
</t>
        </r>
        <r>
          <rPr>
            <sz val="9"/>
            <color rgb="FF000000"/>
            <rFont val="Calibri"/>
            <family val="2"/>
          </rPr>
          <t xml:space="preserve">Don't forget to colour the cells in yellow!
</t>
        </r>
        <r>
          <rPr>
            <sz val="9"/>
            <color rgb="FF000000"/>
            <rFont val="Calibri"/>
            <family val="2"/>
          </rPr>
          <t xml:space="preserve">
</t>
        </r>
      </text>
    </comment>
    <comment ref="B67" authorId="0" shapeId="0" xr:uid="{489A8181-90BE-4050-B9E9-FC48497C165C}">
      <text>
        <r>
          <rPr>
            <sz val="9"/>
            <color rgb="FF000000"/>
            <rFont val="Calibri"/>
            <family val="2"/>
          </rPr>
          <t>This row, and the one below, is here as example to show that you can input directly into the P&amp;L sheet month by month if you prefer, rather than using the formula system above. It's your choice.</t>
        </r>
      </text>
    </comment>
    <comment ref="B71" authorId="0" shapeId="0" xr:uid="{F68E5C33-661B-40B2-87A0-1F349A852C14}">
      <text>
        <r>
          <rPr>
            <b/>
            <sz val="9"/>
            <color rgb="FF000000"/>
            <rFont val="Calibri"/>
            <family val="2"/>
          </rPr>
          <t xml:space="preserve">Earnings Before Interest Tax Depreciation &amp; Amortisation (EBITDA).
</t>
        </r>
        <r>
          <rPr>
            <sz val="9"/>
            <color rgb="FF000000"/>
            <rFont val="Calibri"/>
            <family val="2"/>
          </rPr>
          <t xml:space="preserve">
</t>
        </r>
        <r>
          <rPr>
            <sz val="9"/>
            <color rgb="FF000000"/>
            <rFont val="Calibri"/>
            <family val="2"/>
          </rPr>
          <t xml:space="preserve">EBITDA is now widely used in the real world as a second definition of profit, especially by Venture Capital  community. 
</t>
        </r>
        <r>
          <rPr>
            <sz val="9"/>
            <color rgb="FF000000"/>
            <rFont val="Calibri"/>
            <family val="2"/>
          </rPr>
          <t xml:space="preserve">
</t>
        </r>
        <r>
          <rPr>
            <sz val="9"/>
            <color rgb="FF000000"/>
            <rFont val="Calibri"/>
            <family val="2"/>
          </rPr>
          <t>As a profit definition it certainly has limitations, however, especially if the business is capital intensive.</t>
        </r>
      </text>
    </comment>
    <comment ref="B74" authorId="0" shapeId="0" xr:uid="{AB310E2E-9BA6-452B-91A3-1AE72923C918}">
      <text>
        <r>
          <rPr>
            <b/>
            <sz val="9"/>
            <color rgb="FF000000"/>
            <rFont val="Calibri"/>
            <family val="2"/>
          </rPr>
          <t>Earnings Before Interest &amp; Tax Depreciation (EBIT) or Operating Profit.</t>
        </r>
        <r>
          <rPr>
            <sz val="9"/>
            <color rgb="FF000000"/>
            <rFont val="Calibri"/>
            <family val="2"/>
          </rPr>
          <t xml:space="preserve">
</t>
        </r>
        <r>
          <rPr>
            <sz val="9"/>
            <color rgb="FF000000"/>
            <rFont val="Calibri"/>
            <family val="2"/>
          </rPr>
          <t xml:space="preserve">
</t>
        </r>
        <r>
          <rPr>
            <sz val="9"/>
            <color rgb="FF000000"/>
            <rFont val="Calibri"/>
            <family val="2"/>
          </rPr>
          <t xml:space="preserve">This is an excellent profit measure as it shows the profitability of the business without the distortion of Interest.  In some cases a business may have high Interest costs as a result of historic problems, which then distort how profitable the underlying business really is.
</t>
        </r>
        <r>
          <rPr>
            <sz val="9"/>
            <color rgb="FF000000"/>
            <rFont val="Calibri"/>
            <family val="2"/>
          </rPr>
          <t xml:space="preserve">
</t>
        </r>
        <r>
          <rPr>
            <sz val="9"/>
            <color rgb="FF000000"/>
            <rFont val="Calibri"/>
            <family val="2"/>
          </rPr>
          <t>So this is generally regarded as a good measure.</t>
        </r>
      </text>
    </comment>
    <comment ref="B76" authorId="0" shapeId="0" xr:uid="{8EF35759-C531-4C6F-8D4C-833B94DA9E8C}">
      <text>
        <r>
          <rPr>
            <sz val="9"/>
            <color rgb="FF000000"/>
            <rFont val="Calibri"/>
            <family val="2"/>
          </rPr>
          <t>Loan interest is a P&amp;L item, whilst loan capital  repayments are only a Cash Flow item.</t>
        </r>
      </text>
    </comment>
    <comment ref="B79" authorId="0" shapeId="0" xr:uid="{82AE1A38-6CF1-4539-B6F4-1FBEB36F7C22}">
      <text>
        <r>
          <rPr>
            <sz val="9"/>
            <color rgb="FF000000"/>
            <rFont val="Calibri"/>
            <family val="2"/>
          </rPr>
          <t xml:space="preserve">Check exact rate of tax on HMRC website. Varies from year to year and is dependent on size of business.
</t>
        </r>
        <r>
          <rPr>
            <sz val="9"/>
            <color rgb="FF000000"/>
            <rFont val="Calibri"/>
            <family val="2"/>
          </rPr>
          <t xml:space="preserve">
</t>
        </r>
        <r>
          <rPr>
            <sz val="9"/>
            <color rgb="FF000000"/>
            <rFont val="Calibri"/>
            <family val="2"/>
          </rPr>
          <t>To calculate Corporation Tax see notes and workings below.</t>
        </r>
      </text>
    </comment>
    <comment ref="B89" authorId="0" shapeId="0" xr:uid="{35704DFF-E88B-462C-B5B9-241A9E644004}">
      <text>
        <r>
          <rPr>
            <sz val="9"/>
            <color rgb="FF000000"/>
            <rFont val="Calibri"/>
            <family val="2"/>
          </rPr>
          <t xml:space="preserve">Fixed Assets, unless they are freehold property, will be subject to Depreciation*.  As the P&amp;L is charged the monthly depreciation of the asset, so the value of the asset is written down. This is a fantastic example of how the P&amp;L and BS are so perfectly linked.
</t>
        </r>
        <r>
          <rPr>
            <sz val="9"/>
            <color rgb="FF000000"/>
            <rFont val="Calibri"/>
            <family val="2"/>
          </rPr>
          <t xml:space="preserve">
</t>
        </r>
        <r>
          <rPr>
            <sz val="9"/>
            <color rgb="FF000000"/>
            <rFont val="Calibri"/>
            <family val="2"/>
          </rPr>
          <t xml:space="preserve">There are two methods of depreciation - Straight Line and Reducing Balance.  The examples below use Straight Line depreciation.
</t>
        </r>
        <r>
          <rPr>
            <sz val="9"/>
            <color rgb="FF000000"/>
            <rFont val="Calibri"/>
            <family val="2"/>
          </rPr>
          <t xml:space="preserve">
</t>
        </r>
        <r>
          <rPr>
            <sz val="9"/>
            <color rgb="FF000000"/>
            <rFont val="Calibri"/>
            <family val="2"/>
          </rPr>
          <t>* note that strictly speaking a freehold building should be depreciated at the rate of 2.5% a year whilst the land element is not depreciated. For the purposes of a simple financial model it is OK to ignore depreciation on freehold property.</t>
        </r>
      </text>
    </comment>
    <comment ref="B94" authorId="0" shapeId="0" xr:uid="{798DA347-E923-4B48-967E-17EE9474425B}">
      <text>
        <r>
          <rPr>
            <sz val="9"/>
            <color rgb="FF000000"/>
            <rFont val="Calibri"/>
            <family val="2"/>
          </rPr>
          <t xml:space="preserve">The proper calculation of Corporation Tax will require the assistance of a professional accountant.
</t>
        </r>
        <r>
          <rPr>
            <sz val="9"/>
            <color rgb="FF000000"/>
            <rFont val="Calibri"/>
            <family val="2"/>
          </rPr>
          <t xml:space="preserve">
</t>
        </r>
        <r>
          <rPr>
            <sz val="9"/>
            <color rgb="FF000000"/>
            <rFont val="Calibri"/>
            <family val="2"/>
          </rPr>
          <t xml:space="preserve">In simplistic terms, the Taxable Profit is calculated by adding back Depreciation (which is not an allowable expense).  However, some allowance needs to be made for capital costs, so there's a Capital Allowance. The rules have changed over the years, but in certain cases you're allowed to deduct 100% of certain defined types of expenditure - typically plant &amp; machinery and fixtures &amp; fittings. 
</t>
        </r>
        <r>
          <rPr>
            <sz val="9"/>
            <color rgb="FF000000"/>
            <rFont val="Calibri"/>
            <family val="2"/>
          </rPr>
          <t xml:space="preserve">
</t>
        </r>
        <r>
          <rPr>
            <sz val="9"/>
            <color rgb="FF000000"/>
            <rFont val="Calibri"/>
            <family val="2"/>
          </rPr>
          <t xml:space="preserve">This is actually much more favourable than allowing Depreciation, since potentially the entire cost of this expenditure can be offset against the current Corporation Tax liability.
</t>
        </r>
        <r>
          <rPr>
            <sz val="9"/>
            <color rgb="FF000000"/>
            <rFont val="Calibri"/>
            <family val="2"/>
          </rPr>
          <t xml:space="preserve">
</t>
        </r>
        <r>
          <rPr>
            <sz val="9"/>
            <color rgb="FF000000"/>
            <rFont val="Calibri"/>
            <family val="2"/>
          </rPr>
          <t>Please refer to the HMRC website, or an accountant, for more detailed information.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Simon Hulme</author>
  </authors>
  <commentList>
    <comment ref="B57" authorId="0" shapeId="0" xr:uid="{00000000-0006-0000-0200-000001000000}">
      <text>
        <r>
          <rPr>
            <sz val="9"/>
            <color rgb="FF000000"/>
            <rFont val="Calibri"/>
            <family val="2"/>
          </rPr>
          <t>The cash business is generating or consuming in each month!</t>
        </r>
      </text>
    </comment>
    <comment ref="B62" authorId="0" shapeId="0" xr:uid="{FE0D67C0-8723-0842-84E0-65A77FA90286}">
      <text>
        <r>
          <rPr>
            <sz val="9"/>
            <color rgb="FF000000"/>
            <rFont val="Calibri"/>
            <family val="2"/>
          </rPr>
          <t xml:space="preserve">This row of numbers should always be zero! If it is not, the BS is not in balance and there is an error. 
</t>
        </r>
        <r>
          <rPr>
            <sz val="9"/>
            <color rgb="FF000000"/>
            <rFont val="Calibri"/>
            <family val="2"/>
          </rPr>
          <t xml:space="preserve">
</t>
        </r>
        <r>
          <rPr>
            <sz val="9"/>
            <color rgb="FF000000"/>
            <rFont val="Calibri"/>
            <family val="2"/>
          </rPr>
          <t xml:space="preserve">To find the error, look at when the BS goes out of balance… the problem probably starts in this particular month. Work through every line one by one.
</t>
        </r>
        <r>
          <rPr>
            <sz val="9"/>
            <color rgb="FF000000"/>
            <rFont val="Calibri"/>
            <family val="2"/>
          </rPr>
          <t xml:space="preserve">
</t>
        </r>
        <r>
          <rPr>
            <sz val="9"/>
            <color rgb="FF000000"/>
            <rFont val="Calibri"/>
            <family val="2"/>
          </rPr>
          <t xml:space="preserve">Also what is the difference in £'s? That's also a clue as to where your error may be hiding!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Thurlestone
</t>
        </r>
        <r>
          <rPr>
            <sz val="9"/>
            <color rgb="FF000000"/>
            <rFont val="Calibri"/>
            <family val="2"/>
          </rPr>
          <t xml:space="preserve">
</t>
        </r>
      </text>
    </comment>
    <comment ref="B79" authorId="0" shapeId="0" xr:uid="{00000000-0006-0000-0200-000002000000}">
      <text>
        <r>
          <rPr>
            <sz val="9"/>
            <color rgb="FF000000"/>
            <rFont val="+mn-lt"/>
            <charset val="1"/>
          </rPr>
          <t>Assunmes a simple 30 days credit is given on all sales.</t>
        </r>
      </text>
    </comment>
    <comment ref="B82" authorId="0" shapeId="0" xr:uid="{79D2E999-843A-6F4F-8C00-7BC596FDC9B5}">
      <text>
        <r>
          <rPr>
            <sz val="9"/>
            <color rgb="FF000000"/>
            <rFont val="+mn-lt"/>
            <charset val="1"/>
          </rPr>
          <t>Although VAT doesn't feature in the P&amp;L we collect this money in from our sales so it affects the cash flow.</t>
        </r>
      </text>
    </comment>
    <comment ref="B88" authorId="0" shapeId="0" xr:uid="{00000000-0006-0000-0200-000003000000}">
      <text>
        <r>
          <rPr>
            <sz val="9"/>
            <color rgb="FF000000"/>
            <rFont val="+mn-lt"/>
            <charset val="1"/>
          </rPr>
          <t>Enter any changes in stock levels here.</t>
        </r>
      </text>
    </comment>
    <comment ref="B90" authorId="0" shapeId="0" xr:uid="{A8DDEE67-AC0C-384A-90BF-978FCCB8DCEB}">
      <text>
        <r>
          <rPr>
            <sz val="9"/>
            <color rgb="FF000000"/>
            <rFont val="+mn-lt"/>
            <charset val="1"/>
          </rPr>
          <t xml:space="preserve">Whilst the VAT does not feature in the P&amp;L we have to pay it on all our Purchases, hence it affects the Cash Flow statement. It will be offset against the VAT collected in the quarterly return to HMRC, the calculation of which is shown below.
</t>
        </r>
      </text>
    </comment>
    <comment ref="B98" authorId="0" shapeId="0" xr:uid="{00000000-0006-0000-0200-000004000000}">
      <text>
        <r>
          <rPr>
            <sz val="9"/>
            <color rgb="FF000000"/>
            <rFont val="+mn-lt"/>
            <charset val="1"/>
          </rPr>
          <t>This is when the payment is actually made, which is different to the accruals made in the P&amp;L.</t>
        </r>
      </text>
    </comment>
    <comment ref="B102" authorId="0" shapeId="0" xr:uid="{00000000-0006-0000-0200-000005000000}">
      <text>
        <r>
          <rPr>
            <sz val="9"/>
            <color rgb="FF000000"/>
            <rFont val="+mn-lt"/>
            <charset val="1"/>
          </rPr>
          <t>This is when the payment is actually made, which is different to the accruals made in the P&amp;L.</t>
        </r>
        <r>
          <rPr>
            <sz val="9"/>
            <color rgb="FF000000"/>
            <rFont val="+mn-lt"/>
            <charset val="1"/>
          </rPr>
          <t xml:space="preserve">
</t>
        </r>
      </text>
    </comment>
    <comment ref="B104" authorId="0" shapeId="0" xr:uid="{1D4C58DB-C83F-744C-8E35-727BD8E9AC83}">
      <text>
        <r>
          <rPr>
            <sz val="9"/>
            <color rgb="FF000000"/>
            <rFont val="+mn-lt"/>
            <charset val="1"/>
          </rPr>
          <t>This is simply the Total Operating Expenses (from P&amp;L) less the items already counted in the lines immediately above.</t>
        </r>
      </text>
    </comment>
    <comment ref="B108" authorId="0" shapeId="0" xr:uid="{00000000-0006-0000-0200-000006000000}">
      <text>
        <r>
          <rPr>
            <sz val="9"/>
            <color rgb="FF000000"/>
            <rFont val="+mn-lt"/>
            <charset val="1"/>
          </rPr>
          <t xml:space="preserve">Output VAT is the VAT charged on the sales made to customers, ie  on goods going out.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text>
    </comment>
    <comment ref="B109" authorId="0" shapeId="0" xr:uid="{00000000-0006-0000-0200-000007000000}">
      <text>
        <r>
          <rPr>
            <sz val="9"/>
            <color rgb="FF000000"/>
            <rFont val="+mn-lt"/>
            <charset val="1"/>
          </rPr>
          <t xml:space="preserve">Input VAT is the VAT paid on goods coming in to the business. Generally this can be reclaimed.
</t>
        </r>
      </text>
    </comment>
    <comment ref="B125" authorId="0" shapeId="0" xr:uid="{24995548-8ECD-1049-AE62-8535CB5705FF}">
      <text>
        <r>
          <rPr>
            <sz val="9"/>
            <color rgb="FF000000"/>
            <rFont val="+mn-lt"/>
            <charset val="1"/>
          </rPr>
          <t>It is assumed that the property has been purcased in the first month, and will be funded by the capital injected into the business (loans or equity) in the first month too.</t>
        </r>
      </text>
    </comment>
    <comment ref="B142" authorId="0" shapeId="0" xr:uid="{077583A7-FE8E-8F49-89C4-F8F74EDD49AF}">
      <text>
        <r>
          <rPr>
            <sz val="9"/>
            <color rgb="FF000000"/>
            <rFont val="+mn-lt"/>
            <charset val="1"/>
          </rPr>
          <t xml:space="preserve">Manually add any credit taken or (payments made) for capital equipment purchases. This line should add up to zero otherwise Balance Sheet won't balance.
</t>
        </r>
        <r>
          <rPr>
            <sz val="9"/>
            <color rgb="FF000000"/>
            <rFont val="+mn-lt"/>
            <charset val="1"/>
          </rPr>
          <t xml:space="preserve">
</t>
        </r>
        <r>
          <rPr>
            <sz val="9"/>
            <color rgb="FF000000"/>
            <rFont val="+mn-lt"/>
            <charset val="1"/>
          </rPr>
          <t xml:space="preserve">To explain this, when the asset is purchased Fixed Assets are debited (the application). Because the asset has not yet been paid for you cannot credit Cash (the source) so you need to credit Creditors (ie people who you owe money to). They are the source of the funding for the asset until it is paid for, and then the source becomes Cash.
</t>
        </r>
        <r>
          <rPr>
            <sz val="9"/>
            <color rgb="FF000000"/>
            <rFont val="+mn-lt"/>
            <charset val="1"/>
          </rPr>
          <t xml:space="preserve">
</t>
        </r>
        <r>
          <rPr>
            <sz val="9"/>
            <color rgb="FF000000"/>
            <rFont val="+mn-lt"/>
            <charset val="1"/>
          </rPr>
          <t>Entry here will be taken into the Creditors workings in the Balance Sheet.</t>
        </r>
      </text>
    </comment>
    <comment ref="B151" authorId="0" shapeId="0" xr:uid="{00000000-0006-0000-0200-000009000000}">
      <text>
        <r>
          <rPr>
            <sz val="9"/>
            <color rgb="FF000000"/>
            <rFont val="+mn-lt"/>
            <charset val="1"/>
          </rPr>
          <t xml:space="preserve">Enter any repayments of Directors' Loans. Note cannot exceed total amount of loan outstanding!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v.2023.2
</t>
        </r>
        <r>
          <rPr>
            <sz val="9"/>
            <color rgb="FF000000"/>
            <rFont val="+mn-lt"/>
            <charset val="1"/>
          </rPr>
          <t xml:space="preserve">
</t>
        </r>
        <r>
          <rPr>
            <sz val="9"/>
            <color rgb="FF000000"/>
            <rFont val="Calibri"/>
            <family val="2"/>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text>
    </comment>
    <comment ref="B154" authorId="0" shapeId="0" xr:uid="{00000000-0006-0000-0200-00000A000000}">
      <text>
        <r>
          <rPr>
            <sz val="9"/>
            <color rgb="FF000000"/>
            <rFont val="+mn-lt"/>
            <charset val="1"/>
          </rPr>
          <t>Manually enter any Dividends paid out of the business. Cannot exceed the amount of Retained Earnings available!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Simon Hulme</author>
  </authors>
  <commentList>
    <comment ref="B54" authorId="0" shapeId="0" xr:uid="{00000000-0006-0000-0300-000002000000}">
      <text>
        <r>
          <rPr>
            <sz val="9"/>
            <color indexed="81"/>
            <rFont val="Calibri"/>
            <family val="2"/>
          </rPr>
          <t xml:space="preserve">For simplicity the Directors' Loan has been treated as a Long Term Liability with no repayment date set.
If the repayment was suddenly scheduled for the next 12 months, it would then become a Current Liability.
</t>
        </r>
      </text>
    </comment>
    <comment ref="B67" authorId="0" shapeId="0" xr:uid="{86056CF5-F12A-1E47-8BD7-DA094CCB887F}">
      <text>
        <r>
          <rPr>
            <sz val="9"/>
            <color rgb="FF000000"/>
            <rFont val="Calibri"/>
            <family val="2"/>
          </rPr>
          <t xml:space="preserve">This row of numbers should always be zero! If it is not, the BS is not in balance and there is an error. 
</t>
        </r>
        <r>
          <rPr>
            <sz val="9"/>
            <color rgb="FF000000"/>
            <rFont val="Calibri"/>
            <family val="2"/>
          </rPr>
          <t xml:space="preserve">
</t>
        </r>
        <r>
          <rPr>
            <sz val="9"/>
            <color rgb="FF000000"/>
            <rFont val="Calibri"/>
            <family val="2"/>
          </rPr>
          <t xml:space="preserve">To find the error, look at when the BS goes out of balance… the problem probably starts in this particular month. Work through every line one by one.
</t>
        </r>
        <r>
          <rPr>
            <sz val="9"/>
            <color rgb="FF000000"/>
            <rFont val="Calibri"/>
            <family val="2"/>
          </rPr>
          <t xml:space="preserve">
</t>
        </r>
        <r>
          <rPr>
            <sz val="9"/>
            <color rgb="FF000000"/>
            <rFont val="Calibri"/>
            <family val="2"/>
          </rPr>
          <t xml:space="preserve">Also what is the difference in £'s? That's also a clue as to where your error may be hiding!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scheme val="minor"/>
          </rPr>
          <t>Thurlestone</t>
        </r>
        <r>
          <rPr>
            <sz val="9"/>
            <color rgb="FF000000"/>
            <rFont val="Calibri"/>
            <family val="2"/>
            <scheme val="minor"/>
          </rPr>
          <t xml:space="preserve">
</t>
        </r>
        <r>
          <rPr>
            <sz val="9"/>
            <color rgb="FF000000"/>
            <rFont val="Calibri"/>
            <family val="2"/>
          </rPr>
          <t xml:space="preserve">
</t>
        </r>
      </text>
    </comment>
    <comment ref="B99" authorId="0" shapeId="0" xr:uid="{00000000-0006-0000-0300-000005000000}">
      <text>
        <r>
          <rPr>
            <sz val="9"/>
            <color rgb="FF000000"/>
            <rFont val="Calibri"/>
            <family val="2"/>
          </rPr>
          <t xml:space="preserve">This is the reverse of an Accrural (see note below).  Here you have paid for something, but not yet 'consumed ' it. Hence it is an asset.
</t>
        </r>
        <r>
          <rPr>
            <sz val="9"/>
            <color rgb="FF000000"/>
            <rFont val="Calibri"/>
            <family val="2"/>
          </rPr>
          <t xml:space="preserve">
</t>
        </r>
        <r>
          <rPr>
            <sz val="9"/>
            <color rgb="FF000000"/>
            <rFont val="Calibri"/>
            <family val="2"/>
          </rPr>
          <t>In this example the rent has been paid, but it is not until the end of the quarter that the rent has been fully 'consumed'.  Hence it is a form of asset - a Prepayment - in the BS.  Nothing is 'forgotten'!</t>
        </r>
      </text>
    </comment>
    <comment ref="B110" authorId="0" shapeId="0" xr:uid="{00000000-0006-0000-0300-000006000000}">
      <text>
        <r>
          <rPr>
            <sz val="9"/>
            <color rgb="FF000000"/>
            <rFont val="Calibri"/>
            <family val="2"/>
          </rPr>
          <t xml:space="preserve">Accurals take into account that you have consumed something yet not paid for it. Therefore it is a liability that has to be taken into account.  Again, it is a great illustration of the fact that nothing is 'forgotten' in a BS. Every asset and every liability should turn up somewhere!
</t>
        </r>
        <r>
          <rPr>
            <sz val="9"/>
            <color rgb="FF000000"/>
            <rFont val="Calibri"/>
            <family val="2"/>
          </rPr>
          <t xml:space="preserve">
</t>
        </r>
        <r>
          <rPr>
            <sz val="9"/>
            <color rgb="FF000000"/>
            <rFont val="Calibri"/>
            <family val="2"/>
          </rPr>
          <t>In this case Heat &amp; Light have been consumed, and the outstanding bill or liability grows every month until it is paid at the end of teh quarter. Then the liability is zero.</t>
        </r>
      </text>
    </comment>
    <comment ref="B115" authorId="0" shapeId="0" xr:uid="{00000000-0006-0000-0300-000007000000}">
      <text>
        <r>
          <rPr>
            <sz val="9"/>
            <color rgb="FF000000"/>
            <rFont val="Calibri"/>
            <family val="2"/>
          </rPr>
          <t xml:space="preserve">Some of the formulas below are highly complex. This model works out precisely the split between Current and Long Term bank liabilities.  Note that the Current element (ie next 12 months) grows very slightly each month.  
</t>
        </r>
        <r>
          <rPr>
            <sz val="9"/>
            <color rgb="FF000000"/>
            <rFont val="Calibri"/>
            <family val="2"/>
          </rPr>
          <t xml:space="preserve">
</t>
        </r>
        <r>
          <rPr>
            <sz val="9"/>
            <color rgb="FF000000"/>
            <rFont val="Calibri"/>
            <family val="2"/>
          </rPr>
          <t xml:space="preserve">This is because although the monthly payments on a loan may remain constant, the proportion that relates to capital repayment gradually rises, and the proportion that relates to interest payments gradually falls.  This makes perfect sense, of course, since as time goes on there is less capital outstanding, so the amount of interest will gradually fall. But the repayments are kept constant by the bank - hence a greater amount is now allocated by them to repaying the capital.
</t>
        </r>
        <r>
          <rPr>
            <sz val="9"/>
            <color rgb="FF000000"/>
            <rFont val="Calibri"/>
            <family val="2"/>
          </rPr>
          <t xml:space="preserve">
</t>
        </r>
        <r>
          <rPr>
            <sz val="9"/>
            <color rgb="FF000000"/>
            <rFont val="Calibri"/>
            <family val="2"/>
          </rPr>
          <t xml:space="preserve">The formula in this model has to cope with a loan of just a few months to several years, and still allocate the amounts correctly. If you are writing it yourself, it is ok to work it out on a more manual basis and to simplify the calculations, although they will only then be an estimate!
</t>
        </r>
        <r>
          <rPr>
            <sz val="9"/>
            <color rgb="FF000000"/>
            <rFont val="Calibri"/>
            <family val="2"/>
          </rPr>
          <t xml:space="preserve">
</t>
        </r>
        <r>
          <rPr>
            <sz val="9"/>
            <color rgb="FF000000"/>
            <rFont val="Calibri"/>
            <family val="2"/>
          </rPr>
          <t>Take a look at the cells on the P&amp;L sheet beneath the loan input cells. You can see how the proportions change each year of the loan.</t>
        </r>
      </text>
    </comment>
    <comment ref="C133" authorId="0" shapeId="0" xr:uid="{00000000-0006-0000-0300-000008000000}">
      <text>
        <r>
          <rPr>
            <sz val="9"/>
            <color indexed="81"/>
            <rFont val="Calibri"/>
            <family val="2"/>
          </rPr>
          <t xml:space="preserve">Corporation Tax is another complicated item!  In the Cash Flow models the BEFORE tax profit is used as the starting point. 
The simplest way of doing this is to take the Corporation Tax line of the P&amp;L and show each month CUMULATIVELY as a Current Liability. Then in the following January when it is paid, the accumulated liability will go to zero, and the Cash will drop by the same amount.     
      </t>
        </r>
      </text>
    </comment>
    <comment ref="C138" authorId="0" shapeId="0" xr:uid="{00000000-0006-0000-0300-000009000000}">
      <text>
        <r>
          <rPr>
            <sz val="9"/>
            <color rgb="FF000000"/>
            <rFont val="Calibri"/>
            <family val="2"/>
          </rPr>
          <t xml:space="preserve">This is the balancing line and is calculated by taking the profit make CUMULATIVELY, after Corporation Tax and after Dividends.  It should then make the Balance Sheet balance! This is a great test of your Balance Sheet - if it doesn't work neatly some item has been missed.      
</t>
        </r>
        <r>
          <rPr>
            <sz val="9"/>
            <color rgb="FF000000"/>
            <rFont val="Calibri"/>
            <family val="2"/>
          </rPr>
          <t xml:space="preserve">      
</t>
        </r>
        <r>
          <rPr>
            <sz val="9"/>
            <color rgb="FF000000"/>
            <rFont val="Calibri"/>
            <family val="2"/>
          </rPr>
          <t xml:space="preserve">      
</t>
        </r>
        <r>
          <rPr>
            <sz val="9"/>
            <color rgb="FF000000"/>
            <rFont val="Calibri"/>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Simon Hulme</author>
  </authors>
  <commentList>
    <comment ref="C8" authorId="0" shapeId="0" xr:uid="{00000000-0006-0000-0400-000002000000}">
      <text>
        <r>
          <rPr>
            <sz val="9"/>
            <color rgb="FF000000"/>
            <rFont val="Calibri"/>
            <family val="2"/>
          </rPr>
          <t>All these numbers are the sum of their respective 12 month periods from the P&amp;L tab.</t>
        </r>
      </text>
    </comment>
    <comment ref="B13" authorId="0" shapeId="0" xr:uid="{00000000-0006-0000-0400-000003000000}">
      <text>
        <r>
          <rPr>
            <sz val="9"/>
            <color rgb="FF000000"/>
            <rFont val="Calibri"/>
            <family val="2"/>
          </rPr>
          <t xml:space="preserve">To add or remove the Open &amp; Close buttons, go to Data, Group &amp; Ungroup. </t>
        </r>
      </text>
    </comment>
    <comment ref="C14" authorId="0" shapeId="0" xr:uid="{00000000-0006-0000-0400-000004000000}">
      <text>
        <r>
          <rPr>
            <b/>
            <sz val="9"/>
            <color indexed="81"/>
            <rFont val="Calibri"/>
            <family val="2"/>
          </rPr>
          <t>Useful check:</t>
        </r>
        <r>
          <rPr>
            <sz val="9"/>
            <color indexed="81"/>
            <rFont val="Calibri"/>
            <family val="2"/>
          </rPr>
          <t xml:space="preserve">
This row must have the same numbers as in the row above. If not there is likely to be a formula error in the way the number has been added up from the P&amp;L sheet.</t>
        </r>
      </text>
    </comment>
    <comment ref="C27" authorId="0" shapeId="0" xr:uid="{00000000-0006-0000-0400-000005000000}">
      <text>
        <r>
          <rPr>
            <b/>
            <sz val="9"/>
            <color indexed="81"/>
            <rFont val="Calibri"/>
            <family val="2"/>
          </rPr>
          <t>Useful check:</t>
        </r>
        <r>
          <rPr>
            <sz val="9"/>
            <color indexed="81"/>
            <rFont val="Calibri"/>
            <family val="2"/>
          </rPr>
          <t xml:space="preserve">
This row must have the same numbers as in the row above. If not there is likely to be a formula error in the way the number has been added up from the P&amp;L sheet.</t>
        </r>
      </text>
    </comment>
    <comment ref="C39" authorId="0" shapeId="0" xr:uid="{00000000-0006-0000-0400-000006000000}">
      <text>
        <r>
          <rPr>
            <b/>
            <sz val="9"/>
            <color rgb="FF000000"/>
            <rFont val="Calibri"/>
            <family val="2"/>
          </rPr>
          <t>Useful check:</t>
        </r>
        <r>
          <rPr>
            <sz val="9"/>
            <color rgb="FF000000"/>
            <rFont val="Calibri"/>
            <family val="2"/>
          </rPr>
          <t xml:space="preserve">
</t>
        </r>
        <r>
          <rPr>
            <sz val="9"/>
            <color rgb="FF000000"/>
            <rFont val="Calibri"/>
            <family val="2"/>
          </rPr>
          <t>This row must have the same numbers as in the row above. If not there is likely to be a formula error in the way the number has been added up from the P&amp;L sheet.</t>
        </r>
      </text>
    </comment>
    <comment ref="C53" authorId="0" shapeId="0" xr:uid="{00000000-0006-0000-0400-000007000000}">
      <text>
        <r>
          <rPr>
            <sz val="9"/>
            <color rgb="FF000000"/>
            <rFont val="Calibri"/>
            <family val="2"/>
          </rPr>
          <t xml:space="preserve">The Balance Sheet is a 'photograph' of the assets and liabilities of a business on a particular day, e.g. 31 December 2021).
</t>
        </r>
        <r>
          <rPr>
            <sz val="9"/>
            <color rgb="FF000000"/>
            <rFont val="Calibri"/>
            <family val="2"/>
          </rPr>
          <t xml:space="preserve">
</t>
        </r>
        <r>
          <rPr>
            <sz val="9"/>
            <color rgb="FF000000"/>
            <rFont val="Calibri"/>
            <family val="2"/>
          </rPr>
          <t>When expressed as a month and year, it means the last day of that month.</t>
        </r>
      </text>
    </comment>
    <comment ref="C119" authorId="0" shapeId="0" xr:uid="{34D9E38B-A9B2-E849-BBA7-4DFB3FFD4853}">
      <text>
        <r>
          <rPr>
            <sz val="9"/>
            <color rgb="FF000000"/>
            <rFont val="Calibri"/>
            <family val="2"/>
          </rPr>
          <t xml:space="preserve">You will need this number to work of Return on Capital Employed, which is one of the most critical numbers you could ever calculate.
</t>
        </r>
        <r>
          <rPr>
            <sz val="9"/>
            <color rgb="FF000000"/>
            <rFont val="Calibri"/>
            <family val="2"/>
          </rPr>
          <t xml:space="preserve">
</t>
        </r>
        <r>
          <rPr>
            <sz val="9"/>
            <color rgb="FF000000"/>
            <rFont val="Calibri"/>
            <family val="2"/>
          </rPr>
          <t xml:space="preserve">Note if you had a Bank Overdraft (ie a negative bank account) this figure would need to be included in the Bank Debt figure.
</t>
        </r>
      </text>
    </comment>
    <comment ref="C125" authorId="0" shapeId="0" xr:uid="{00000000-0006-0000-0400-000008000000}">
      <text>
        <r>
          <rPr>
            <b/>
            <sz val="9"/>
            <color rgb="FF000000"/>
            <rFont val="Calibri"/>
            <family val="2"/>
          </rPr>
          <t>Grow Your Own Cash</t>
        </r>
        <r>
          <rPr>
            <sz val="9"/>
            <color rgb="FF000000"/>
            <rFont val="Calibri"/>
            <family val="2"/>
          </rPr>
          <t xml:space="preserve">
</t>
        </r>
        <r>
          <rPr>
            <sz val="9"/>
            <color rgb="FF000000"/>
            <rFont val="Calibri"/>
            <family val="2"/>
          </rPr>
          <t xml:space="preserve">
</t>
        </r>
        <r>
          <rPr>
            <sz val="9"/>
            <color rgb="FF000000"/>
            <rFont val="Calibri"/>
            <family val="2"/>
          </rPr>
          <t xml:space="preserve">Just as the best vegetables are those you've grown yourself, so it is that the best source of cash is derived from your own profits. By being fanatical about these numbers, and tracking them against Budget and Last Year, it is possible to really drive the profitability of a business forward.  In most cases this will lead to a healthy cash flow, and if funding is required, it will be considerably easier to obtain.
</t>
        </r>
      </text>
    </comment>
    <comment ref="C143" authorId="0" shapeId="0" xr:uid="{00000000-0006-0000-0400-00000A000000}">
      <text>
        <r>
          <rPr>
            <b/>
            <sz val="9"/>
            <color rgb="FF000000"/>
            <rFont val="Calibri"/>
            <family val="2"/>
          </rPr>
          <t xml:space="preserve">Banks Love These Ratios!
</t>
        </r>
        <r>
          <rPr>
            <sz val="9"/>
            <color rgb="FF000000"/>
            <rFont val="Calibri"/>
            <family val="2"/>
          </rPr>
          <t xml:space="preserve">
</t>
        </r>
        <r>
          <rPr>
            <sz val="9"/>
            <color rgb="FF000000"/>
            <rFont val="Calibri"/>
            <family val="2"/>
          </rPr>
          <t xml:space="preserve">Banks love these ratios as they measure how much of a burden the debt is to a business.  This then gives them a clear indication of the risks they are facing when lending a company money.
</t>
        </r>
      </text>
    </comment>
    <comment ref="C153" authorId="0" shapeId="0" xr:uid="{00000000-0006-0000-0400-00000B000000}">
      <text>
        <r>
          <rPr>
            <b/>
            <sz val="9"/>
            <color rgb="FF000000"/>
            <rFont val="Calibri"/>
            <family val="2"/>
          </rPr>
          <t>Beware of the Crocodiles!</t>
        </r>
        <r>
          <rPr>
            <sz val="9"/>
            <color rgb="FF000000"/>
            <rFont val="Calibri"/>
            <family val="2"/>
          </rPr>
          <t xml:space="preserve">
</t>
        </r>
        <r>
          <rPr>
            <sz val="9"/>
            <color rgb="FF000000"/>
            <rFont val="Calibri"/>
            <family val="2"/>
          </rPr>
          <t xml:space="preserve">
</t>
        </r>
        <r>
          <rPr>
            <sz val="9"/>
            <color rgb="FF000000"/>
            <rFont val="Calibri"/>
            <family val="2"/>
          </rPr>
          <t xml:space="preserve">Over a 10 year period, you can almost guarantee that some nasty thing is going to come along and bite your business. This could be loss of a major customer, your key supplier going bust, a big downturn in consumer spending, or even theft within your company.  The list is a long and a worrying one!  Now here’s the point: if the ratios above are very weak (i.e. less than 1 or close to 1) you may not survive this type of event. On the other hand, if they are very high it is likely that you will be able to sail through the crisis and even come out stronger (for example if a competitor of yours did not survive).  But what you can be certain of, is something is bound to come along to challenge you over a 10 year period, so be ready! This is why these ratios are so vital.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Slapton</t>
        </r>
      </text>
    </comment>
    <comment ref="C163" authorId="0" shapeId="0" xr:uid="{00000000-0006-0000-0400-00000C000000}">
      <text>
        <r>
          <rPr>
            <b/>
            <sz val="9"/>
            <color rgb="FF000000"/>
            <rFont val="Calibri"/>
            <family val="2"/>
          </rPr>
          <t xml:space="preserve">Efficiency is a Key Driver of Long-Term Profitability
</t>
        </r>
        <r>
          <rPr>
            <sz val="9"/>
            <color rgb="FF000000"/>
            <rFont val="Calibri"/>
            <family val="2"/>
          </rPr>
          <t xml:space="preserve">
</t>
        </r>
        <r>
          <rPr>
            <sz val="9"/>
            <color rgb="FF000000"/>
            <rFont val="Calibri"/>
            <family val="2"/>
          </rPr>
          <t>The more efficient you can be in every aspect of your business, the more profit and cash you will generate. Don’t be disillusioned if it takes a while to become efficient in all areas of your business. This can understandably take years. However, knowing where you are inefficient is a first vital step in putting things right. This is why these measures are so useful.</t>
        </r>
        <r>
          <rPr>
            <b/>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text>
    </comment>
    <comment ref="D167" authorId="0" shapeId="0" xr:uid="{00000000-0006-0000-0400-00000D000000}">
      <text>
        <r>
          <rPr>
            <sz val="9"/>
            <color rgb="FF000000"/>
            <rFont val="Calibri"/>
            <family val="2"/>
          </rPr>
          <t>An average of the stock level throughout the year is used, then divided by Cost of Sales per day.</t>
        </r>
      </text>
    </comment>
    <comment ref="D171" authorId="0" shapeId="0" xr:uid="{00000000-0006-0000-0400-00000E000000}">
      <text>
        <r>
          <rPr>
            <sz val="9"/>
            <color rgb="FF000000"/>
            <rFont val="Calibri"/>
            <family val="2"/>
          </rPr>
          <t xml:space="preserve">For simplicity the Year End Debtors figure in the BS above has been used, then divided by Sales per Day. However, if Debtor levels varied considerably thoughout the year, then the average Debtors  would be more applicable to use.
</t>
        </r>
        <r>
          <rPr>
            <sz val="9"/>
            <color rgb="FF000000"/>
            <rFont val="Calibri"/>
            <family val="2"/>
          </rPr>
          <t xml:space="preserve">
</t>
        </r>
        <r>
          <rPr>
            <sz val="9"/>
            <color rgb="FF000000"/>
            <rFont val="Calibri"/>
            <family val="2"/>
          </rPr>
          <t xml:space="preserve">Note also that the VAT has been removed from the Sales figure to make it more accurate.
</t>
        </r>
      </text>
    </comment>
    <comment ref="C185" authorId="0" shapeId="0" xr:uid="{00000000-0006-0000-0400-00000F000000}">
      <text>
        <r>
          <rPr>
            <sz val="9"/>
            <color rgb="FF000000"/>
            <rFont val="Calibri"/>
            <family val="2"/>
          </rPr>
          <t xml:space="preserve">The average number of staff during the year should be used.
</t>
        </r>
        <r>
          <rPr>
            <sz val="9"/>
            <color rgb="FF000000"/>
            <rFont val="Calibri"/>
            <family val="2"/>
          </rPr>
          <t xml:space="preserve">
</t>
        </r>
        <r>
          <rPr>
            <sz val="9"/>
            <color rgb="FF000000"/>
            <rFont val="+mn-lt"/>
            <charset val="1"/>
          </rPr>
          <t xml:space="preserve">Note also that the VAT has been removed from the Sales figure to make it more accurate.
</t>
        </r>
      </text>
    </comment>
    <comment ref="C194" authorId="0" shapeId="0" xr:uid="{00000000-0006-0000-0400-000010000000}">
      <text>
        <r>
          <rPr>
            <sz val="10"/>
            <color rgb="FF000000"/>
            <rFont val="Calibri"/>
            <family val="2"/>
          </rPr>
          <t xml:space="preserve">In order to work out Earnings Per Share and the P/E Ratio you have to know the number of shares in issue, as well as the share price. Just make these numbers up if this is just an exercise.
</t>
        </r>
        <r>
          <rPr>
            <sz val="10"/>
            <color rgb="FF000000"/>
            <rFont val="Calibri"/>
            <family val="2"/>
          </rPr>
          <t xml:space="preserve">
</t>
        </r>
        <r>
          <rPr>
            <sz val="10"/>
            <color rgb="FF000000"/>
            <rFont val="Calibri"/>
            <family val="2"/>
          </rPr>
          <t xml:space="preserve">Clearly for a private buisness the share price is going to be somewhat of an arbitary guess!
</t>
        </r>
        <r>
          <rPr>
            <sz val="10"/>
            <color rgb="FF000000"/>
            <rFont val="Calibri"/>
            <family val="2"/>
          </rPr>
          <t xml:space="preserve">
</t>
        </r>
        <r>
          <rPr>
            <sz val="10"/>
            <color rgb="FF000000"/>
            <rFont val="Calibri"/>
            <family val="2"/>
          </rPr>
          <t>There is also a field to enter the average number of employees in the year.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Simon Hulme</author>
  </authors>
  <commentList>
    <comment ref="B7" authorId="0" shapeId="0" xr:uid="{70C965ED-DDD3-43D3-B69C-922BC9DEBB9A}">
      <text>
        <r>
          <rPr>
            <sz val="9"/>
            <color rgb="FF000000"/>
            <rFont val="Calibri"/>
            <family val="2"/>
          </rPr>
          <t>These are assumptions that are fixed for each year.</t>
        </r>
      </text>
    </comment>
    <comment ref="R30" authorId="0" shapeId="0" xr:uid="{1D889F30-E933-4139-813E-B4B3D36EE0A5}">
      <text>
        <r>
          <rPr>
            <sz val="9"/>
            <color rgb="FF000000"/>
            <rFont val="Calibri"/>
            <family val="2"/>
          </rPr>
          <t xml:space="preserve">Enter the Staring Year here and the others will change automatically, including on the other Sheets.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10"/>
            <color rgb="FF000000"/>
            <rFont val="Calibri"/>
            <family val="2"/>
          </rPr>
          <t xml:space="preserve">v.2023.2
</t>
        </r>
        <r>
          <rPr>
            <sz val="10"/>
            <color rgb="FF000000"/>
            <rFont val="Calibri"/>
            <family val="2"/>
          </rPr>
          <t xml:space="preserve">
</t>
        </r>
        <r>
          <rPr>
            <sz val="10"/>
            <color rgb="FF000000"/>
            <rFont val="Calibri"/>
            <family val="2"/>
          </rPr>
          <t xml:space="preserve">
</t>
        </r>
      </text>
    </comment>
    <comment ref="P32" authorId="0" shapeId="0" xr:uid="{99410812-A95F-49A4-9695-E9A567B54F3D}">
      <text>
        <r>
          <rPr>
            <sz val="9"/>
            <color rgb="FF000000"/>
            <rFont val="Calibri"/>
            <family val="2"/>
          </rPr>
          <t>Change these headings to what you want, and they will also change below automatically.</t>
        </r>
      </text>
    </comment>
    <comment ref="P39" authorId="0" shapeId="0" xr:uid="{2E587495-FDFF-4A3A-879D-9BFFF656F4E5}">
      <text>
        <r>
          <rPr>
            <sz val="9"/>
            <color rgb="FF000000"/>
            <rFont val="Calibri"/>
            <family val="2"/>
          </rPr>
          <t xml:space="preserve">You can add some of new ones of your own.
</t>
        </r>
        <r>
          <rPr>
            <sz val="9"/>
            <color rgb="FF000000"/>
            <rFont val="Calibri"/>
            <family val="2"/>
          </rPr>
          <t xml:space="preserve">
</t>
        </r>
        <r>
          <rPr>
            <sz val="9"/>
            <color rgb="FF000000"/>
            <rFont val="Calibri"/>
            <family val="2"/>
          </rPr>
          <t>Overtype the titles (Other 1, 2 etc) and they will appear below in the P&amp;L with your new titles.  This also applies to any of the lines immediately above.</t>
        </r>
      </text>
    </comment>
    <comment ref="B89" authorId="0" shapeId="0" xr:uid="{C9814E72-5733-4854-B3E9-289FE949F437}">
      <text>
        <r>
          <rPr>
            <sz val="9"/>
            <color rgb="FF000000"/>
            <rFont val="Calibri"/>
            <family val="2"/>
          </rPr>
          <t>Whilst the annual repayments on a fixed interest loan will remain constant, the proportions which are interest and capital repayments will vary.  The proportion that is interest will be greater in the earlier years.</t>
        </r>
      </text>
    </comment>
    <comment ref="B94" authorId="0" shapeId="0" xr:uid="{FDA89B1D-4C6F-4519-A0D9-7CE0339B62AF}">
      <text>
        <r>
          <rPr>
            <sz val="9"/>
            <color rgb="FF000000"/>
            <rFont val="Calibri"/>
            <family val="2"/>
          </rPr>
          <t>These numbers will be used to calculate the monthly Depreciation charge.</t>
        </r>
      </text>
    </comment>
    <comment ref="L94" authorId="0" shapeId="0" xr:uid="{3B86BC03-EC38-4404-B724-5A15B8F8EA18}">
      <text>
        <r>
          <rPr>
            <sz val="9"/>
            <color rgb="FF000000"/>
            <rFont val="Calibri"/>
            <family val="2"/>
          </rPr>
          <t xml:space="preserve">Generally there is no Depreciation applied to Freehold Buildings in the UK.  Depreciation would, however, normally be applied to building improvements or fixtures and fittings.
</t>
        </r>
        <r>
          <rPr>
            <sz val="9"/>
            <color rgb="FF000000"/>
            <rFont val="Calibri"/>
            <family val="2"/>
          </rPr>
          <t xml:space="preserve">
</t>
        </r>
        <r>
          <rPr>
            <sz val="9"/>
            <color rgb="FF000000"/>
            <rFont val="Calibri"/>
            <family val="2"/>
          </rPr>
          <t xml:space="preserve">In this input section, put in the original building costs and their current value. The difference is known as the Revaluation Reserve and sits in the Balance Sheet as a balancing item. 
</t>
        </r>
        <r>
          <rPr>
            <sz val="9"/>
            <color rgb="FF000000"/>
            <rFont val="Calibri"/>
            <family val="2"/>
          </rPr>
          <t xml:space="preserve">
</t>
        </r>
        <r>
          <rPr>
            <sz val="9"/>
            <color rgb="FF000000"/>
            <rFont val="Calibri"/>
            <family val="2"/>
          </rPr>
          <t xml:space="preserve">This Revaluation Reserve is not a profit unless it is sold. If the building was sold at above the cost, then this Revaluation Reserve would become a profit and would be added to the P&amp;L.  The Revaluation Reserve would then be removed from the Balance Sheet.  </t>
        </r>
      </text>
    </comment>
    <comment ref="B104" authorId="0" shapeId="0" xr:uid="{137ABE80-D280-4C6B-8454-AA24AE400DA9}">
      <text>
        <r>
          <rPr>
            <sz val="9"/>
            <color rgb="FF000000"/>
            <rFont val="Calibri"/>
            <family val="2"/>
          </rPr>
          <t xml:space="preserve">Funding from personal investment can either be in Share Capital or as a Loan. 
</t>
        </r>
        <r>
          <rPr>
            <sz val="9"/>
            <color rgb="FF000000"/>
            <rFont val="Calibri"/>
            <family val="2"/>
          </rPr>
          <t xml:space="preserve">
</t>
        </r>
        <r>
          <rPr>
            <sz val="9"/>
            <color rgb="FF000000"/>
            <rFont val="Calibri"/>
            <family val="2"/>
          </rPr>
          <t xml:space="preserve">The advantage of putting money in as Share Capital is it makes the Balance Sheet look stronger. However, the capital will only be returned to the investor on the sale of the business, or from dividend payments.
</t>
        </r>
        <r>
          <rPr>
            <sz val="9"/>
            <color rgb="FF000000"/>
            <rFont val="Calibri"/>
            <family val="2"/>
          </rPr>
          <t xml:space="preserve">
</t>
        </r>
        <r>
          <rPr>
            <sz val="9"/>
            <color rgb="FF000000"/>
            <rFont val="Calibri"/>
            <family val="2"/>
          </rPr>
          <t xml:space="preserve">The advantage of putting capital in as a Directors' Loan is that it can be repaid in the future without any tax liability.
</t>
        </r>
        <r>
          <rPr>
            <sz val="9"/>
            <color rgb="FF000000"/>
            <rFont val="Calibri"/>
            <family val="2"/>
          </rPr>
          <t xml:space="preserve">
</t>
        </r>
        <r>
          <rPr>
            <sz val="9"/>
            <color rgb="FF000000"/>
            <rFont val="Calibri"/>
            <family val="2"/>
          </rPr>
          <t>The same principles apply if the funds come from an outside investor. However, with an outside investor it is likely any loan will have some sort of interest charge and a long term repayment schedule.</t>
        </r>
      </text>
    </comment>
    <comment ref="L106" authorId="0" shapeId="0" xr:uid="{7DB26BF3-2FBB-463E-AB1D-3D641E164DE2}">
      <text>
        <r>
          <rPr>
            <sz val="9"/>
            <color indexed="81"/>
            <rFont val="Calibri"/>
            <family val="2"/>
          </rPr>
          <t>Check HMRC website for exact rate.</t>
        </r>
      </text>
    </comment>
    <comment ref="B109" authorId="0" shapeId="0" xr:uid="{4DE74B14-BD2B-4892-BD33-9FF91BBA57E7}">
      <text>
        <r>
          <rPr>
            <sz val="9"/>
            <color rgb="FF000000"/>
            <rFont val="+mn-lt"/>
            <charset val="1"/>
          </rPr>
          <t>With the exception of the yellow lines, this is entirely worked out by formulas driven from the input assumptions above.</t>
        </r>
        <r>
          <rPr>
            <sz val="9"/>
            <color rgb="FF000000"/>
            <rFont val="+mn-lt"/>
            <charset val="1"/>
          </rPr>
          <t xml:space="preserve">
</t>
        </r>
      </text>
    </comment>
    <comment ref="B115" authorId="0" shapeId="0" xr:uid="{9A0B02D3-28EC-4B4D-A9D8-B6E680C32182}">
      <text>
        <r>
          <rPr>
            <sz val="9"/>
            <color rgb="FF000000"/>
            <rFont val="Calibri"/>
            <family val="2"/>
          </rPr>
          <t xml:space="preserve">Sales in the P&amp;L always </t>
        </r>
        <r>
          <rPr>
            <b/>
            <sz val="9"/>
            <color rgb="FF000000"/>
            <rFont val="Calibri"/>
            <family val="2"/>
          </rPr>
          <t>exclude</t>
        </r>
        <r>
          <rPr>
            <sz val="9"/>
            <color rgb="FF000000"/>
            <rFont val="Calibri"/>
            <family val="2"/>
          </rPr>
          <t xml:space="preserve"> VAT.
</t>
        </r>
        <r>
          <rPr>
            <sz val="9"/>
            <color rgb="FF000000"/>
            <rFont val="Calibri"/>
            <family val="2"/>
          </rPr>
          <t xml:space="preserve">
</t>
        </r>
      </text>
    </comment>
    <comment ref="B119" authorId="0" shapeId="0" xr:uid="{E1E500B9-5164-4449-940C-5B9B285E8A99}">
      <text>
        <r>
          <rPr>
            <sz val="9"/>
            <color rgb="FF000000"/>
            <rFont val="Calibri"/>
            <family val="2"/>
          </rPr>
          <t xml:space="preserve">All Overhead figures are calculated from formulas above. 
</t>
        </r>
        <r>
          <rPr>
            <sz val="9"/>
            <color rgb="FF000000"/>
            <rFont val="Calibri"/>
            <family val="2"/>
          </rPr>
          <t xml:space="preserve">
</t>
        </r>
        <r>
          <rPr>
            <sz val="9"/>
            <color rgb="FF000000"/>
            <rFont val="Calibri"/>
            <family val="2"/>
          </rPr>
          <t xml:space="preserve">But you could, if you prefer,  input directly into the rows. 
</t>
        </r>
        <r>
          <rPr>
            <sz val="9"/>
            <color rgb="FF000000"/>
            <rFont val="Calibri"/>
            <family val="2"/>
          </rPr>
          <t xml:space="preserve">
</t>
        </r>
        <r>
          <rPr>
            <sz val="9"/>
            <color rgb="FF000000"/>
            <rFont val="Calibri"/>
            <family val="2"/>
          </rPr>
          <t xml:space="preserve">Don't forget to colour the cells in yellow!
</t>
        </r>
        <r>
          <rPr>
            <sz val="9"/>
            <color rgb="FF000000"/>
            <rFont val="Calibri"/>
            <family val="2"/>
          </rPr>
          <t xml:space="preserve">
</t>
        </r>
      </text>
    </comment>
    <comment ref="B128" authorId="0" shapeId="0" xr:uid="{99508D7E-0F3A-4F9F-8115-3A6AD6E1001A}">
      <text>
        <r>
          <rPr>
            <sz val="9"/>
            <color rgb="FF000000"/>
            <rFont val="Calibri"/>
            <family val="2"/>
          </rPr>
          <t>This row, and the one below, is here as example to show that you can input directly into the P&amp;L sheet month by month if you prefer, rather than using the formula system above. It's your choice.</t>
        </r>
      </text>
    </comment>
    <comment ref="B131" authorId="0" shapeId="0" xr:uid="{EA007111-BD79-4F61-BA1C-B3AE58E0FAB7}">
      <text>
        <r>
          <rPr>
            <b/>
            <sz val="9"/>
            <color rgb="FF000000"/>
            <rFont val="Calibri"/>
            <family val="2"/>
          </rPr>
          <t xml:space="preserve">Earnings Before Interest Tax Depreciation &amp; Amortisation (EBITDA).
</t>
        </r>
        <r>
          <rPr>
            <sz val="9"/>
            <color rgb="FF000000"/>
            <rFont val="Calibri"/>
            <family val="2"/>
          </rPr>
          <t xml:space="preserve">
</t>
        </r>
        <r>
          <rPr>
            <sz val="9"/>
            <color rgb="FF000000"/>
            <rFont val="Calibri"/>
            <family val="2"/>
          </rPr>
          <t xml:space="preserve">EBITDA is now widely used in the real world as a second definition of profit, especially by Venture Capital  community. 
</t>
        </r>
        <r>
          <rPr>
            <sz val="9"/>
            <color rgb="FF000000"/>
            <rFont val="Calibri"/>
            <family val="2"/>
          </rPr>
          <t xml:space="preserve">
</t>
        </r>
        <r>
          <rPr>
            <sz val="9"/>
            <color rgb="FF000000"/>
            <rFont val="Calibri"/>
            <family val="2"/>
          </rPr>
          <t>As a profit definition it certainly has limitations, however, especially if the business is capital intensive.</t>
        </r>
      </text>
    </comment>
    <comment ref="B134" authorId="0" shapeId="0" xr:uid="{B1BF15C4-FED7-4A84-B05A-CE1AC17237EB}">
      <text>
        <r>
          <rPr>
            <b/>
            <sz val="9"/>
            <color rgb="FF000000"/>
            <rFont val="Calibri"/>
            <family val="2"/>
          </rPr>
          <t>Earnings Before Interest &amp; Tax Depreciation (EBIT) or Operating Profit.</t>
        </r>
        <r>
          <rPr>
            <sz val="9"/>
            <color rgb="FF000000"/>
            <rFont val="Calibri"/>
            <family val="2"/>
          </rPr>
          <t xml:space="preserve">
</t>
        </r>
        <r>
          <rPr>
            <sz val="9"/>
            <color rgb="FF000000"/>
            <rFont val="Calibri"/>
            <family val="2"/>
          </rPr>
          <t xml:space="preserve">
</t>
        </r>
        <r>
          <rPr>
            <sz val="9"/>
            <color rgb="FF000000"/>
            <rFont val="Calibri"/>
            <family val="2"/>
          </rPr>
          <t xml:space="preserve">This is an excellent profit measure as it shows the profitability of the business without the distortion of Interest.  In some cases a business may have high Interest costs as a result of historic problems, which then distort how profitable the underlying business really is.
</t>
        </r>
        <r>
          <rPr>
            <sz val="9"/>
            <color rgb="FF000000"/>
            <rFont val="Calibri"/>
            <family val="2"/>
          </rPr>
          <t xml:space="preserve">
</t>
        </r>
        <r>
          <rPr>
            <sz val="9"/>
            <color rgb="FF000000"/>
            <rFont val="Calibri"/>
            <family val="2"/>
          </rPr>
          <t>So this is generally regarded as a good measure.</t>
        </r>
      </text>
    </comment>
    <comment ref="B136" authorId="0" shapeId="0" xr:uid="{14E0AB35-3A39-4F4A-B649-AE41C83F06FD}">
      <text>
        <r>
          <rPr>
            <sz val="9"/>
            <color rgb="FF000000"/>
            <rFont val="Calibri"/>
            <family val="2"/>
          </rPr>
          <t>Loan interest is a P&amp;L item, whilst loan capital  repayments are only a Cash Flow item.</t>
        </r>
      </text>
    </comment>
    <comment ref="B139" authorId="0" shapeId="0" xr:uid="{E4844E8B-A191-4BA6-AB1C-5160F934509C}">
      <text>
        <r>
          <rPr>
            <sz val="9"/>
            <color rgb="FF000000"/>
            <rFont val="Calibri"/>
            <family val="2"/>
          </rPr>
          <t xml:space="preserve">Check exact rate of tax on HMRC website. Varies from year to year and is dependent on size of business.
</t>
        </r>
        <r>
          <rPr>
            <sz val="9"/>
            <color rgb="FF000000"/>
            <rFont val="Calibri"/>
            <family val="2"/>
          </rPr>
          <t xml:space="preserve">
</t>
        </r>
        <r>
          <rPr>
            <sz val="9"/>
            <color rgb="FF000000"/>
            <rFont val="Calibri"/>
            <family val="2"/>
          </rPr>
          <t>To calculate Corporation Tax see notes and workings below.</t>
        </r>
      </text>
    </comment>
    <comment ref="B156" authorId="0" shapeId="0" xr:uid="{5548E5F6-BA20-4A23-9045-0C341F05CDE6}">
      <text>
        <r>
          <rPr>
            <sz val="9"/>
            <color rgb="FF000000"/>
            <rFont val="Calibri"/>
            <family val="2"/>
          </rPr>
          <t xml:space="preserve">Fixed Assets, unless they are freehold property, will be subject to Depreciation*.  As the P&amp;L is charged the monthly depreciation of the asset, so the value of the asset is written down. This is a fantastic example of how the P&amp;L and BS are so perfectly linked.
</t>
        </r>
        <r>
          <rPr>
            <sz val="9"/>
            <color rgb="FF000000"/>
            <rFont val="Calibri"/>
            <family val="2"/>
          </rPr>
          <t xml:space="preserve">
</t>
        </r>
        <r>
          <rPr>
            <sz val="9"/>
            <color rgb="FF000000"/>
            <rFont val="Calibri"/>
            <family val="2"/>
          </rPr>
          <t xml:space="preserve">There are two methods of depreciation - Straight Line and Reducing Balance.  The examples below use Straight Line depreciation.
</t>
        </r>
        <r>
          <rPr>
            <sz val="9"/>
            <color rgb="FF000000"/>
            <rFont val="Calibri"/>
            <family val="2"/>
          </rPr>
          <t xml:space="preserve">
</t>
        </r>
        <r>
          <rPr>
            <sz val="9"/>
            <color rgb="FF000000"/>
            <rFont val="Calibri"/>
            <family val="2"/>
          </rPr>
          <t>* note that strictly speaking a freehold building should be depreciated at the rate of 2.5% a year whilst the land element is not depreciated. For the purposes of a simple financial model it is OK to ignore depreciation on freehold property.</t>
        </r>
      </text>
    </comment>
    <comment ref="B234" authorId="0" shapeId="0" xr:uid="{D62B4063-90D2-45AC-B0FA-E59942ACE601}">
      <text>
        <r>
          <rPr>
            <sz val="9"/>
            <color rgb="FF000000"/>
            <rFont val="Calibri"/>
            <family val="2"/>
          </rPr>
          <t xml:space="preserve">The proper calculation of Corporation Tax will require the assistance of a professional accountant.
</t>
        </r>
        <r>
          <rPr>
            <sz val="9"/>
            <color rgb="FF000000"/>
            <rFont val="Calibri"/>
            <family val="2"/>
          </rPr>
          <t xml:space="preserve">
</t>
        </r>
        <r>
          <rPr>
            <sz val="9"/>
            <color rgb="FF000000"/>
            <rFont val="Calibri"/>
            <family val="2"/>
          </rPr>
          <t xml:space="preserve">In simplistic terms, the Taxable Profit is calculated by adding back Depreciation (which is not an allowable expense).  However, some allowance needs to be made for capital costs, so there's a Capital Allowance. The rules have changed over the years, but in certain cases you're allowed to deduct 100% of certain defined types of expenditure - typically plant &amp; machinery and fixtures &amp; fittings. 
</t>
        </r>
        <r>
          <rPr>
            <sz val="9"/>
            <color rgb="FF000000"/>
            <rFont val="Calibri"/>
            <family val="2"/>
          </rPr>
          <t xml:space="preserve">
</t>
        </r>
        <r>
          <rPr>
            <sz val="9"/>
            <color rgb="FF000000"/>
            <rFont val="Calibri"/>
            <family val="2"/>
          </rPr>
          <t xml:space="preserve">This is actually much more favourable than allowing Depreciation, since potentially the entire cost of this expenditure can be offset against the current Corporation Tax liability.
</t>
        </r>
        <r>
          <rPr>
            <sz val="9"/>
            <color rgb="FF000000"/>
            <rFont val="Calibri"/>
            <family val="2"/>
          </rPr>
          <t xml:space="preserve">
</t>
        </r>
        <r>
          <rPr>
            <sz val="9"/>
            <color rgb="FF000000"/>
            <rFont val="Calibri"/>
            <family val="2"/>
          </rPr>
          <t>Please refer to the HMRC website, or an accountant, for more detailed information.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Simon Hulme</author>
  </authors>
  <commentList>
    <comment ref="B66" authorId="0" shapeId="0" xr:uid="{1F035798-DAAC-E947-A04D-F426A6FFD3D8}">
      <text>
        <r>
          <rPr>
            <sz val="9"/>
            <color rgb="FF000000"/>
            <rFont val="Calibri"/>
            <family val="2"/>
          </rPr>
          <t xml:space="preserve">This row of numbers should always be zero! If it is not, the BS is not in balance and there is an error. 
</t>
        </r>
        <r>
          <rPr>
            <sz val="9"/>
            <color rgb="FF000000"/>
            <rFont val="Calibri"/>
            <family val="2"/>
          </rPr>
          <t xml:space="preserve">
</t>
        </r>
        <r>
          <rPr>
            <sz val="9"/>
            <color rgb="FF000000"/>
            <rFont val="Calibri"/>
            <family val="2"/>
          </rPr>
          <t xml:space="preserve">To find the error, look at when the BS goes out of balance… the problem probably starts in this particular month. Work through every line one by one.
</t>
        </r>
        <r>
          <rPr>
            <sz val="9"/>
            <color rgb="FF000000"/>
            <rFont val="Calibri"/>
            <family val="2"/>
          </rPr>
          <t xml:space="preserve">
</t>
        </r>
        <r>
          <rPr>
            <sz val="9"/>
            <color rgb="FF000000"/>
            <rFont val="Calibri"/>
            <family val="2"/>
          </rPr>
          <t xml:space="preserve">Also what is the difference in £'s? That's also a clue as to where your error may be hiding!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scheme val="minor"/>
          </rPr>
          <t>Thurlestone</t>
        </r>
        <r>
          <rPr>
            <sz val="9"/>
            <color rgb="FF000000"/>
            <rFont val="Calibri"/>
            <family val="2"/>
            <scheme val="minor"/>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<sst xmlns="http://schemas.openxmlformats.org/spreadsheetml/2006/main" count="1590" uniqueCount="559">
  <si>
    <t>Total Annual Payment</t>
  </si>
  <si>
    <t>Annual Interest Payment</t>
  </si>
  <si>
    <t>Annual Loan Repayment</t>
  </si>
  <si>
    <t>VAT Rate</t>
  </si>
  <si>
    <t>Corporation Tax</t>
  </si>
  <si>
    <t>Copyright</t>
  </si>
  <si>
    <t>Finance Costs:</t>
  </si>
  <si>
    <t>CHECK LINE:</t>
  </si>
  <si>
    <t>Performance Graphs</t>
  </si>
  <si>
    <t>These assumptions are fixed for each trading year.</t>
  </si>
  <si>
    <t>Cost of Sales</t>
  </si>
  <si>
    <t>Gross Profit</t>
  </si>
  <si>
    <t>Gross Margin</t>
  </si>
  <si>
    <t>FIXED ASSETS</t>
  </si>
  <si>
    <t>CURRENT ASSETS</t>
  </si>
  <si>
    <t>Stocks (Inventory)</t>
  </si>
  <si>
    <t>Debtors (Receivables)</t>
  </si>
  <si>
    <t>Cash</t>
  </si>
  <si>
    <t>CURRENT LIABILITIES (&lt; 1 YR)</t>
  </si>
  <si>
    <t>Total</t>
  </si>
  <si>
    <t>Bank Loans (&gt; 1 YR)</t>
  </si>
  <si>
    <t>Bank Loans (&lt; 1 YR)</t>
  </si>
  <si>
    <t>Dividends Paid</t>
  </si>
  <si>
    <t>DIFFERENCE CHECK LINE</t>
  </si>
  <si>
    <t>Operating Profit (EBIT)</t>
  </si>
  <si>
    <t>Corporation Tax Rate</t>
  </si>
  <si>
    <t>Opening Bank Balance</t>
  </si>
  <si>
    <t xml:space="preserve">Revaluation </t>
  </si>
  <si>
    <t>Current Value</t>
  </si>
  <si>
    <t>Interest on Loan</t>
  </si>
  <si>
    <t>Loan Interest</t>
  </si>
  <si>
    <t>Depreciation</t>
  </si>
  <si>
    <t xml:space="preserve">Bank Loan </t>
  </si>
  <si>
    <t>Month:</t>
  </si>
  <si>
    <t>Money In:</t>
  </si>
  <si>
    <t>Money Out:</t>
  </si>
  <si>
    <t>Net Cash Flow</t>
  </si>
  <si>
    <t>Closing Bank Account</t>
  </si>
  <si>
    <t>Debtor (Receiveables) Workings:</t>
  </si>
  <si>
    <t>Prepayments:</t>
  </si>
  <si>
    <t>Accruals Workings:</t>
  </si>
  <si>
    <t>Bank Loan Workings:</t>
  </si>
  <si>
    <t>Stock (Inventory) Workings:</t>
  </si>
  <si>
    <t>Creditors (Receivables) Workings:</t>
  </si>
  <si>
    <t>VAT Workings:</t>
  </si>
  <si>
    <t>Creditors (Payables)</t>
  </si>
  <si>
    <t>NET CURRENT ASSETS</t>
  </si>
  <si>
    <t>LONG TERM LIABILITIES (&gt; 1 YR)</t>
  </si>
  <si>
    <t>NET ASSETS</t>
  </si>
  <si>
    <t>SHAREHOLDERS' EQUITY</t>
  </si>
  <si>
    <t>VAT Payments</t>
  </si>
  <si>
    <t>Corporation Tax Workings:</t>
  </si>
  <si>
    <t>Opening Bank Loan</t>
  </si>
  <si>
    <t>Outstanding Balance</t>
  </si>
  <si>
    <t>Monthly Capital Repayments</t>
  </si>
  <si>
    <t>Amount Repayable &gt; 1 YR</t>
  </si>
  <si>
    <t>Amount Repayable in &lt; 1 YR</t>
  </si>
  <si>
    <t>Monthly Depreciation</t>
  </si>
  <si>
    <t xml:space="preserve"> </t>
    <phoneticPr fontId="22" type="noConversion"/>
  </si>
  <si>
    <t>Loan Period (Months)</t>
  </si>
  <si>
    <t>&lt;--- Expand here to see loan payment breakdown</t>
  </si>
  <si>
    <t>Workings</t>
  </si>
  <si>
    <t>Adjusted Taxable Profit/(Loss)</t>
  </si>
  <si>
    <t>Directors' Loans</t>
  </si>
  <si>
    <t>Investment in Share Capital</t>
  </si>
  <si>
    <t>Directors' Loan Loans</t>
  </si>
  <si>
    <t>EBITDA</t>
  </si>
  <si>
    <t>Profitability Ratios</t>
  </si>
  <si>
    <t>Return on Capital Employed</t>
  </si>
  <si>
    <t>Debt to Equity</t>
  </si>
  <si>
    <t>Gearing Ratios</t>
  </si>
  <si>
    <t>Interest Cover</t>
  </si>
  <si>
    <t>Liquidity Ratios</t>
  </si>
  <si>
    <t>Current Ratio</t>
  </si>
  <si>
    <t>Quick Ratio (Acid Test)</t>
  </si>
  <si>
    <t>Efficiency Ratios</t>
  </si>
  <si>
    <t>No. Days Stock (Inventory)</t>
  </si>
  <si>
    <t>Stock Turn Per Annum</t>
  </si>
  <si>
    <t xml:space="preserve">Debtor (Receivables) Days </t>
  </si>
  <si>
    <t>Other Ratios</t>
  </si>
  <si>
    <t>Sales Per Employee</t>
  </si>
  <si>
    <t>&lt;--- Close for short version</t>
  </si>
  <si>
    <t>&lt;--- Open for checking data</t>
  </si>
  <si>
    <t>Summaries</t>
  </si>
  <si>
    <t>Year:</t>
  </si>
  <si>
    <t>1.  Assumptions</t>
  </si>
  <si>
    <t>2.  Profit &amp; Loss</t>
  </si>
  <si>
    <t>4.  Forecast Balance Sheet</t>
  </si>
  <si>
    <t>Sales (excl VAT)</t>
  </si>
  <si>
    <t>Break-Even Point (Sales Excl VAT)</t>
  </si>
  <si>
    <t xml:space="preserve">Creditor (Payables) Days </t>
  </si>
  <si>
    <t>Total Asset Turnover</t>
  </si>
  <si>
    <t>Earnings Per Share</t>
  </si>
  <si>
    <t>P/E Ratio</t>
  </si>
  <si>
    <t>No Shares Issued</t>
  </si>
  <si>
    <t>Comments</t>
  </si>
  <si>
    <t>Return on Equity</t>
  </si>
  <si>
    <t>Retained Earnings</t>
  </si>
  <si>
    <t xml:space="preserve">Revaluation Reserve </t>
  </si>
  <si>
    <t xml:space="preserve">Called up Share Capital </t>
  </si>
  <si>
    <t xml:space="preserve">CAPITAL &amp; RESERVES </t>
  </si>
  <si>
    <t>Retained Earnings Workings:</t>
  </si>
  <si>
    <t>Investment Capital:</t>
  </si>
  <si>
    <t>Plant &amp; Equipment:</t>
  </si>
  <si>
    <t>Property:</t>
  </si>
  <si>
    <t>Profit Before Tax</t>
  </si>
  <si>
    <t>Profit After Tax</t>
  </si>
  <si>
    <t>Monthly Profit After Tax</t>
  </si>
  <si>
    <t>Version 22 June 2019</t>
  </si>
  <si>
    <t>Ratios</t>
  </si>
  <si>
    <t>Totals</t>
  </si>
  <si>
    <t>Cash Flow From Operating Activities</t>
  </si>
  <si>
    <t>Opening Balance</t>
  </si>
  <si>
    <t>Accrued Sales Turnover (from P&amp;L)</t>
  </si>
  <si>
    <t>Payments to Suppliers</t>
  </si>
  <si>
    <t>Cost of Sales (from P&amp;L)</t>
  </si>
  <si>
    <t>Payments for Other Expenses</t>
  </si>
  <si>
    <t>Rent (prepayment)</t>
  </si>
  <si>
    <t>Heat &amp; Light (accrual)</t>
  </si>
  <si>
    <t>Receipts from Customers</t>
  </si>
  <si>
    <t>Output VAT (on Sales)</t>
  </si>
  <si>
    <t>Unused Losses c/f</t>
    <phoneticPr fontId="22" type="noConversion"/>
  </si>
  <si>
    <t>Taxable Profit after Losses c/f</t>
    <phoneticPr fontId="22" type="noConversion"/>
  </si>
  <si>
    <t>Corporation Tax Paid</t>
  </si>
  <si>
    <t>Net Cash Flow From Operating Activities</t>
  </si>
  <si>
    <t>Cash Flow From Investing Activities</t>
  </si>
  <si>
    <t>VAT on Capital Expenditure</t>
  </si>
  <si>
    <t>Total Payments for Capex</t>
  </si>
  <si>
    <t>Capital Expenditure</t>
  </si>
  <si>
    <t>Net Cash Flow From Investing Activities</t>
  </si>
  <si>
    <t>Cash Flow From Financing Activities</t>
  </si>
  <si>
    <t>Net</t>
  </si>
  <si>
    <t>Term Loan</t>
  </si>
  <si>
    <t>Drawdown</t>
  </si>
  <si>
    <t>Monthly Repayments</t>
  </si>
  <si>
    <t>Director's Loan</t>
  </si>
  <si>
    <t>Receipt</t>
  </si>
  <si>
    <t>Repayment</t>
  </si>
  <si>
    <t>Dividend Payments</t>
  </si>
  <si>
    <t>Net Cash Flow From Financing Activities</t>
  </si>
  <si>
    <t>Closing Balance</t>
  </si>
  <si>
    <t>Cash Flow from Operating Activities</t>
  </si>
  <si>
    <t>Add back Depreciation and Amortisation</t>
  </si>
  <si>
    <t>Current Assets</t>
  </si>
  <si>
    <t>Stock</t>
  </si>
  <si>
    <t>Trade Debtors (Accounts Receivable)</t>
  </si>
  <si>
    <t>Prepayments</t>
  </si>
  <si>
    <t>Current Liabilities</t>
  </si>
  <si>
    <t>Trade Creditors (Accounts Payable)</t>
  </si>
  <si>
    <t>Accruals</t>
  </si>
  <si>
    <t/>
  </si>
  <si>
    <t>Total Cash Flow from Operating Activities</t>
  </si>
  <si>
    <t>Cash Flow from Investing Activities</t>
  </si>
  <si>
    <t>Total Cash Flow from Investing Activities</t>
  </si>
  <si>
    <t>Cash Flow from Financing Activities</t>
  </si>
  <si>
    <t>Dividends paid</t>
  </si>
  <si>
    <t>Debt funding (net of repayments)</t>
  </si>
  <si>
    <t>Bank Loans</t>
  </si>
  <si>
    <t>Total Cash Flow from Financing Activities</t>
  </si>
  <si>
    <t>Net profit/(loss), from P&amp;L</t>
  </si>
  <si>
    <t>Input VAT (on Operating Purchases)</t>
  </si>
  <si>
    <t>Input VAT (on CapEx Purchases)</t>
  </si>
  <si>
    <t>Potential Tax Liability Incurred in Month</t>
  </si>
  <si>
    <t>Capital expenditure</t>
  </si>
  <si>
    <t>Adjustments for movement in:</t>
  </si>
  <si>
    <t>Receipts from issue of shares</t>
  </si>
  <si>
    <t>Movement (from Cash Flow)</t>
  </si>
  <si>
    <t>Movement re operations</t>
  </si>
  <si>
    <t>Movement re investments</t>
  </si>
  <si>
    <t>Tax &amp; NI</t>
  </si>
  <si>
    <t>Director's Loans:</t>
  </si>
  <si>
    <t>Share Capital</t>
  </si>
  <si>
    <t>Shares issued</t>
  </si>
  <si>
    <t>Operations</t>
  </si>
  <si>
    <t>Investments</t>
  </si>
  <si>
    <t>Financing</t>
  </si>
  <si>
    <t>Tax Payable from previous Financial Year</t>
  </si>
  <si>
    <t>VAT</t>
  </si>
  <si>
    <t>Total Net Receipts</t>
  </si>
  <si>
    <t>Total Gross Receipts</t>
  </si>
  <si>
    <t>Total Purchases of Stock (inc VAT)</t>
  </si>
  <si>
    <t>Total Payments for Purchases of Stock</t>
  </si>
  <si>
    <r>
      <rPr>
        <i/>
        <sz val="12"/>
        <color theme="1"/>
        <rFont val="Calibri"/>
        <family val="2"/>
        <scheme val="minor"/>
      </rPr>
      <t>less</t>
    </r>
    <r>
      <rPr>
        <sz val="12"/>
        <color theme="1"/>
        <rFont val="Calibri"/>
        <family val="2"/>
        <scheme val="minor"/>
      </rPr>
      <t xml:space="preserve"> Sales on Credit</t>
    </r>
  </si>
  <si>
    <t>VAT on Receipts</t>
  </si>
  <si>
    <t>Additions/(Reductions) to Stock</t>
  </si>
  <si>
    <t>Total Purchases of Stock (net of VAT)</t>
  </si>
  <si>
    <t>VAT on Purchases</t>
  </si>
  <si>
    <r>
      <rPr>
        <i/>
        <sz val="12"/>
        <color theme="1"/>
        <rFont val="Calibri"/>
        <family val="2"/>
        <scheme val="minor"/>
      </rPr>
      <t>plus</t>
    </r>
    <r>
      <rPr>
        <sz val="12"/>
        <color theme="1"/>
        <rFont val="Calibri"/>
        <family val="2"/>
        <scheme val="minor"/>
      </rPr>
      <t xml:space="preserve"> Receipts from Sales on Credit</t>
    </r>
  </si>
  <si>
    <t>Rent Accrued (from P&amp;L)</t>
  </si>
  <si>
    <t>Quarterly Rent Payments (in advance)</t>
  </si>
  <si>
    <t>Heat &amp; Light Accrued (from P&amp;L)</t>
  </si>
  <si>
    <t>Quarterly H&amp;L Payments (in arrears)</t>
  </si>
  <si>
    <t>Other Expenses</t>
  </si>
  <si>
    <t>Total Payments for Other Expenses</t>
  </si>
  <si>
    <t>VAT Payment re Operating Activities</t>
  </si>
  <si>
    <t>VAT Refund re Investing Activities</t>
  </si>
  <si>
    <t>Total VAT Payment/(Receipt)</t>
  </si>
  <si>
    <t>Potential Liability Incurred in Month</t>
  </si>
  <si>
    <t>Credit Received/(Paid) on CapEx</t>
  </si>
  <si>
    <t>Payments to Suppliers for Stock</t>
  </si>
  <si>
    <t>Payroll Payments</t>
  </si>
  <si>
    <t>VAT Payments to HMRC</t>
  </si>
  <si>
    <t>Interest Payments</t>
  </si>
  <si>
    <t>Corporation Tax Payments</t>
  </si>
  <si>
    <t>Receipts From Sale of Assets</t>
  </si>
  <si>
    <t>VAT Refund on Purchase of Assets</t>
  </si>
  <si>
    <t>Payments for Purchase of Assets</t>
  </si>
  <si>
    <t>Issue of Shares</t>
  </si>
  <si>
    <t>Receipt of Director's Loan</t>
  </si>
  <si>
    <t>Receipt of Bank Loan</t>
  </si>
  <si>
    <t>Repayment of Bank Loan</t>
  </si>
  <si>
    <t>Repayment of Director's Loan</t>
  </si>
  <si>
    <t>Payment of Dividends</t>
  </si>
  <si>
    <t>Closing Bank Balance</t>
  </si>
  <si>
    <t>Add back Depreciation</t>
  </si>
  <si>
    <t>Deduct CapEx</t>
  </si>
  <si>
    <t>Debtor Movements</t>
  </si>
  <si>
    <t>Movement on Prepayments</t>
  </si>
  <si>
    <t>Movement on Accruals</t>
  </si>
  <si>
    <t>Movement on VAT - Operating</t>
  </si>
  <si>
    <t>Movement on VAT - Investing</t>
  </si>
  <si>
    <t>Creditor Movements - Operating</t>
  </si>
  <si>
    <t>Movement on Directors' Loans</t>
  </si>
  <si>
    <t>Cash Flow (Indirect Method / Profit Reconciliation)</t>
  </si>
  <si>
    <t>3.  Cash Flow (Direct Method)</t>
  </si>
  <si>
    <t>Davis Design Financial Model</t>
  </si>
  <si>
    <t>1a. Pricing Assumptions</t>
  </si>
  <si>
    <t>VAT Rate:</t>
  </si>
  <si>
    <t>Selling Price (incl VAT)</t>
  </si>
  <si>
    <t>Selling Price (excl VAT)</t>
  </si>
  <si>
    <t>Total Costs</t>
  </si>
  <si>
    <t>Gross Margin %</t>
  </si>
  <si>
    <t>1b.  Sales Assumptions</t>
  </si>
  <si>
    <t>Sales Volume (units)</t>
  </si>
  <si>
    <t>Product Price</t>
  </si>
  <si>
    <t>Sales</t>
  </si>
  <si>
    <t>Gross Margin on Product %:</t>
  </si>
  <si>
    <t>GRAND TOTALS</t>
  </si>
  <si>
    <t>Overall Gross Margin %</t>
  </si>
  <si>
    <t>030117</t>
  </si>
  <si>
    <t>Marketing</t>
  </si>
  <si>
    <t>Computer Hardware</t>
  </si>
  <si>
    <t>Purchase of Property</t>
  </si>
  <si>
    <t>Office Fixtures &amp; Fittings</t>
  </si>
  <si>
    <t>Assumed Ave No of Employees</t>
  </si>
  <si>
    <t>Profit (Loss) Per Employee</t>
  </si>
  <si>
    <t>&lt;--- Close for short version.</t>
  </si>
  <si>
    <t>Copyright Warning Notice - IMPORTANT</t>
  </si>
  <si>
    <t>Operating Expenses</t>
  </si>
  <si>
    <t>Total Operating Expenses</t>
  </si>
  <si>
    <t>Period (Yrs)</t>
  </si>
  <si>
    <t>Type</t>
  </si>
  <si>
    <t>Straight Line</t>
  </si>
  <si>
    <t>Depreciation Calculations</t>
  </si>
  <si>
    <t>Property (not depreciated)</t>
  </si>
  <si>
    <t>Closing Balance (applied to Balance Sheet)</t>
  </si>
  <si>
    <t>Total Depreciation (applied to P&amp;L)</t>
  </si>
  <si>
    <t>Movement on Corporation Tax</t>
  </si>
  <si>
    <t>Fixed Assets</t>
  </si>
  <si>
    <t>See workings in Profit &amp; Loss</t>
  </si>
  <si>
    <t>3. Balance Sheet</t>
  </si>
  <si>
    <t>2. Cash Flow</t>
  </si>
  <si>
    <t>1. Profit &amp; Loss</t>
  </si>
  <si>
    <t>Capital Employed</t>
  </si>
  <si>
    <t>Total Capital Employed</t>
  </si>
  <si>
    <t>Additions</t>
  </si>
  <si>
    <t>Version</t>
  </si>
  <si>
    <t>Version:</t>
  </si>
  <si>
    <t>Year</t>
  </si>
  <si>
    <t>Number</t>
  </si>
  <si>
    <t>THIS TAB IS DESIGNED FOR INTERNAL USE ONLY</t>
  </si>
  <si>
    <t>ANY ATTEMPT TO DELETE IT WILL INVALIDATE YOUR LICENCE TO USE THE MODEL FOR ANY PURPOSES</t>
  </si>
  <si>
    <t>Date Created</t>
  </si>
  <si>
    <t>Notes</t>
  </si>
  <si>
    <t xml:space="preserve">PRODUCTS </t>
  </si>
  <si>
    <t>Credit Card Fees</t>
  </si>
  <si>
    <t>Gross Margin on Service %:</t>
  </si>
  <si>
    <t>Monthly Fee:</t>
  </si>
  <si>
    <t>Total Product Sales</t>
  </si>
  <si>
    <t>Total Product Gross Profit</t>
  </si>
  <si>
    <t>Net no of Subscribers</t>
  </si>
  <si>
    <t>Total Subscription Sales</t>
  </si>
  <si>
    <t>Total Subscription Gross Profit</t>
  </si>
  <si>
    <t>Leavers in Month</t>
  </si>
  <si>
    <t>New Additions in Month</t>
  </si>
  <si>
    <t>Total Sales</t>
  </si>
  <si>
    <t>Total Gross Profit</t>
  </si>
  <si>
    <t>Subcription Gross Margin %</t>
  </si>
  <si>
    <t>Product Gross Margin %</t>
  </si>
  <si>
    <t>(carried forward to Profit &amp; Loss)</t>
  </si>
  <si>
    <t xml:space="preserve">Assumed Open Market Share Price </t>
  </si>
  <si>
    <t>No Subscribers at Start of Month</t>
  </si>
  <si>
    <t>SUBSCRIPTION  SALES TOTALS</t>
  </si>
  <si>
    <t>SUBSCRIPTION SERVICES</t>
  </si>
  <si>
    <t>Fixed Cost Assumptions</t>
  </si>
  <si>
    <t xml:space="preserve">© Simon Hulme and Chris Drew, 2011-2023     IF PART OF AN ACADEMIC ASSIGNMENT, PLEASE DO NOT DELETE THIS SINGLE LINE.  DELETING IT MAY INVALIDATE YOUR SUBMISSION. </t>
  </si>
  <si>
    <t>Students - please do NOT delete this sheet</t>
  </si>
  <si>
    <t>v.2023.2</t>
  </si>
  <si>
    <t>Air Intake</t>
  </si>
  <si>
    <t>Brakes</t>
  </si>
  <si>
    <t>Turbo</t>
  </si>
  <si>
    <t>Manufacturing</t>
  </si>
  <si>
    <t xml:space="preserve">Raw </t>
  </si>
  <si>
    <t xml:space="preserve">Packaging </t>
  </si>
  <si>
    <t>Installation</t>
  </si>
  <si>
    <t>Shipping</t>
  </si>
  <si>
    <t>Precision Performance Financial Model</t>
  </si>
  <si>
    <t>ECOMMERCE</t>
  </si>
  <si>
    <t>Fuel</t>
  </si>
  <si>
    <t>Mechanical Checks</t>
  </si>
  <si>
    <t xml:space="preserve">SUBSCRIPTION </t>
  </si>
  <si>
    <t>Supporting Fees</t>
  </si>
  <si>
    <t>Basic</t>
  </si>
  <si>
    <t>Premium</t>
  </si>
  <si>
    <t>Premium +</t>
  </si>
  <si>
    <t>Yearly Sales</t>
  </si>
  <si>
    <t>Summer Sale</t>
  </si>
  <si>
    <t>Complementary Sticker</t>
  </si>
  <si>
    <t>Materials</t>
  </si>
  <si>
    <t>STORE</t>
  </si>
  <si>
    <t>Filming and Editing</t>
  </si>
  <si>
    <t>Aroma Diffuser</t>
  </si>
  <si>
    <t>Cleaning Supplies</t>
  </si>
  <si>
    <t>Exclusive T Shirt</t>
  </si>
  <si>
    <t>Additive</t>
  </si>
  <si>
    <t xml:space="preserve">Delivery </t>
  </si>
  <si>
    <t>Item</t>
  </si>
  <si>
    <t>Product</t>
  </si>
  <si>
    <t>Volume sales increase</t>
  </si>
  <si>
    <t xml:space="preserve">Sales Price Discount </t>
  </si>
  <si>
    <t>Monthly Growth Rate per Year</t>
  </si>
  <si>
    <t>Role</t>
  </si>
  <si>
    <t>Camera Man</t>
  </si>
  <si>
    <t>Film Editor</t>
  </si>
  <si>
    <t>Social Media Manager</t>
  </si>
  <si>
    <t>Accountant</t>
  </si>
  <si>
    <t>Patents</t>
  </si>
  <si>
    <t>Engineering Software</t>
  </si>
  <si>
    <t>what is the depreciation on software?</t>
  </si>
  <si>
    <t>Warehouse Equipement</t>
  </si>
  <si>
    <t>Inventory Management Software</t>
  </si>
  <si>
    <t>Project Management Software</t>
  </si>
  <si>
    <t>company car - VAT needs to be added</t>
  </si>
  <si>
    <t>check out things which require VAT to be added</t>
  </si>
  <si>
    <t>delivery fees can be set as an operating cost and COGS</t>
  </si>
  <si>
    <t>Any liability beyond one year is a long-term liability</t>
  </si>
  <si>
    <t>Loan - 5-20 years would be more normal.</t>
  </si>
  <si>
    <t>Operations Manager</t>
  </si>
  <si>
    <t>Founder</t>
  </si>
  <si>
    <t xml:space="preserve">Marketing Manager </t>
  </si>
  <si>
    <t>-</t>
  </si>
  <si>
    <t>HR</t>
  </si>
  <si>
    <t>Performance Bonus</t>
  </si>
  <si>
    <t>Engineers</t>
  </si>
  <si>
    <t>Manufacturing Manager</t>
  </si>
  <si>
    <t>l</t>
  </si>
  <si>
    <t xml:space="preserve">Unit Salary </t>
  </si>
  <si>
    <t># in 2024</t>
  </si>
  <si>
    <t># in 2025</t>
  </si>
  <si>
    <t># in 2026</t>
  </si>
  <si>
    <t>eCommerce Manager</t>
  </si>
  <si>
    <t>Annual Salary Increase</t>
  </si>
  <si>
    <t>Retention Bonus</t>
  </si>
  <si>
    <t xml:space="preserve">Salary Additions </t>
  </si>
  <si>
    <t xml:space="preserve">Pensions Contribution </t>
  </si>
  <si>
    <t xml:space="preserve">Total </t>
  </si>
  <si>
    <t>Base Salaries</t>
  </si>
  <si>
    <t xml:space="preserve">Item </t>
  </si>
  <si>
    <t>Affiliate Marketing</t>
  </si>
  <si>
    <t xml:space="preserve">Bussiness Subscription for Social Media </t>
  </si>
  <si>
    <t>Online Advertisements</t>
  </si>
  <si>
    <t xml:space="preserve">Utilities </t>
  </si>
  <si>
    <t xml:space="preserve">Electricity </t>
  </si>
  <si>
    <t>Water</t>
  </si>
  <si>
    <t xml:space="preserve">Heating </t>
  </si>
  <si>
    <t>Supplier to Warehouse</t>
  </si>
  <si>
    <t>Office for eCommerce</t>
  </si>
  <si>
    <t>Computer Aided Design Software</t>
  </si>
  <si>
    <t>Computational Fluid Dynamics Software</t>
  </si>
  <si>
    <t>Stress Analysis Software</t>
  </si>
  <si>
    <t>Online Meeting Software</t>
  </si>
  <si>
    <t>Anti-Virus Software</t>
  </si>
  <si>
    <t>Microsoft Office 365</t>
  </si>
  <si>
    <t>Human Resource Software</t>
  </si>
  <si>
    <t>Software Subscriptions</t>
  </si>
  <si>
    <t xml:space="preserve">Research and Development </t>
  </si>
  <si>
    <t xml:space="preserve">Certification </t>
  </si>
  <si>
    <t xml:space="preserve">Materials </t>
  </si>
  <si>
    <t xml:space="preserve">Research Facility </t>
  </si>
  <si>
    <t>Consulting Fees</t>
  </si>
  <si>
    <t>Licensing Fees</t>
  </si>
  <si>
    <t>Work Space Rent</t>
  </si>
  <si>
    <t>Insurance</t>
  </si>
  <si>
    <t>Health Insurance</t>
  </si>
  <si>
    <t xml:space="preserve">Business Operations Insurance </t>
  </si>
  <si>
    <t>Total Cost</t>
  </si>
  <si>
    <t>Acquisitions</t>
  </si>
  <si>
    <t>Wifi</t>
  </si>
  <si>
    <t>eCommerce</t>
  </si>
  <si>
    <t>Hosting Fees</t>
  </si>
  <si>
    <t xml:space="preserve">Customer Satisfication </t>
  </si>
  <si>
    <t xml:space="preserve">UX design </t>
  </si>
  <si>
    <t xml:space="preserve">Computers </t>
  </si>
  <si>
    <t>Unit Cost</t>
  </si>
  <si>
    <t>Camera</t>
  </si>
  <si>
    <t>Printer</t>
  </si>
  <si>
    <t>Inventory Scanner</t>
  </si>
  <si>
    <t>Additive Manufacturing Printer</t>
  </si>
  <si>
    <t>Office Desks</t>
  </si>
  <si>
    <t>Office Chairs</t>
  </si>
  <si>
    <t>Welding Apparatus</t>
  </si>
  <si>
    <t>Painting Equipment</t>
  </si>
  <si>
    <t>Walkie Talkies</t>
  </si>
  <si>
    <t>Useful Life Time / yrs</t>
  </si>
  <si>
    <t>Depreciation Type</t>
  </si>
  <si>
    <t>Reducing Balance</t>
  </si>
  <si>
    <t>Straight</t>
  </si>
  <si>
    <t>Depreciation Rate</t>
  </si>
  <si>
    <t>Salaries</t>
  </si>
  <si>
    <t>MOVE THESE VALUES OVER</t>
  </si>
  <si>
    <t>Closing Balance (not applied to Balance Sheet)</t>
  </si>
  <si>
    <t>Purchase Property</t>
  </si>
  <si>
    <t>=</t>
  </si>
  <si>
    <t>Opening Stock</t>
  </si>
  <si>
    <t>Sales Forecast</t>
  </si>
  <si>
    <t>New Stock Deliveries</t>
  </si>
  <si>
    <t>Closing Stock</t>
  </si>
  <si>
    <t>2-Month Sales Forecast</t>
  </si>
  <si>
    <t>Current Stock</t>
  </si>
  <si>
    <t>Difference</t>
  </si>
  <si>
    <t>Buffer Stock Level</t>
  </si>
  <si>
    <t>Reorder Amount</t>
  </si>
  <si>
    <t>Closing Value of Stock</t>
  </si>
  <si>
    <t>Stock Safety Margin</t>
  </si>
  <si>
    <t>Safety Stock Level</t>
  </si>
  <si>
    <t>Closing Balance  (applied to Balance Sheet)</t>
  </si>
  <si>
    <t>2024 - 2026</t>
  </si>
  <si>
    <t>Stock Levels / Units</t>
  </si>
  <si>
    <t>Reordering Calculation / Units</t>
  </si>
  <si>
    <t xml:space="preserve">Reordering Calculation / Units </t>
  </si>
  <si>
    <t xml:space="preserve">Increase (Decrease) in Balance Sheet </t>
  </si>
  <si>
    <t>Increase (Decrease) in Balance Sheet</t>
  </si>
  <si>
    <t xml:space="preserve">2025 Inflation </t>
  </si>
  <si>
    <t xml:space="preserve">2026 Inflation </t>
  </si>
  <si>
    <r>
      <rPr>
        <b/>
        <sz val="16"/>
        <color theme="1"/>
        <rFont val="Calibri"/>
        <family val="2"/>
        <scheme val="minor"/>
      </rPr>
      <t>Annual</t>
    </r>
    <r>
      <rPr>
        <sz val="12"/>
        <color theme="1"/>
        <rFont val="Calibri"/>
        <family val="2"/>
        <scheme val="minor"/>
      </rPr>
      <t xml:space="preserve"> Fee (Incl VAT)</t>
    </r>
  </si>
  <si>
    <r>
      <rPr>
        <b/>
        <sz val="16"/>
        <color theme="1"/>
        <rFont val="Calibri"/>
        <family val="2"/>
        <scheme val="minor"/>
      </rPr>
      <t>Annual</t>
    </r>
    <r>
      <rPr>
        <sz val="12"/>
        <color theme="1"/>
        <rFont val="Calibri"/>
        <family val="2"/>
        <scheme val="minor"/>
      </rPr>
      <t xml:space="preserve"> Fee (excl VAT)</t>
    </r>
  </si>
  <si>
    <t>Annual Fee:</t>
  </si>
  <si>
    <t>Complementary Keyring</t>
  </si>
  <si>
    <t xml:space="preserve">Complementary Coffee </t>
  </si>
  <si>
    <r>
      <rPr>
        <b/>
        <sz val="16"/>
        <rFont val="Calibri"/>
        <family val="2"/>
        <scheme val="minor"/>
      </rPr>
      <t xml:space="preserve">Monthly </t>
    </r>
    <r>
      <rPr>
        <sz val="12"/>
        <rFont val="Calibri"/>
        <family val="2"/>
        <scheme val="minor"/>
      </rPr>
      <t>Fee</t>
    </r>
    <r>
      <rPr>
        <sz val="12"/>
        <color theme="1"/>
        <rFont val="Calibri"/>
        <family val="2"/>
        <scheme val="minor"/>
      </rPr>
      <t xml:space="preserve"> (Incl VAT)</t>
    </r>
  </si>
  <si>
    <r>
      <rPr>
        <b/>
        <sz val="16"/>
        <rFont val="Calibri"/>
        <family val="2"/>
        <scheme val="minor"/>
      </rPr>
      <t xml:space="preserve">Monthly </t>
    </r>
    <r>
      <rPr>
        <sz val="12"/>
        <rFont val="Calibri"/>
        <family val="2"/>
        <scheme val="minor"/>
      </rPr>
      <t>Fee</t>
    </r>
    <r>
      <rPr>
        <sz val="12"/>
        <color theme="1"/>
        <rFont val="Calibri"/>
        <family val="2"/>
        <scheme val="minor"/>
      </rPr>
      <t xml:space="preserve"> (excl VAT)</t>
    </r>
  </si>
  <si>
    <t>Winter 1</t>
  </si>
  <si>
    <t>Winter 2</t>
  </si>
  <si>
    <t xml:space="preserve">Summer </t>
  </si>
  <si>
    <t>Seasonality</t>
  </si>
  <si>
    <t xml:space="preserve">Monthly Subscription </t>
  </si>
  <si>
    <r>
      <t xml:space="preserve">Monthly </t>
    </r>
    <r>
      <rPr>
        <b/>
        <sz val="18"/>
        <color theme="1"/>
        <rFont val="Calibri"/>
        <family val="2"/>
        <scheme val="minor"/>
      </rPr>
      <t xml:space="preserve">Premium </t>
    </r>
  </si>
  <si>
    <r>
      <t>Monthly</t>
    </r>
    <r>
      <rPr>
        <b/>
        <sz val="18"/>
        <color theme="1"/>
        <rFont val="Calibri"/>
        <family val="2"/>
        <scheme val="minor"/>
      </rPr>
      <t xml:space="preserve"> Premium +</t>
    </r>
  </si>
  <si>
    <r>
      <t xml:space="preserve">Monthly </t>
    </r>
    <r>
      <rPr>
        <b/>
        <sz val="18"/>
        <color theme="1"/>
        <rFont val="Calibri"/>
        <family val="2"/>
        <scheme val="minor"/>
      </rPr>
      <t>Basic</t>
    </r>
  </si>
  <si>
    <t xml:space="preserve">Yearly Subscription </t>
  </si>
  <si>
    <t>Winter Break 1</t>
  </si>
  <si>
    <t>Winter Break 2</t>
  </si>
  <si>
    <r>
      <t xml:space="preserve">Annual </t>
    </r>
    <r>
      <rPr>
        <b/>
        <sz val="18"/>
        <color theme="1"/>
        <rFont val="Calibri"/>
        <family val="2"/>
        <scheme val="minor"/>
      </rPr>
      <t>Premium +</t>
    </r>
  </si>
  <si>
    <t>`</t>
  </si>
  <si>
    <t>Addition Type</t>
  </si>
  <si>
    <t>Finance Component</t>
  </si>
  <si>
    <t>Payment Type</t>
  </si>
  <si>
    <t>Property</t>
  </si>
  <si>
    <t>Property Costs</t>
  </si>
  <si>
    <t>Mechanic</t>
  </si>
  <si>
    <t xml:space="preserve">Parts Specialist </t>
  </si>
  <si>
    <t xml:space="preserve"> Advertisements</t>
  </si>
  <si>
    <t xml:space="preserve">Sales Assistant </t>
  </si>
  <si>
    <t>Detailer</t>
  </si>
  <si>
    <t>Merchandising</t>
  </si>
  <si>
    <t>Leaflets</t>
  </si>
  <si>
    <t>Personal Protection Equipment</t>
  </si>
  <si>
    <t>Cleaning Equipment</t>
  </si>
  <si>
    <t>Diagnostic Equipment</t>
  </si>
  <si>
    <t>Car Lift Ramp</t>
  </si>
  <si>
    <t xml:space="preserve">Security </t>
  </si>
  <si>
    <t>Cameras</t>
  </si>
  <si>
    <t>Alarms</t>
  </si>
  <si>
    <r>
      <rPr>
        <b/>
        <u/>
        <sz val="14"/>
        <rFont val="Calibri"/>
        <family val="2"/>
        <scheme val="minor"/>
      </rPr>
      <t xml:space="preserve">STORE </t>
    </r>
    <r>
      <rPr>
        <b/>
        <sz val="14"/>
        <rFont val="Calibri"/>
        <family val="2"/>
        <scheme val="minor"/>
      </rPr>
      <t>PRODUCT SALES TOTALS</t>
    </r>
  </si>
  <si>
    <r>
      <rPr>
        <b/>
        <u/>
        <sz val="14"/>
        <rFont val="Calibri"/>
        <family val="2"/>
        <scheme val="minor"/>
      </rPr>
      <t>ECOMMERCE</t>
    </r>
    <r>
      <rPr>
        <b/>
        <sz val="14"/>
        <rFont val="Calibri"/>
        <family val="2"/>
        <scheme val="minor"/>
      </rPr>
      <t xml:space="preserve"> PRODUCT SALES TOTALS</t>
    </r>
  </si>
  <si>
    <t xml:space="preserve">TOTAL PRODUCT SALES </t>
  </si>
  <si>
    <t>Store with storage</t>
  </si>
  <si>
    <t>Office for eCommerce with storage</t>
  </si>
  <si>
    <t>Total Salaries</t>
  </si>
  <si>
    <t>Ecommerce</t>
  </si>
  <si>
    <t>Store</t>
  </si>
  <si>
    <t>Research and Development</t>
  </si>
  <si>
    <t>Research Lab</t>
  </si>
  <si>
    <t>Utilities</t>
  </si>
  <si>
    <t>Total Operational Expenses</t>
  </si>
  <si>
    <t>Ecommerce Total</t>
  </si>
  <si>
    <t xml:space="preserve">Store Total </t>
  </si>
  <si>
    <t xml:space="preserve">Total Depreciation </t>
  </si>
  <si>
    <t xml:space="preserve">All 3 years show a good a gross margin since they are above 50%. The dip in the 2 second year can be attributed to the rapid increase in subscriptions which have a lower gross margin compared to products sold through ecommerce and in store. </t>
  </si>
  <si>
    <t xml:space="preserve">The stark difference between year 1 and 2 shows the operating profitability of the company is very good, this again is attributed to the high volume of subscriptions sales. </t>
  </si>
  <si>
    <t xml:space="preserve">EBITDA Margin </t>
  </si>
  <si>
    <t xml:space="preserve">Operating Profit (EBIT) Margin </t>
  </si>
  <si>
    <t xml:space="preserve">Following the same trends as the EBITDA margin, an overall increase is experienced. A net increase of depreciation throughout the years can be attributed to the difference between EBITDA and EBIT margins. High value acquisitions have been depreciated using reducing balance which means towards the end of the useful life of the item, depreciation plays a smaller role. </t>
  </si>
  <si>
    <t xml:space="preserve">The negative in the first year is a result of a high loan repayment, the repayment amounts decrease as the years go on.  </t>
  </si>
  <si>
    <t xml:space="preserve">A net loss is obeserved in the first year for shareholders due to the heavy loan repayment, however a the following years show a large increase. </t>
  </si>
  <si>
    <t xml:space="preserve">This ratio shows there a  large amount of debt in the first year, due to loans. However in year this drops to close to zero, becoming more attractive to investors. </t>
  </si>
  <si>
    <t xml:space="preserve">The increase in interest cover is a very, correlated to the large number of sales from across all divisions of bussiness. The large interest cover also makes it attractive to credit lenders, leveraging the risk of 0 interest cover in the first year. </t>
  </si>
  <si>
    <t xml:space="preserve">A current ratio above 1 is obeserved thorughout which means it is highy liquid and attractive to investors. The increasing current ratio does also indicate that investments back into bussiness can be made to expand. </t>
  </si>
  <si>
    <t xml:space="preserve">Excluding stock shows the true picture of the buissiness. Since the ratios are above 1, it can withstand crisis situtations which may occur. </t>
  </si>
  <si>
    <t xml:space="preserve">The stock holding days ranges from 2 months to 1 month, this is good since it gives a safety margin if there could issues related to the manufacturing or delivery of the products. The decreasing trend is also good since it means products don’t risk being unsellable (if not stored properly, the metal products could rust, and fragile compents could be damage) </t>
  </si>
  <si>
    <t xml:space="preserve">Stock turn once again highlights the liquid nature of the business. The increasing stock turn also indicates the company is growing. </t>
  </si>
  <si>
    <t>The figures are brilliant. Year 2 and 3 shows its assets can generate double the assest value, and also the increase in efficiency within the company.</t>
  </si>
  <si>
    <t xml:space="preserve">The increase in net profit per employee can be attributed to the increase in sales whilist keeping the staff numbers to a minimum, this occurs due to the large numbers of subscriptions which is an almost automated process from payment to the customer recevein the product. </t>
  </si>
  <si>
    <t xml:space="preserve">The increasing sales per employee values are impressive, this can be attributted to subscriptions and eccomerce being the main drivers of sales, both of which do not require a lot of staff. </t>
  </si>
  <si>
    <t xml:space="preserve">Increasing EPS is a good sign for investors who will increase the stock price of the company and raise additional capital, however this company is still private. </t>
  </si>
  <si>
    <t xml:space="preserve">The decreasing P/E ratios are good, means investors will requires less time to breakeven on their initial investment, waiting less than a year is superb. </t>
  </si>
  <si>
    <t>The decreasing payable days is good since the suppliers will happy because they are paid very quickly, maintaing a strong relationship beween suppliers and the company.</t>
  </si>
  <si>
    <r>
      <t xml:space="preserve">The debtor days is comparble to industries range of 46-28 </t>
    </r>
    <r>
      <rPr>
        <b/>
        <sz val="12"/>
        <color theme="1"/>
        <rFont val="Calibri"/>
        <family val="2"/>
        <scheme val="minor"/>
      </rPr>
      <t>[1]</t>
    </r>
    <r>
      <rPr>
        <sz val="12"/>
        <color theme="1"/>
        <rFont val="Calibri"/>
        <family val="2"/>
        <scheme val="minor"/>
      </rPr>
      <t xml:space="preserve"> (2020 - 2016). The decrease obeserved also increases liquidity and efficiency. </t>
    </r>
  </si>
  <si>
    <t>Cash Conversion Cycle  - days</t>
  </si>
  <si>
    <t>This is somewhat high, but shouldn’t be looked at on its own. Cashflows could be better optimized.</t>
  </si>
  <si>
    <t xml:space="preserve">Basic </t>
  </si>
  <si>
    <t xml:space="preserve">Premium </t>
  </si>
  <si>
    <t>Precision Performance Consolidated Profit and Loss</t>
  </si>
  <si>
    <t>3.  Profit &amp; Loss</t>
  </si>
  <si>
    <t>1.  Profit &amp; Loss</t>
  </si>
  <si>
    <r>
      <t>Precision Performance Sales Forecast</t>
    </r>
    <r>
      <rPr>
        <b/>
        <sz val="18"/>
        <color theme="1"/>
        <rFont val="Calibri"/>
        <family val="2"/>
        <scheme val="minor"/>
      </rPr>
      <t xml:space="preserve"> </t>
    </r>
    <r>
      <rPr>
        <sz val="18"/>
        <color theme="1"/>
        <rFont val="Calibri"/>
        <family val="2"/>
        <scheme val="minor"/>
      </rPr>
      <t>[2]</t>
    </r>
  </si>
  <si>
    <t xml:space="preserve">PreMoney Valutation </t>
  </si>
  <si>
    <t xml:space="preserve">Balance Sheet </t>
  </si>
  <si>
    <t>Dec-24</t>
  </si>
  <si>
    <t>Dec-25</t>
  </si>
  <si>
    <t>Dec-26</t>
  </si>
  <si>
    <t>Profit and Loss</t>
  </si>
  <si>
    <t>2024</t>
  </si>
  <si>
    <t>2025</t>
  </si>
  <si>
    <t>2026</t>
  </si>
  <si>
    <t xml:space="preserve">2024    </t>
  </si>
  <si>
    <t xml:space="preserve">2025    </t>
  </si>
  <si>
    <t xml:space="preserve">2026    </t>
  </si>
  <si>
    <t xml:space="preserve">Graphs and Table for Pitch Deck </t>
  </si>
  <si>
    <t>Pre-money Valuation</t>
  </si>
  <si>
    <t>Number of Shares</t>
  </si>
  <si>
    <t xml:space="preserve">% of total </t>
  </si>
  <si>
    <t>Equity to be raised</t>
  </si>
  <si>
    <t xml:space="preserve">Post - Money Valuation </t>
  </si>
  <si>
    <t xml:space="preserve">Total Value </t>
  </si>
  <si>
    <t xml:space="preserve">Per Share </t>
  </si>
  <si>
    <t xml:space="preserve">Valuations </t>
  </si>
  <si>
    <t>Precision Performance Stock Model [4]</t>
  </si>
  <si>
    <t>Precision Performance Profit and Loss - Ecommerce [5]</t>
  </si>
  <si>
    <t xml:space="preserve">Precision Performance Financial Model [5] </t>
  </si>
  <si>
    <t>2026 shows that the compnay is very profitable, this is due to the subscription boom.</t>
  </si>
  <si>
    <t xml:space="preserve">Simon Hulme </t>
  </si>
  <si>
    <t>Entrepeneurial Finance Coursework</t>
  </si>
  <si>
    <t>Expense</t>
  </si>
  <si>
    <t>Cost</t>
  </si>
  <si>
    <t>Research and Developments</t>
  </si>
  <si>
    <t>New Staff</t>
  </si>
  <si>
    <t xml:space="preserve">More Acquisitions </t>
  </si>
  <si>
    <t>Canditate Number - XNDY6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</si>
</sst>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0">
    <numFmt numFmtId="6" formatCode="&quot;£&quot;#,##0;[Red]\-&quot;£&quot;#,##0"/>
    <numFmt numFmtId="8" formatCode="&quot;£&quot;#,##0.00;[Red]\-&quot;£&quot;#,##0.00"/>
    <numFmt numFmtId="44" formatCode="_-&quot;£&quot;* #,##0.00_-;\-&quot;£&quot;* #,##0.00_-;_-&quot;£&quot;* &quot;-&quot;??_-;_-@_-"/>
    <numFmt numFmtId="164" formatCode="&quot;£&quot;#,##0_);[Red]\(&quot;£&quot;#,##0\)"/>
    <numFmt numFmtId="165" formatCode="&quot;£&quot;#,##0.00_);[Red]\(&quot;£&quot;#,##0.00\)"/>
    <numFmt numFmtId="166" formatCode="_(&quot;£&quot;* #,##0.00_);_(&quot;£&quot;* \(#,##0.00\);_(&quot;£&quot;* &quot;-&quot;??_);_(@_)"/>
    <numFmt numFmtId="167" formatCode="_(* #,##0.00_);_(* \(#,##0.00\);_(* &quot;-&quot;??_);_(@_)"/>
    <numFmt numFmtId="168" formatCode="_-* #,##0.0_-;\-* #,##0.0_-;_-* &quot;-&quot;??_-;_-@_-"/>
    <numFmt numFmtId="169" formatCode="_-* #,##0_-;\-* #,##0_-;_-* &quot;-&quot;??_-;_-@_-"/>
    <numFmt numFmtId="170" formatCode="0.0%"/>
    <numFmt numFmtId="171" formatCode="0.0"/>
    <numFmt numFmtId="172" formatCode="#,##0_ ;[Red]\-#,##0\ "/>
    <numFmt numFmtId="173" formatCode="&quot;£&quot;#,##0;[Red]&quot;£&quot;#,##0"/>
    <numFmt numFmtId="174" formatCode="_(* #,##0_);_(* \(#,##0\);_(* &quot;-&quot;??_);_(@_)"/>
    <numFmt numFmtId="175" formatCode="_(&quot;£&quot;* #,##0_);_(&quot;£&quot;* \(#,##0\);_(&quot;£&quot;* &quot;-&quot;??_);_(@_)"/>
    <numFmt numFmtId="176" formatCode="&quot;£&quot;#,##0.00"/>
    <numFmt numFmtId="177" formatCode="&quot;£&quot;#,##0"/>
    <numFmt numFmtId="178" formatCode="&quot;£&quot;#,##0.0_);[Red]\(&quot;£&quot;#,##0.0\)"/>
    <numFmt numFmtId="179" formatCode="0.00000"/>
    <numFmt numFmtId="180" formatCode="&quot;£&quot;#,##0.0"/>
  </numFmts>
  <fonts count="75">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6"/>
      <color theme="1"/>
      <name val="Calibri"/>
      <family val="2"/>
      <scheme val="minor"/>
    </font>
    <font>
      <b/>
      <sz val="12"/>
      <color theme="1"/>
      <name val="Calibri"/>
      <family val="2"/>
      <scheme val="minor"/>
    </font>
    <font>
      <i/>
      <sz val="12"/>
      <color theme="1"/>
      <name val="Calibri"/>
      <family val="2"/>
      <scheme val="minor"/>
    </font>
    <font>
      <i/>
      <sz val="8"/>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b/>
      <sz val="20"/>
      <color theme="1"/>
      <name val="Calibri"/>
      <family val="2"/>
      <scheme val="minor"/>
    </font>
    <font>
      <b/>
      <sz val="20"/>
      <color rgb="FF000000"/>
      <name val="Calibri"/>
      <family val="2"/>
      <scheme val="minor"/>
    </font>
    <font>
      <b/>
      <sz val="16"/>
      <color rgb="FF000000"/>
      <name val="Calibri"/>
      <family val="2"/>
      <scheme val="minor"/>
    </font>
    <font>
      <i/>
      <sz val="10"/>
      <color rgb="FF000000"/>
      <name val="Calibri"/>
      <family val="2"/>
      <scheme val="minor"/>
    </font>
    <font>
      <b/>
      <sz val="12"/>
      <color rgb="FF000000"/>
      <name val="Calibri"/>
      <family val="2"/>
      <scheme val="minor"/>
    </font>
    <font>
      <i/>
      <sz val="12"/>
      <color rgb="FF000000"/>
      <name val="Calibri"/>
      <family val="2"/>
      <scheme val="minor"/>
    </font>
    <font>
      <b/>
      <sz val="14"/>
      <color theme="1"/>
      <name val="Calibri"/>
      <family val="2"/>
      <scheme val="minor"/>
    </font>
    <font>
      <sz val="8"/>
      <name val="Calibri"/>
      <family val="2"/>
      <scheme val="minor"/>
    </font>
    <font>
      <b/>
      <sz val="14"/>
      <color rgb="FF000000"/>
      <name val="Calibri"/>
      <family val="2"/>
      <scheme val="minor"/>
    </font>
    <font>
      <i/>
      <sz val="10"/>
      <color rgb="FFFF0000"/>
      <name val="Calibri"/>
      <family val="2"/>
      <scheme val="minor"/>
    </font>
    <font>
      <sz val="9"/>
      <color indexed="81"/>
      <name val="Calibri"/>
      <family val="2"/>
    </font>
    <font>
      <b/>
      <sz val="9"/>
      <color indexed="81"/>
      <name val="Calibri"/>
      <family val="2"/>
    </font>
    <font>
      <sz val="12"/>
      <color rgb="FFFF6600"/>
      <name val="Calibri"/>
      <family val="2"/>
      <scheme val="minor"/>
    </font>
    <font>
      <sz val="12"/>
      <name val="Calibri"/>
      <family val="2"/>
      <scheme val="minor"/>
    </font>
    <font>
      <sz val="10"/>
      <color theme="1"/>
      <name val="Calibri"/>
      <family val="2"/>
      <scheme val="minor"/>
    </font>
    <font>
      <sz val="12"/>
      <color rgb="FFFF0000"/>
      <name val="Calibri"/>
      <family val="2"/>
      <scheme val="minor"/>
    </font>
    <font>
      <b/>
      <sz val="12"/>
      <name val="Calibri"/>
      <family val="2"/>
      <scheme val="minor"/>
    </font>
    <font>
      <b/>
      <sz val="16"/>
      <name val="Calibri"/>
      <family val="2"/>
      <scheme val="minor"/>
    </font>
    <font>
      <sz val="12"/>
      <color indexed="23"/>
      <name val="Calibri"/>
      <family val="2"/>
    </font>
    <font>
      <b/>
      <sz val="12"/>
      <color indexed="8"/>
      <name val="Calibri"/>
      <family val="2"/>
    </font>
    <font>
      <b/>
      <sz val="22"/>
      <color theme="1"/>
      <name val="Calibri"/>
      <family val="2"/>
      <scheme val="minor"/>
    </font>
    <font>
      <i/>
      <sz val="12"/>
      <color rgb="FFFF0000"/>
      <name val="Calibri"/>
      <family val="2"/>
      <scheme val="minor"/>
    </font>
    <font>
      <b/>
      <i/>
      <sz val="10"/>
      <color rgb="FFFF0000"/>
      <name val="Calibri"/>
      <family val="2"/>
      <scheme val="minor"/>
    </font>
    <font>
      <i/>
      <sz val="10"/>
      <color rgb="FF0000FF"/>
      <name val="Calibri"/>
      <family val="2"/>
      <scheme val="minor"/>
    </font>
    <font>
      <i/>
      <sz val="20"/>
      <color rgb="FFFF0000"/>
      <name val="Calibri"/>
      <family val="2"/>
      <scheme val="minor"/>
    </font>
    <font>
      <sz val="20"/>
      <color theme="1"/>
      <name val="Calibri"/>
      <family val="2"/>
      <scheme val="minor"/>
    </font>
    <font>
      <sz val="9"/>
      <color rgb="FF000000"/>
      <name val="Calibri"/>
      <family val="2"/>
    </font>
    <font>
      <b/>
      <sz val="12"/>
      <color theme="0"/>
      <name val="Calibri"/>
      <family val="2"/>
      <scheme val="minor"/>
    </font>
    <font>
      <sz val="12"/>
      <color theme="0"/>
      <name val="Calibri"/>
      <family val="2"/>
      <scheme val="minor"/>
    </font>
    <font>
      <sz val="9"/>
      <color rgb="FF000000"/>
      <name val="+mn-lt"/>
      <charset val="1"/>
    </font>
    <font>
      <b/>
      <sz val="9"/>
      <color rgb="FF000000"/>
      <name val="Calibri"/>
      <family val="2"/>
    </font>
    <font>
      <sz val="12"/>
      <color theme="0" tint="-0.34998626667073579"/>
      <name val="Calibri"/>
      <family val="2"/>
      <scheme val="minor"/>
    </font>
    <font>
      <b/>
      <sz val="14"/>
      <name val="Calibri"/>
      <family val="2"/>
      <scheme val="minor"/>
    </font>
    <font>
      <sz val="10"/>
      <color rgb="FF000000"/>
      <name val="Calibri"/>
      <family val="2"/>
    </font>
    <font>
      <sz val="14"/>
      <color theme="1"/>
      <name val="Calibri"/>
      <family val="2"/>
      <scheme val="minor"/>
    </font>
    <font>
      <sz val="9"/>
      <color rgb="FF000000"/>
      <name val="Calibri"/>
      <family val="2"/>
      <scheme val="minor"/>
    </font>
    <font>
      <sz val="11"/>
      <color rgb="FF9C0006"/>
      <name val="Calibri"/>
      <family val="2"/>
      <scheme val="minor"/>
    </font>
    <font>
      <sz val="12"/>
      <color rgb="FF00B050"/>
      <name val="Calibri"/>
      <family val="2"/>
      <scheme val="minor"/>
    </font>
    <font>
      <sz val="14"/>
      <color rgb="FF333333"/>
      <name val="Arial"/>
      <family val="2"/>
    </font>
    <font>
      <b/>
      <i/>
      <sz val="12"/>
      <color theme="1"/>
      <name val="Calibri"/>
      <family val="2"/>
      <scheme val="minor"/>
    </font>
    <font>
      <b/>
      <i/>
      <sz val="12"/>
      <color rgb="FF000000"/>
      <name val="Calibri"/>
      <family val="2"/>
      <scheme val="minor"/>
    </font>
    <font>
      <b/>
      <sz val="36"/>
      <color rgb="FF002060"/>
      <name val="Calibri"/>
      <family val="2"/>
      <scheme val="minor"/>
    </font>
    <font>
      <b/>
      <sz val="18"/>
      <color theme="1"/>
      <name val="Calibri"/>
      <family val="2"/>
      <scheme val="minor"/>
    </font>
    <font>
      <b/>
      <sz val="18"/>
      <name val="Calibri"/>
      <family val="2"/>
      <scheme val="minor"/>
    </font>
    <font>
      <b/>
      <sz val="16"/>
      <color rgb="FFFF0000"/>
      <name val="Calibri"/>
      <family val="2"/>
      <scheme val="minor"/>
    </font>
    <font>
      <b/>
      <sz val="12"/>
      <color rgb="FFFFFFFF"/>
      <name val="Calibri"/>
      <family val="2"/>
      <scheme val="minor"/>
    </font>
    <font>
      <b/>
      <sz val="12"/>
      <color rgb="FFFFFFFF"/>
      <name val="Calibri"/>
      <family val="2"/>
    </font>
    <font>
      <sz val="12"/>
      <color rgb="FFFFFFFF"/>
      <name val="Calibri"/>
      <family val="2"/>
    </font>
    <font>
      <b/>
      <u/>
      <sz val="14"/>
      <name val="Calibri"/>
      <family val="2"/>
      <scheme val="minor"/>
    </font>
    <font>
      <b/>
      <sz val="12"/>
      <name val="Calibri"/>
      <family val="2"/>
    </font>
    <font>
      <sz val="12"/>
      <name val="Calibri"/>
      <family val="2"/>
    </font>
    <font>
      <b/>
      <i/>
      <sz val="16"/>
      <color theme="1"/>
      <name val="Calibri"/>
      <family val="2"/>
      <scheme val="minor"/>
    </font>
    <font>
      <b/>
      <sz val="20"/>
      <name val="Calibri"/>
      <family val="2"/>
      <scheme val="minor"/>
    </font>
    <font>
      <sz val="22"/>
      <color theme="1"/>
      <name val="Calibri"/>
      <family val="2"/>
      <scheme val="minor"/>
    </font>
    <font>
      <b/>
      <sz val="16"/>
      <color theme="0"/>
      <name val="Calibri"/>
      <family val="2"/>
      <scheme val="minor"/>
    </font>
    <font>
      <i/>
      <sz val="12"/>
      <color theme="0"/>
      <name val="Calibri"/>
      <family val="2"/>
      <scheme val="minor"/>
    </font>
    <font>
      <i/>
      <sz val="14"/>
      <color rgb="FFFF0000"/>
      <name val="Calibri"/>
      <family val="2"/>
      <scheme val="minor"/>
    </font>
    <font>
      <sz val="18"/>
      <color theme="1"/>
      <name val="Calibri"/>
      <family val="2"/>
      <scheme val="minor"/>
    </font>
    <font>
      <i/>
      <sz val="22"/>
      <color rgb="FFFF0000"/>
      <name val="Calibri"/>
      <family val="2"/>
      <scheme val="minor"/>
    </font>
    <font>
      <sz val="72"/>
      <name val="Calibri"/>
      <family val="2"/>
      <scheme val="minor"/>
    </font>
  </fonts>
  <fills count="24">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FF00"/>
        <bgColor rgb="FF000000"/>
      </patternFill>
    </fill>
    <fill>
      <patternFill patternType="solid">
        <fgColor theme="3" tint="0.7999816888943144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5" tint="0.59999389629810485"/>
        <bgColor theme="0"/>
      </patternFill>
    </fill>
    <fill>
      <patternFill patternType="solid">
        <fgColor rgb="FFFFC7CE"/>
      </patternFill>
    </fill>
    <fill>
      <patternFill patternType="solid">
        <fgColor rgb="FFFFFFFF"/>
        <bgColor indexed="64"/>
      </patternFill>
    </fill>
    <fill>
      <patternFill patternType="solid">
        <fgColor rgb="FFF55C40"/>
        <bgColor indexed="64"/>
      </patternFill>
    </fill>
    <fill>
      <patternFill patternType="solid">
        <fgColor rgb="FFFFCCCC"/>
        <bgColor indexed="64"/>
      </patternFill>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theme="4"/>
        <bgColor indexed="64"/>
      </patternFill>
    </fill>
    <fill>
      <patternFill patternType="solid">
        <fgColor theme="0" tint="-4.9989318521683403E-2"/>
        <bgColor indexed="64"/>
      </patternFill>
    </fill>
    <fill>
      <gradientFill degree="180">
        <stop position="0">
          <color theme="0"/>
        </stop>
        <stop position="1">
          <color rgb="FFF55C40"/>
        </stop>
      </gradientFill>
    </fill>
    <fill>
      <patternFill patternType="solid">
        <fgColor rgb="FF0070C0"/>
        <bgColor indexed="64"/>
      </patternFill>
    </fill>
    <fill>
      <patternFill patternType="solid">
        <fgColor rgb="FFFF9933"/>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rgb="FFF57671"/>
        <bgColor indexed="64"/>
      </patternFill>
    </fill>
  </fills>
  <borders count="80">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style="thin">
        <color auto="1"/>
      </right>
      <top style="thin">
        <color auto="1"/>
      </top>
      <bottom style="thin">
        <color auto="1"/>
      </bottom>
      <diagonal/>
    </border>
    <border>
      <left/>
      <right/>
      <top style="thin">
        <color auto="1"/>
      </top>
      <bottom style="double">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auto="1"/>
      </top>
      <bottom style="double">
        <color auto="1"/>
      </bottom>
      <diagonal/>
    </border>
    <border>
      <left/>
      <right style="thick">
        <color indexed="64"/>
      </right>
      <top/>
      <bottom/>
      <diagonal/>
    </border>
    <border>
      <left/>
      <right style="thin">
        <color rgb="FFFF0000"/>
      </right>
      <top/>
      <bottom/>
      <diagonal/>
    </border>
    <border>
      <left/>
      <right style="thick">
        <color theme="1"/>
      </right>
      <top/>
      <bottom/>
      <diagonal/>
    </border>
    <border>
      <left style="thick">
        <color rgb="FF00B0F0"/>
      </left>
      <right/>
      <top style="thick">
        <color rgb="FF00B0F0"/>
      </top>
      <bottom style="thick">
        <color rgb="FF00B0F0"/>
      </bottom>
      <diagonal/>
    </border>
    <border>
      <left/>
      <right/>
      <top style="thick">
        <color rgb="FF00B0F0"/>
      </top>
      <bottom style="thick">
        <color rgb="FF00B0F0"/>
      </bottom>
      <diagonal/>
    </border>
    <border>
      <left/>
      <right style="thick">
        <color rgb="FF00B0F0"/>
      </right>
      <top style="thick">
        <color rgb="FF00B0F0"/>
      </top>
      <bottom style="thick">
        <color rgb="FF00B0F0"/>
      </bottom>
      <diagonal/>
    </border>
    <border>
      <left/>
      <right/>
      <top/>
      <bottom style="thick">
        <color rgb="FF00B0F0"/>
      </bottom>
      <diagonal/>
    </border>
    <border>
      <left style="thick">
        <color rgb="FF92D050"/>
      </left>
      <right style="thick">
        <color rgb="FF92D050"/>
      </right>
      <top style="thick">
        <color rgb="FF92D050"/>
      </top>
      <bottom style="thick">
        <color rgb="FF92D050"/>
      </bottom>
      <diagonal/>
    </border>
    <border>
      <left/>
      <right/>
      <top style="thick">
        <color rgb="FF92D050"/>
      </top>
      <bottom style="thick">
        <color rgb="FF92D050"/>
      </bottom>
      <diagonal/>
    </border>
    <border>
      <left/>
      <right style="thick">
        <color rgb="FF92D050"/>
      </right>
      <top style="thick">
        <color rgb="FF92D050"/>
      </top>
      <bottom style="thick">
        <color rgb="FF92D050"/>
      </bottom>
      <diagonal/>
    </border>
    <border>
      <left style="thick">
        <color rgb="FFFF9933"/>
      </left>
      <right/>
      <top style="thick">
        <color rgb="FFFF9933"/>
      </top>
      <bottom style="thick">
        <color rgb="FFFF9933"/>
      </bottom>
      <diagonal/>
    </border>
    <border>
      <left/>
      <right/>
      <top style="thick">
        <color rgb="FFFF9933"/>
      </top>
      <bottom style="thick">
        <color rgb="FFFF9933"/>
      </bottom>
      <diagonal/>
    </border>
    <border>
      <left/>
      <right style="thick">
        <color rgb="FFFF9933"/>
      </right>
      <top style="thick">
        <color rgb="FFFF9933"/>
      </top>
      <bottom style="thick">
        <color rgb="FFFF9933"/>
      </bottom>
      <diagonal/>
    </border>
    <border>
      <left style="thick">
        <color theme="0" tint="-4.9989318521683403E-2"/>
      </left>
      <right style="thick">
        <color theme="0" tint="-4.9989318521683403E-2"/>
      </right>
      <top style="thick">
        <color theme="0" tint="-4.9989318521683403E-2"/>
      </top>
      <bottom/>
      <diagonal/>
    </border>
    <border>
      <left style="thick">
        <color theme="0" tint="-4.9989318521683403E-2"/>
      </left>
      <right style="thick">
        <color theme="0" tint="-4.9989318521683403E-2"/>
      </right>
      <top/>
      <bottom/>
      <diagonal/>
    </border>
    <border>
      <left style="thick">
        <color theme="0" tint="-4.9989318521683403E-2"/>
      </left>
      <right style="thick">
        <color theme="0" tint="-4.9989318521683403E-2"/>
      </right>
      <top/>
      <bottom style="thick">
        <color theme="0" tint="-4.9989318521683403E-2"/>
      </bottom>
      <diagonal/>
    </border>
    <border>
      <left style="thick">
        <color theme="0" tint="-4.9989318521683403E-2"/>
      </left>
      <right/>
      <top style="thick">
        <color theme="0" tint="-4.9989318521683403E-2"/>
      </top>
      <bottom/>
      <diagonal/>
    </border>
    <border>
      <left/>
      <right style="thick">
        <color theme="0" tint="-4.9989318521683403E-2"/>
      </right>
      <top style="thick">
        <color theme="0" tint="-4.9989318521683403E-2"/>
      </top>
      <bottom/>
      <diagonal/>
    </border>
    <border>
      <left style="thick">
        <color theme="0" tint="-4.9989318521683403E-2"/>
      </left>
      <right/>
      <top/>
      <bottom/>
      <diagonal/>
    </border>
    <border>
      <left/>
      <right style="thick">
        <color theme="0" tint="-4.9989318521683403E-2"/>
      </right>
      <top/>
      <bottom/>
      <diagonal/>
    </border>
    <border>
      <left style="thick">
        <color theme="0" tint="-4.9989318521683403E-2"/>
      </left>
      <right/>
      <top/>
      <bottom style="thick">
        <color theme="0" tint="-4.9989318521683403E-2"/>
      </bottom>
      <diagonal/>
    </border>
    <border>
      <left/>
      <right style="thick">
        <color theme="0" tint="-4.9989318521683403E-2"/>
      </right>
      <top/>
      <bottom style="thick">
        <color theme="0" tint="-4.9989318521683403E-2"/>
      </bottom>
      <diagonal/>
    </border>
    <border>
      <left/>
      <right/>
      <top style="thick">
        <color theme="0" tint="-4.9989318521683403E-2"/>
      </top>
      <bottom/>
      <diagonal/>
    </border>
    <border>
      <left/>
      <right/>
      <top/>
      <bottom style="thick">
        <color theme="0" tint="-4.9989318521683403E-2"/>
      </bottom>
      <diagonal/>
    </border>
    <border>
      <left/>
      <right style="thin">
        <color theme="1"/>
      </right>
      <top/>
      <bottom/>
      <diagonal/>
    </border>
    <border>
      <left style="thin">
        <color theme="1"/>
      </left>
      <right/>
      <top/>
      <bottom/>
      <diagonal/>
    </border>
    <border>
      <left style="thick">
        <color theme="3" tint="0.39997558519241921"/>
      </left>
      <right/>
      <top style="thick">
        <color theme="3" tint="0.39997558519241921"/>
      </top>
      <bottom style="thick">
        <color theme="3" tint="0.39997558519241921"/>
      </bottom>
      <diagonal/>
    </border>
    <border>
      <left/>
      <right/>
      <top style="thick">
        <color theme="3" tint="0.39997558519241921"/>
      </top>
      <bottom style="thick">
        <color theme="3" tint="0.39997558519241921"/>
      </bottom>
      <diagonal/>
    </border>
    <border>
      <left/>
      <right style="thick">
        <color theme="3" tint="0.39997558519241921"/>
      </right>
      <top style="thick">
        <color theme="3" tint="0.39997558519241921"/>
      </top>
      <bottom style="thick">
        <color theme="3" tint="0.39997558519241921"/>
      </bottom>
      <diagonal/>
    </border>
    <border>
      <left style="thick">
        <color theme="3" tint="0.39997558519241921"/>
      </left>
      <right/>
      <top style="thick">
        <color theme="3" tint="0.39997558519241921"/>
      </top>
      <bottom/>
      <diagonal/>
    </border>
    <border>
      <left/>
      <right/>
      <top style="thick">
        <color theme="3" tint="0.39997558519241921"/>
      </top>
      <bottom/>
      <diagonal/>
    </border>
    <border>
      <left/>
      <right style="thick">
        <color theme="3" tint="0.39997558519241921"/>
      </right>
      <top style="thick">
        <color theme="3" tint="0.39997558519241921"/>
      </top>
      <bottom/>
      <diagonal/>
    </border>
    <border>
      <left style="thick">
        <color theme="3" tint="0.39997558519241921"/>
      </left>
      <right/>
      <top/>
      <bottom/>
      <diagonal/>
    </border>
    <border>
      <left/>
      <right style="thick">
        <color theme="3" tint="0.39997558519241921"/>
      </right>
      <top/>
      <bottom/>
      <diagonal/>
    </border>
    <border>
      <left style="thick">
        <color theme="3" tint="0.39997558519241921"/>
      </left>
      <right/>
      <top/>
      <bottom style="thick">
        <color theme="3" tint="0.39997558519241921"/>
      </bottom>
      <diagonal/>
    </border>
    <border>
      <left/>
      <right/>
      <top/>
      <bottom style="thick">
        <color theme="3" tint="0.39997558519241921"/>
      </bottom>
      <diagonal/>
    </border>
    <border>
      <left/>
      <right style="thick">
        <color theme="3" tint="0.39997558519241921"/>
      </right>
      <top/>
      <bottom style="thick">
        <color theme="3" tint="0.39997558519241921"/>
      </bottom>
      <diagonal/>
    </border>
    <border>
      <left/>
      <right/>
      <top style="medium">
        <color theme="3" tint="0.59999389629810485"/>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indexed="64"/>
      </left>
      <right/>
      <top/>
      <bottom/>
      <diagonal/>
    </border>
    <border>
      <left style="thick">
        <color rgb="FFFF7861"/>
      </left>
      <right/>
      <top style="thick">
        <color rgb="FFFF7861"/>
      </top>
      <bottom/>
      <diagonal/>
    </border>
    <border>
      <left/>
      <right style="thick">
        <color rgb="FFFF7861"/>
      </right>
      <top style="thick">
        <color rgb="FFFF7861"/>
      </top>
      <bottom/>
      <diagonal/>
    </border>
    <border>
      <left style="thick">
        <color rgb="FFFF7861"/>
      </left>
      <right/>
      <top/>
      <bottom/>
      <diagonal/>
    </border>
    <border>
      <left/>
      <right style="thick">
        <color rgb="FFFF7861"/>
      </right>
      <top/>
      <bottom/>
      <diagonal/>
    </border>
    <border>
      <left style="thick">
        <color rgb="FFFF7861"/>
      </left>
      <right/>
      <top/>
      <bottom style="thick">
        <color rgb="FFFF7861"/>
      </bottom>
      <diagonal/>
    </border>
    <border>
      <left/>
      <right style="thick">
        <color rgb="FFFF7861"/>
      </right>
      <top/>
      <bottom style="thick">
        <color rgb="FFFF7861"/>
      </bottom>
      <diagonal/>
    </border>
    <border>
      <left style="thin">
        <color rgb="FFFF0000"/>
      </left>
      <right style="thick">
        <color rgb="FFFF7861"/>
      </right>
      <top/>
      <bottom/>
      <diagonal/>
    </border>
    <border>
      <left style="thick">
        <color theme="3" tint="0.39997558519241921"/>
      </left>
      <right/>
      <top style="medium">
        <color theme="3" tint="0.59999389629810485"/>
      </top>
      <bottom/>
      <diagonal/>
    </border>
    <border>
      <left/>
      <right style="thick">
        <color theme="3" tint="0.39997558519241921"/>
      </right>
      <top style="medium">
        <color theme="3" tint="0.59999389629810485"/>
      </top>
      <bottom/>
      <diagonal/>
    </border>
    <border>
      <left/>
      <right style="thick">
        <color indexed="64"/>
      </right>
      <top style="thin">
        <color auto="1"/>
      </top>
      <bottom/>
      <diagonal/>
    </border>
    <border>
      <left/>
      <right style="thick">
        <color indexed="64"/>
      </right>
      <top style="thin">
        <color auto="1"/>
      </top>
      <bottom style="double">
        <color auto="1"/>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style="thick">
        <color indexed="64"/>
      </left>
      <right/>
      <top style="thin">
        <color auto="1"/>
      </top>
      <bottom/>
      <diagonal/>
    </border>
    <border>
      <left style="thick">
        <color rgb="FFFF7861"/>
      </left>
      <right style="thick">
        <color rgb="FFFF7861"/>
      </right>
      <top style="thick">
        <color rgb="FFFF7861"/>
      </top>
      <bottom/>
      <diagonal/>
    </border>
    <border>
      <left style="thick">
        <color rgb="FFFF7861"/>
      </left>
      <right style="thick">
        <color rgb="FFFF7861"/>
      </right>
      <top/>
      <bottom/>
      <diagonal/>
    </border>
    <border>
      <left style="thick">
        <color rgb="FFFF7861"/>
      </left>
      <right style="thick">
        <color rgb="FFFF7861"/>
      </right>
      <top/>
      <bottom style="thick">
        <color rgb="FFFF7861"/>
      </bottom>
      <diagonal/>
    </border>
  </borders>
  <cellStyleXfs count="88">
    <xf numFmtId="0" fontId="0" fillId="0" borderId="0"/>
    <xf numFmtId="166" fontId="7" fillId="0" borderId="0" applyFont="0" applyFill="0" applyBorder="0" applyAlignment="0" applyProtection="0"/>
    <xf numFmtId="167" fontId="6" fillId="0" borderId="0" applyFont="0" applyFill="0" applyBorder="0" applyAlignment="0" applyProtection="0"/>
    <xf numFmtId="9" fontId="6" fillId="0" borderId="0" applyFon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51" fillId="9" borderId="0" applyNumberFormat="0" applyBorder="0" applyAlignment="0" applyProtection="0"/>
    <xf numFmtId="0" fontId="9" fillId="16" borderId="0">
      <alignment vertical="center"/>
      <protection locked="0"/>
    </xf>
  </cellStyleXfs>
  <cellXfs count="1327">
    <xf numFmtId="0" fontId="0" fillId="0" borderId="0" xfId="0"/>
    <xf numFmtId="0" fontId="9" fillId="0" borderId="0" xfId="0" applyFont="1"/>
    <xf numFmtId="0" fontId="0" fillId="3" borderId="0" xfId="0" applyFill="1"/>
    <xf numFmtId="0" fontId="9" fillId="3" borderId="0" xfId="0" applyFont="1" applyFill="1"/>
    <xf numFmtId="0" fontId="21" fillId="2" borderId="0" xfId="0" applyFont="1" applyFill="1"/>
    <xf numFmtId="0" fontId="21" fillId="0" borderId="0" xfId="0" applyFont="1"/>
    <xf numFmtId="0" fontId="0" fillId="0" borderId="0" xfId="0" applyProtection="1">
      <protection locked="0"/>
    </xf>
    <xf numFmtId="0" fontId="28" fillId="6" borderId="0" xfId="0" applyFont="1" applyFill="1"/>
    <xf numFmtId="0" fontId="28" fillId="3" borderId="0" xfId="0" applyFont="1" applyFill="1"/>
    <xf numFmtId="0" fontId="0" fillId="6" borderId="0" xfId="0" applyFill="1"/>
    <xf numFmtId="0" fontId="15" fillId="0" borderId="0" xfId="0" applyFont="1"/>
    <xf numFmtId="0" fontId="49" fillId="0" borderId="0" xfId="0" applyFont="1"/>
    <xf numFmtId="0" fontId="21" fillId="0" borderId="0" xfId="0" applyFont="1" applyAlignment="1">
      <alignment horizontal="left" indent="1"/>
    </xf>
    <xf numFmtId="0" fontId="8" fillId="0" borderId="0" xfId="0" applyFont="1" applyAlignment="1">
      <alignment horizontal="right"/>
    </xf>
    <xf numFmtId="14" fontId="21" fillId="2" borderId="0" xfId="0" applyNumberFormat="1" applyFont="1" applyFill="1"/>
    <xf numFmtId="164" fontId="35" fillId="6" borderId="0" xfId="0" applyNumberFormat="1" applyFont="1" applyFill="1" applyAlignment="1" applyProtection="1">
      <alignment horizontal="left"/>
      <protection locked="0"/>
    </xf>
    <xf numFmtId="164" fontId="0" fillId="6" borderId="0" xfId="0" applyNumberFormat="1" applyFill="1" applyProtection="1">
      <protection locked="0"/>
    </xf>
    <xf numFmtId="164" fontId="0" fillId="6" borderId="0" xfId="0" applyNumberFormat="1" applyFill="1" applyAlignment="1" applyProtection="1">
      <alignment horizontal="right"/>
      <protection locked="0"/>
    </xf>
    <xf numFmtId="164" fontId="0" fillId="0" borderId="0" xfId="0" applyNumberFormat="1" applyAlignment="1" applyProtection="1">
      <alignment horizontal="left"/>
      <protection locked="0"/>
    </xf>
    <xf numFmtId="164" fontId="0" fillId="0" borderId="0" xfId="0" applyNumberFormat="1" applyProtection="1">
      <protection locked="0"/>
    </xf>
    <xf numFmtId="164" fontId="15" fillId="6" borderId="0" xfId="0" applyNumberFormat="1" applyFont="1" applyFill="1" applyAlignment="1" applyProtection="1">
      <alignment horizontal="left"/>
      <protection locked="0"/>
    </xf>
    <xf numFmtId="164" fontId="24" fillId="6" borderId="0" xfId="0" applyNumberFormat="1" applyFont="1" applyFill="1" applyProtection="1">
      <protection locked="0"/>
    </xf>
    <xf numFmtId="164" fontId="9" fillId="6" borderId="0" xfId="0" applyNumberFormat="1" applyFont="1" applyFill="1" applyAlignment="1" applyProtection="1">
      <alignment horizontal="right"/>
      <protection locked="0"/>
    </xf>
    <xf numFmtId="0" fontId="9" fillId="0" borderId="0" xfId="0" applyFont="1" applyAlignment="1" applyProtection="1">
      <alignment horizontal="left"/>
      <protection locked="0"/>
    </xf>
    <xf numFmtId="0" fontId="9" fillId="0" borderId="0" xfId="0" applyFont="1" applyProtection="1">
      <protection locked="0"/>
    </xf>
    <xf numFmtId="9" fontId="0" fillId="0" borderId="0" xfId="3" applyFont="1" applyProtection="1">
      <protection locked="0"/>
    </xf>
    <xf numFmtId="49" fontId="0" fillId="6" borderId="0" xfId="0" applyNumberFormat="1" applyFill="1" applyProtection="1">
      <protection locked="0"/>
    </xf>
    <xf numFmtId="0" fontId="0" fillId="0" borderId="0" xfId="0" applyProtection="1">
      <protection hidden="1"/>
    </xf>
    <xf numFmtId="0" fontId="0" fillId="0" borderId="5" xfId="0" applyBorder="1" applyProtection="1">
      <protection locked="0"/>
    </xf>
    <xf numFmtId="164" fontId="0" fillId="6" borderId="5" xfId="0" applyNumberFormat="1" applyFill="1" applyBorder="1" applyProtection="1">
      <protection locked="0"/>
    </xf>
    <xf numFmtId="164" fontId="0" fillId="0" borderId="5" xfId="0" applyNumberFormat="1" applyBorder="1" applyProtection="1">
      <protection locked="0"/>
    </xf>
    <xf numFmtId="8" fontId="0" fillId="0" borderId="0" xfId="1" applyNumberFormat="1" applyFont="1" applyProtection="1">
      <protection locked="0"/>
    </xf>
    <xf numFmtId="8" fontId="9" fillId="0" borderId="0" xfId="1" applyNumberFormat="1" applyFont="1" applyFill="1" applyAlignment="1" applyProtection="1">
      <alignment horizontal="right"/>
      <protection locked="0"/>
    </xf>
    <xf numFmtId="17" fontId="19" fillId="4" borderId="0" xfId="0" applyNumberFormat="1" applyFont="1" applyFill="1" applyProtection="1">
      <protection locked="0"/>
    </xf>
    <xf numFmtId="17" fontId="9" fillId="0" borderId="0" xfId="0" applyNumberFormat="1" applyFont="1" applyProtection="1">
      <protection locked="0"/>
    </xf>
    <xf numFmtId="17" fontId="9" fillId="0" borderId="5" xfId="0" applyNumberFormat="1" applyFont="1" applyBorder="1" applyProtection="1">
      <protection locked="0"/>
    </xf>
    <xf numFmtId="8" fontId="9" fillId="0" borderId="0" xfId="1" applyNumberFormat="1" applyFont="1" applyProtection="1">
      <protection locked="0"/>
    </xf>
    <xf numFmtId="8" fontId="9" fillId="0" borderId="0" xfId="1" applyNumberFormat="1" applyFont="1" applyBorder="1" applyProtection="1">
      <protection locked="0"/>
    </xf>
    <xf numFmtId="0" fontId="0" fillId="0" borderId="0" xfId="1" applyNumberFormat="1" applyFont="1" applyProtection="1">
      <protection locked="0"/>
    </xf>
    <xf numFmtId="0" fontId="14" fillId="2" borderId="0" xfId="1" applyNumberFormat="1" applyFont="1" applyFill="1" applyProtection="1">
      <protection locked="0"/>
    </xf>
    <xf numFmtId="8" fontId="0" fillId="0" borderId="0" xfId="1" applyNumberFormat="1" applyFont="1" applyFill="1" applyProtection="1">
      <protection locked="0"/>
    </xf>
    <xf numFmtId="9" fontId="0" fillId="0" borderId="0" xfId="3" applyFont="1" applyFill="1" applyProtection="1">
      <protection locked="0"/>
    </xf>
    <xf numFmtId="173" fontId="0" fillId="0" borderId="0" xfId="1" applyNumberFormat="1" applyFont="1" applyFill="1" applyProtection="1">
      <protection locked="0"/>
    </xf>
    <xf numFmtId="9" fontId="0" fillId="0" borderId="0" xfId="3" applyFont="1" applyFill="1" applyAlignment="1" applyProtection="1">
      <alignment horizontal="center"/>
      <protection locked="0"/>
    </xf>
    <xf numFmtId="9" fontId="10" fillId="0" borderId="0" xfId="3" applyFont="1" applyProtection="1">
      <protection locked="0"/>
    </xf>
    <xf numFmtId="9" fontId="10" fillId="0" borderId="5" xfId="3" applyFont="1" applyBorder="1" applyProtection="1">
      <protection locked="0"/>
    </xf>
    <xf numFmtId="9" fontId="30" fillId="0" borderId="0" xfId="3" applyFont="1" applyProtection="1">
      <protection locked="0"/>
    </xf>
    <xf numFmtId="0" fontId="9" fillId="0" borderId="0" xfId="0" applyFont="1" applyAlignment="1" applyProtection="1">
      <alignment horizontal="right"/>
      <protection locked="0"/>
    </xf>
    <xf numFmtId="6" fontId="9" fillId="0" borderId="0" xfId="0" applyNumberFormat="1" applyFont="1" applyProtection="1">
      <protection locked="0"/>
    </xf>
    <xf numFmtId="6" fontId="0" fillId="0" borderId="0" xfId="0" applyNumberFormat="1" applyProtection="1">
      <protection locked="0"/>
    </xf>
    <xf numFmtId="0" fontId="0" fillId="6" borderId="0" xfId="0" applyFill="1" applyProtection="1">
      <protection locked="0"/>
    </xf>
    <xf numFmtId="6" fontId="0" fillId="0" borderId="5" xfId="0" applyNumberFormat="1" applyBorder="1" applyProtection="1">
      <protection locked="0"/>
    </xf>
    <xf numFmtId="6" fontId="0" fillId="2" borderId="0" xfId="1" applyNumberFormat="1" applyFont="1" applyFill="1" applyBorder="1" applyProtection="1">
      <protection locked="0"/>
    </xf>
    <xf numFmtId="6" fontId="0" fillId="0" borderId="0" xfId="1" applyNumberFormat="1" applyFont="1" applyProtection="1">
      <protection locked="0"/>
    </xf>
    <xf numFmtId="6" fontId="0" fillId="0" borderId="5" xfId="1" applyNumberFormat="1" applyFont="1" applyBorder="1" applyProtection="1">
      <protection locked="0"/>
    </xf>
    <xf numFmtId="0" fontId="14" fillId="0" borderId="0" xfId="0" quotePrefix="1" applyFont="1" applyProtection="1">
      <protection locked="0"/>
    </xf>
    <xf numFmtId="164" fontId="21" fillId="6" borderId="0" xfId="0" applyNumberFormat="1" applyFont="1" applyFill="1" applyAlignment="1" applyProtection="1">
      <alignment horizontal="left"/>
      <protection locked="0"/>
    </xf>
    <xf numFmtId="164" fontId="9" fillId="0" borderId="0" xfId="0" applyNumberFormat="1" applyFont="1" applyAlignment="1" applyProtection="1">
      <alignment horizontal="left"/>
      <protection locked="0"/>
    </xf>
    <xf numFmtId="1" fontId="0" fillId="0" borderId="0" xfId="2" applyNumberFormat="1" applyFont="1" applyProtection="1">
      <protection locked="0"/>
    </xf>
    <xf numFmtId="1" fontId="9" fillId="0" borderId="8" xfId="2" applyNumberFormat="1" applyFont="1" applyBorder="1" applyAlignment="1" applyProtection="1">
      <alignment horizontal="left"/>
      <protection locked="0"/>
    </xf>
    <xf numFmtId="1" fontId="0" fillId="0" borderId="9" xfId="2" applyNumberFormat="1" applyFont="1" applyBorder="1" applyProtection="1">
      <protection locked="0"/>
    </xf>
    <xf numFmtId="1" fontId="9" fillId="2" borderId="9" xfId="2" applyNumberFormat="1" applyFont="1" applyFill="1" applyBorder="1" applyProtection="1">
      <protection locked="0"/>
    </xf>
    <xf numFmtId="1" fontId="9" fillId="0" borderId="9" xfId="2" applyNumberFormat="1" applyFont="1" applyBorder="1" applyProtection="1">
      <protection locked="0"/>
    </xf>
    <xf numFmtId="1" fontId="9" fillId="0" borderId="10" xfId="2" applyNumberFormat="1" applyFont="1" applyBorder="1" applyProtection="1">
      <protection locked="0"/>
    </xf>
    <xf numFmtId="1" fontId="0" fillId="0" borderId="5" xfId="2" applyNumberFormat="1" applyFont="1" applyBorder="1" applyProtection="1">
      <protection locked="0"/>
    </xf>
    <xf numFmtId="1" fontId="0" fillId="0" borderId="0" xfId="2" applyNumberFormat="1" applyFont="1" applyFill="1" applyBorder="1" applyProtection="1">
      <protection locked="0"/>
    </xf>
    <xf numFmtId="1" fontId="0" fillId="0" borderId="5" xfId="2" applyNumberFormat="1" applyFont="1" applyFill="1" applyBorder="1" applyProtection="1">
      <protection locked="0"/>
    </xf>
    <xf numFmtId="164" fontId="0" fillId="0" borderId="0" xfId="1" applyNumberFormat="1" applyFont="1" applyProtection="1">
      <protection locked="0"/>
    </xf>
    <xf numFmtId="164" fontId="0" fillId="0" borderId="0" xfId="1" applyNumberFormat="1" applyFont="1" applyBorder="1" applyProtection="1">
      <protection locked="0"/>
    </xf>
    <xf numFmtId="6" fontId="0" fillId="2" borderId="12" xfId="1" applyNumberFormat="1" applyFont="1" applyFill="1" applyBorder="1" applyProtection="1">
      <protection locked="0"/>
    </xf>
    <xf numFmtId="164" fontId="0" fillId="0" borderId="5" xfId="1" applyNumberFormat="1" applyFont="1" applyBorder="1" applyProtection="1">
      <protection locked="0"/>
    </xf>
    <xf numFmtId="164" fontId="0" fillId="0" borderId="0" xfId="1" applyNumberFormat="1" applyFont="1" applyFill="1" applyBorder="1" applyProtection="1">
      <protection locked="0"/>
    </xf>
    <xf numFmtId="164" fontId="0" fillId="0" borderId="0" xfId="1" applyNumberFormat="1" applyFont="1" applyFill="1" applyProtection="1">
      <protection locked="0"/>
    </xf>
    <xf numFmtId="164" fontId="0" fillId="0" borderId="5" xfId="1" applyNumberFormat="1" applyFont="1" applyFill="1" applyBorder="1" applyProtection="1">
      <protection locked="0"/>
    </xf>
    <xf numFmtId="164" fontId="14" fillId="0" borderId="0" xfId="1" applyNumberFormat="1" applyFont="1" applyProtection="1">
      <protection locked="0"/>
    </xf>
    <xf numFmtId="164" fontId="0" fillId="2" borderId="0" xfId="1" applyNumberFormat="1" applyFont="1" applyFill="1" applyBorder="1" applyProtection="1">
      <protection locked="0"/>
    </xf>
    <xf numFmtId="164" fontId="0" fillId="2" borderId="12" xfId="1" applyNumberFormat="1" applyFont="1" applyFill="1" applyBorder="1" applyProtection="1">
      <protection locked="0"/>
    </xf>
    <xf numFmtId="164" fontId="0" fillId="0" borderId="14" xfId="1" applyNumberFormat="1" applyFont="1" applyBorder="1" applyProtection="1">
      <protection locked="0"/>
    </xf>
    <xf numFmtId="164" fontId="0" fillId="2" borderId="14" xfId="1" applyNumberFormat="1" applyFont="1" applyFill="1" applyBorder="1" applyProtection="1">
      <protection locked="0"/>
    </xf>
    <xf numFmtId="164" fontId="0" fillId="2" borderId="15" xfId="1" applyNumberFormat="1" applyFont="1" applyFill="1" applyBorder="1" applyProtection="1">
      <protection locked="0"/>
    </xf>
    <xf numFmtId="164" fontId="14" fillId="0" borderId="0" xfId="1" applyNumberFormat="1" applyFont="1" applyFill="1" applyProtection="1">
      <protection locked="0"/>
    </xf>
    <xf numFmtId="164" fontId="0" fillId="0" borderId="0" xfId="2" applyNumberFormat="1" applyFont="1" applyFill="1" applyProtection="1">
      <protection locked="0"/>
    </xf>
    <xf numFmtId="164" fontId="9" fillId="0" borderId="8" xfId="3" applyNumberFormat="1" applyFont="1" applyFill="1" applyBorder="1" applyAlignment="1" applyProtection="1">
      <alignment horizontal="left"/>
      <protection locked="0"/>
    </xf>
    <xf numFmtId="164" fontId="0" fillId="0" borderId="9" xfId="1" applyNumberFormat="1" applyFont="1" applyFill="1" applyBorder="1" applyProtection="1">
      <protection locked="0"/>
    </xf>
    <xf numFmtId="164" fontId="27" fillId="0" borderId="10" xfId="1" applyNumberFormat="1" applyFont="1" applyFill="1" applyBorder="1" applyProtection="1">
      <protection locked="0"/>
    </xf>
    <xf numFmtId="164" fontId="27" fillId="0" borderId="0" xfId="1" applyNumberFormat="1" applyFont="1" applyFill="1" applyBorder="1" applyProtection="1">
      <protection locked="0"/>
    </xf>
    <xf numFmtId="164" fontId="0" fillId="0" borderId="11" xfId="3" applyNumberFormat="1" applyFont="1" applyBorder="1" applyAlignment="1" applyProtection="1">
      <alignment horizontal="left"/>
      <protection locked="0"/>
    </xf>
    <xf numFmtId="170" fontId="14" fillId="0" borderId="0" xfId="3" applyNumberFormat="1" applyFont="1" applyProtection="1">
      <protection locked="0"/>
    </xf>
    <xf numFmtId="170" fontId="0" fillId="0" borderId="11" xfId="3" applyNumberFormat="1" applyFont="1" applyBorder="1" applyAlignment="1" applyProtection="1">
      <alignment horizontal="left"/>
      <protection locked="0"/>
    </xf>
    <xf numFmtId="170" fontId="0" fillId="0" borderId="0" xfId="3" applyNumberFormat="1" applyFont="1" applyBorder="1" applyProtection="1">
      <protection locked="0"/>
    </xf>
    <xf numFmtId="170" fontId="0" fillId="2" borderId="12" xfId="3" applyNumberFormat="1" applyFont="1" applyFill="1" applyBorder="1" applyProtection="1">
      <protection locked="0"/>
    </xf>
    <xf numFmtId="170" fontId="0" fillId="0" borderId="0" xfId="3" applyNumberFormat="1" applyFont="1" applyProtection="1">
      <protection locked="0"/>
    </xf>
    <xf numFmtId="170" fontId="0" fillId="0" borderId="5" xfId="3" applyNumberFormat="1" applyFont="1" applyBorder="1" applyProtection="1">
      <protection locked="0"/>
    </xf>
    <xf numFmtId="170" fontId="0" fillId="0" borderId="0" xfId="3" applyNumberFormat="1" applyFont="1" applyFill="1" applyBorder="1" applyProtection="1">
      <protection locked="0"/>
    </xf>
    <xf numFmtId="170" fontId="0" fillId="0" borderId="0" xfId="3" applyNumberFormat="1" applyFont="1" applyFill="1" applyProtection="1">
      <protection locked="0"/>
    </xf>
    <xf numFmtId="170" fontId="0" fillId="0" borderId="5" xfId="3" applyNumberFormat="1" applyFont="1" applyFill="1" applyBorder="1" applyProtection="1">
      <protection locked="0"/>
    </xf>
    <xf numFmtId="164" fontId="0" fillId="0" borderId="13" xfId="0" applyNumberFormat="1" applyBorder="1" applyAlignment="1" applyProtection="1">
      <alignment horizontal="left"/>
      <protection locked="0"/>
    </xf>
    <xf numFmtId="1" fontId="0" fillId="2" borderId="15" xfId="2" applyNumberFormat="1" applyFont="1" applyFill="1" applyBorder="1" applyProtection="1">
      <protection locked="0"/>
    </xf>
    <xf numFmtId="164" fontId="24" fillId="0" borderId="8" xfId="0" applyNumberFormat="1" applyFont="1" applyBorder="1" applyProtection="1">
      <protection locked="0"/>
    </xf>
    <xf numFmtId="1" fontId="9" fillId="0" borderId="9" xfId="2" applyNumberFormat="1" applyFont="1" applyFill="1" applyBorder="1" applyProtection="1">
      <protection locked="0"/>
    </xf>
    <xf numFmtId="1" fontId="9" fillId="0" borderId="10" xfId="2" applyNumberFormat="1" applyFont="1" applyFill="1" applyBorder="1" applyProtection="1">
      <protection locked="0"/>
    </xf>
    <xf numFmtId="164" fontId="0" fillId="0" borderId="11" xfId="0" applyNumberFormat="1" applyBorder="1" applyAlignment="1" applyProtection="1">
      <alignment horizontal="left"/>
      <protection locked="0"/>
    </xf>
    <xf numFmtId="164" fontId="0" fillId="0" borderId="0" xfId="2" applyNumberFormat="1" applyFont="1" applyFill="1" applyBorder="1" applyProtection="1">
      <protection locked="0"/>
    </xf>
    <xf numFmtId="164" fontId="0" fillId="0" borderId="12" xfId="2" applyNumberFormat="1" applyFont="1" applyFill="1" applyBorder="1" applyProtection="1">
      <protection locked="0"/>
    </xf>
    <xf numFmtId="164" fontId="0" fillId="0" borderId="14" xfId="1" applyNumberFormat="1" applyFont="1" applyFill="1" applyBorder="1" applyProtection="1">
      <protection locked="0"/>
    </xf>
    <xf numFmtId="164" fontId="0" fillId="0" borderId="14" xfId="2" applyNumberFormat="1" applyFont="1" applyFill="1" applyBorder="1" applyProtection="1">
      <protection locked="0"/>
    </xf>
    <xf numFmtId="164" fontId="0" fillId="0" borderId="15" xfId="2" applyNumberFormat="1" applyFont="1" applyFill="1" applyBorder="1" applyProtection="1">
      <protection locked="0"/>
    </xf>
    <xf numFmtId="164" fontId="24" fillId="0" borderId="0" xfId="0" applyNumberFormat="1" applyFont="1" applyProtection="1">
      <protection locked="0"/>
    </xf>
    <xf numFmtId="172" fontId="0" fillId="0" borderId="0" xfId="2" applyNumberFormat="1" applyFont="1" applyFill="1" applyProtection="1">
      <protection locked="0"/>
    </xf>
    <xf numFmtId="164" fontId="9" fillId="0" borderId="8" xfId="0" applyNumberFormat="1" applyFont="1" applyBorder="1" applyAlignment="1" applyProtection="1">
      <alignment horizontal="left"/>
      <protection locked="0"/>
    </xf>
    <xf numFmtId="164" fontId="0" fillId="0" borderId="9" xfId="2" applyNumberFormat="1" applyFont="1" applyFill="1" applyBorder="1" applyProtection="1">
      <protection locked="0"/>
    </xf>
    <xf numFmtId="164" fontId="0" fillId="0" borderId="9" xfId="0" applyNumberFormat="1" applyBorder="1" applyProtection="1">
      <protection locked="0"/>
    </xf>
    <xf numFmtId="164" fontId="0" fillId="0" borderId="10" xfId="0" applyNumberFormat="1" applyBorder="1" applyProtection="1">
      <protection locked="0"/>
    </xf>
    <xf numFmtId="164" fontId="0" fillId="0" borderId="11" xfId="1" applyNumberFormat="1" applyFont="1" applyBorder="1" applyProtection="1">
      <protection locked="0"/>
    </xf>
    <xf numFmtId="164" fontId="9" fillId="0" borderId="0" xfId="1" applyNumberFormat="1" applyFont="1" applyFill="1" applyBorder="1" applyAlignment="1" applyProtection="1">
      <alignment horizontal="center"/>
      <protection locked="0"/>
    </xf>
    <xf numFmtId="164" fontId="9" fillId="0" borderId="12" xfId="1" applyNumberFormat="1" applyFont="1" applyBorder="1" applyAlignment="1" applyProtection="1">
      <alignment horizontal="center"/>
      <protection locked="0"/>
    </xf>
    <xf numFmtId="173" fontId="0" fillId="2" borderId="12" xfId="0" applyNumberFormat="1" applyFill="1" applyBorder="1" applyProtection="1">
      <protection locked="0"/>
    </xf>
    <xf numFmtId="169" fontId="0" fillId="2" borderId="0" xfId="2" applyNumberFormat="1" applyFont="1" applyFill="1" applyBorder="1" applyAlignment="1" applyProtection="1">
      <alignment horizontal="center" vertical="center"/>
      <protection locked="0"/>
    </xf>
    <xf numFmtId="164" fontId="29" fillId="0" borderId="12" xfId="1" applyNumberFormat="1" applyFont="1" applyBorder="1" applyAlignment="1" applyProtection="1">
      <alignment horizontal="center"/>
      <protection locked="0"/>
    </xf>
    <xf numFmtId="173" fontId="0" fillId="0" borderId="12" xfId="0" applyNumberFormat="1" applyBorder="1" applyProtection="1">
      <protection locked="0"/>
    </xf>
    <xf numFmtId="169" fontId="0" fillId="2" borderId="14" xfId="2" applyNumberFormat="1" applyFont="1" applyFill="1" applyBorder="1" applyAlignment="1" applyProtection="1">
      <alignment horizontal="center" vertical="center"/>
      <protection locked="0"/>
    </xf>
    <xf numFmtId="164" fontId="29" fillId="0" borderId="15" xfId="1" applyNumberFormat="1" applyFont="1" applyBorder="1" applyAlignment="1" applyProtection="1">
      <alignment horizontal="center"/>
      <protection locked="0"/>
    </xf>
    <xf numFmtId="164" fontId="0" fillId="0" borderId="14" xfId="0" applyNumberFormat="1" applyBorder="1" applyProtection="1">
      <protection locked="0"/>
    </xf>
    <xf numFmtId="173" fontId="0" fillId="2" borderId="15" xfId="0" applyNumberFormat="1" applyFill="1" applyBorder="1" applyProtection="1">
      <protection locked="0"/>
    </xf>
    <xf numFmtId="164" fontId="27" fillId="0" borderId="0" xfId="1" applyNumberFormat="1" applyFont="1" applyFill="1" applyProtection="1">
      <protection locked="0"/>
    </xf>
    <xf numFmtId="164" fontId="9" fillId="0" borderId="8" xfId="3" applyNumberFormat="1" applyFont="1" applyBorder="1" applyAlignment="1" applyProtection="1">
      <alignment horizontal="left"/>
      <protection locked="0"/>
    </xf>
    <xf numFmtId="164" fontId="0" fillId="0" borderId="9" xfId="1" applyNumberFormat="1" applyFont="1" applyBorder="1" applyProtection="1">
      <protection locked="0"/>
    </xf>
    <xf numFmtId="164" fontId="0" fillId="0" borderId="10" xfId="1" applyNumberFormat="1" applyFont="1" applyFill="1" applyBorder="1" applyProtection="1">
      <protection locked="0"/>
    </xf>
    <xf numFmtId="164" fontId="9" fillId="0" borderId="16" xfId="0" applyNumberFormat="1" applyFont="1" applyBorder="1" applyAlignment="1" applyProtection="1">
      <alignment horizontal="left"/>
      <protection locked="0"/>
    </xf>
    <xf numFmtId="164" fontId="0" fillId="0" borderId="17" xfId="0" applyNumberFormat="1" applyBorder="1" applyProtection="1">
      <protection locked="0"/>
    </xf>
    <xf numFmtId="9" fontId="0" fillId="2" borderId="18" xfId="3" applyFont="1" applyFill="1" applyBorder="1" applyProtection="1">
      <protection locked="0"/>
    </xf>
    <xf numFmtId="164" fontId="28" fillId="2" borderId="12" xfId="1" applyNumberFormat="1" applyFont="1" applyFill="1" applyBorder="1" applyProtection="1">
      <protection locked="0"/>
    </xf>
    <xf numFmtId="164" fontId="0" fillId="0" borderId="13" xfId="3" applyNumberFormat="1" applyFont="1" applyBorder="1" applyAlignment="1" applyProtection="1">
      <alignment horizontal="left"/>
      <protection locked="0"/>
    </xf>
    <xf numFmtId="164" fontId="28" fillId="2" borderId="15" xfId="1" applyNumberFormat="1" applyFont="1" applyFill="1" applyBorder="1" applyProtection="1">
      <protection locked="0"/>
    </xf>
    <xf numFmtId="164" fontId="0" fillId="0" borderId="0" xfId="2" applyNumberFormat="1" applyFont="1" applyProtection="1">
      <protection locked="0"/>
    </xf>
    <xf numFmtId="164" fontId="0" fillId="0" borderId="5" xfId="2" applyNumberFormat="1" applyFont="1" applyBorder="1" applyProtection="1">
      <protection locked="0"/>
    </xf>
    <xf numFmtId="164" fontId="0" fillId="0" borderId="5" xfId="2" applyNumberFormat="1" applyFont="1" applyFill="1" applyBorder="1" applyProtection="1">
      <protection locked="0"/>
    </xf>
    <xf numFmtId="164" fontId="0" fillId="6" borderId="0" xfId="1" applyNumberFormat="1" applyFont="1" applyFill="1" applyProtection="1">
      <protection locked="0"/>
    </xf>
    <xf numFmtId="164" fontId="24" fillId="6" borderId="0" xfId="1" applyNumberFormat="1" applyFont="1" applyFill="1" applyProtection="1">
      <protection locked="0"/>
    </xf>
    <xf numFmtId="164" fontId="0" fillId="6" borderId="5" xfId="1" applyNumberFormat="1" applyFont="1" applyFill="1" applyBorder="1" applyProtection="1">
      <protection locked="0"/>
    </xf>
    <xf numFmtId="164" fontId="0" fillId="6" borderId="0" xfId="1" applyNumberFormat="1" applyFont="1" applyFill="1" applyBorder="1" applyProtection="1">
      <protection locked="0"/>
    </xf>
    <xf numFmtId="164" fontId="8" fillId="0" borderId="0" xfId="0" applyNumberFormat="1" applyFont="1" applyAlignment="1" applyProtection="1">
      <alignment horizontal="left"/>
      <protection locked="0"/>
    </xf>
    <xf numFmtId="17" fontId="19" fillId="0" borderId="0" xfId="0" applyNumberFormat="1" applyFont="1" applyProtection="1">
      <protection locked="0"/>
    </xf>
    <xf numFmtId="164" fontId="9" fillId="0" borderId="0" xfId="1" applyNumberFormat="1" applyFont="1" applyProtection="1">
      <protection locked="0"/>
    </xf>
    <xf numFmtId="164" fontId="34" fillId="0" borderId="0" xfId="0" applyNumberFormat="1" applyFont="1" applyAlignment="1" applyProtection="1">
      <alignment horizontal="left"/>
      <protection locked="0"/>
    </xf>
    <xf numFmtId="1" fontId="33" fillId="0" borderId="0" xfId="1" applyNumberFormat="1" applyFont="1" applyProtection="1">
      <protection locked="0"/>
    </xf>
    <xf numFmtId="1" fontId="33" fillId="0" borderId="5" xfId="1" applyNumberFormat="1" applyFont="1" applyBorder="1" applyProtection="1">
      <protection locked="0"/>
    </xf>
    <xf numFmtId="1" fontId="31" fillId="0" borderId="0" xfId="1" applyNumberFormat="1" applyFont="1" applyProtection="1">
      <protection locked="0"/>
    </xf>
    <xf numFmtId="1" fontId="31" fillId="0" borderId="5" xfId="1" applyNumberFormat="1" applyFont="1" applyBorder="1" applyProtection="1">
      <protection locked="0"/>
    </xf>
    <xf numFmtId="164" fontId="9" fillId="6" borderId="0" xfId="1" applyNumberFormat="1" applyFont="1" applyFill="1" applyProtection="1">
      <protection locked="0"/>
    </xf>
    <xf numFmtId="164" fontId="19" fillId="6" borderId="0" xfId="0" applyNumberFormat="1" applyFont="1" applyFill="1" applyAlignment="1" applyProtection="1">
      <alignment horizontal="left"/>
      <protection locked="0"/>
    </xf>
    <xf numFmtId="164" fontId="9" fillId="6" borderId="5" xfId="1" applyNumberFormat="1" applyFont="1" applyFill="1" applyBorder="1" applyProtection="1">
      <protection locked="0"/>
    </xf>
    <xf numFmtId="164" fontId="14" fillId="0" borderId="0" xfId="0" applyNumberFormat="1" applyFont="1" applyAlignment="1" applyProtection="1">
      <alignment horizontal="left"/>
      <protection locked="0"/>
    </xf>
    <xf numFmtId="9" fontId="20" fillId="0" borderId="0" xfId="3" applyFont="1" applyAlignment="1" applyProtection="1">
      <alignment horizontal="left"/>
      <protection locked="0"/>
    </xf>
    <xf numFmtId="164" fontId="19" fillId="0" borderId="0" xfId="0" applyNumberFormat="1" applyFont="1" applyAlignment="1" applyProtection="1">
      <alignment horizontal="left"/>
      <protection locked="0"/>
    </xf>
    <xf numFmtId="164" fontId="42" fillId="0" borderId="0" xfId="0" applyNumberFormat="1" applyFont="1" applyProtection="1">
      <protection locked="0"/>
    </xf>
    <xf numFmtId="164" fontId="0" fillId="2" borderId="0" xfId="1" applyNumberFormat="1" applyFont="1" applyFill="1" applyProtection="1">
      <protection locked="0"/>
    </xf>
    <xf numFmtId="164" fontId="9" fillId="0" borderId="5" xfId="1" applyNumberFormat="1" applyFont="1" applyBorder="1" applyProtection="1">
      <protection locked="0"/>
    </xf>
    <xf numFmtId="164" fontId="9" fillId="6" borderId="0" xfId="1" applyNumberFormat="1" applyFont="1" applyFill="1" applyBorder="1" applyProtection="1">
      <protection locked="0"/>
    </xf>
    <xf numFmtId="164" fontId="11" fillId="0" borderId="0" xfId="1" applyNumberFormat="1" applyFont="1" applyFill="1" applyAlignment="1" applyProtection="1">
      <alignment horizontal="right"/>
      <protection locked="0"/>
    </xf>
    <xf numFmtId="164" fontId="9" fillId="0" borderId="0" xfId="1" applyNumberFormat="1" applyFont="1" applyBorder="1" applyProtection="1">
      <protection locked="0"/>
    </xf>
    <xf numFmtId="9" fontId="4" fillId="0" borderId="0" xfId="3" applyFont="1" applyFill="1" applyProtection="1">
      <protection locked="0"/>
    </xf>
    <xf numFmtId="164" fontId="4" fillId="0" borderId="0" xfId="1" applyNumberFormat="1" applyFont="1" applyProtection="1">
      <protection locked="0"/>
    </xf>
    <xf numFmtId="164" fontId="4" fillId="0" borderId="5" xfId="1" applyNumberFormat="1" applyFont="1" applyBorder="1" applyProtection="1">
      <protection locked="0"/>
    </xf>
    <xf numFmtId="164" fontId="9" fillId="6" borderId="0" xfId="0" applyNumberFormat="1" applyFont="1" applyFill="1" applyAlignment="1" applyProtection="1">
      <alignment horizontal="left"/>
      <protection locked="0"/>
    </xf>
    <xf numFmtId="164" fontId="24" fillId="6" borderId="0" xfId="0" applyNumberFormat="1" applyFont="1" applyFill="1" applyAlignment="1" applyProtection="1">
      <alignment horizontal="left"/>
      <protection locked="0"/>
    </xf>
    <xf numFmtId="164" fontId="0" fillId="0" borderId="0" xfId="0" applyNumberFormat="1" applyAlignment="1" applyProtection="1">
      <alignment horizontal="left" indent="1"/>
      <protection locked="0"/>
    </xf>
    <xf numFmtId="164" fontId="9" fillId="0" borderId="0" xfId="0" applyNumberFormat="1" applyFont="1" applyAlignment="1" applyProtection="1">
      <alignment horizontal="left" indent="1"/>
      <protection locked="0"/>
    </xf>
    <xf numFmtId="164" fontId="9" fillId="0" borderId="0" xfId="0" applyNumberFormat="1" applyFont="1" applyProtection="1">
      <protection locked="0"/>
    </xf>
    <xf numFmtId="164" fontId="9" fillId="0" borderId="0" xfId="1" applyNumberFormat="1" applyFont="1" applyFill="1" applyProtection="1">
      <protection locked="0"/>
    </xf>
    <xf numFmtId="164" fontId="1" fillId="0" borderId="0" xfId="1" applyNumberFormat="1" applyFont="1" applyFill="1" applyProtection="1">
      <protection locked="0"/>
    </xf>
    <xf numFmtId="1" fontId="30" fillId="0" borderId="0" xfId="2" applyNumberFormat="1" applyFont="1" applyFill="1" applyAlignment="1" applyProtection="1">
      <alignment horizontal="left"/>
      <protection locked="0"/>
    </xf>
    <xf numFmtId="164" fontId="9" fillId="0" borderId="0" xfId="1" applyNumberFormat="1" applyFont="1" applyFill="1" applyBorder="1" applyProtection="1">
      <protection locked="0"/>
    </xf>
    <xf numFmtId="164" fontId="9" fillId="0" borderId="5" xfId="1" applyNumberFormat="1" applyFont="1" applyFill="1" applyBorder="1" applyProtection="1">
      <protection locked="0"/>
    </xf>
    <xf numFmtId="164" fontId="0" fillId="0" borderId="0" xfId="0" applyNumberFormat="1" applyAlignment="1" applyProtection="1">
      <alignment horizontal="left" indent="2"/>
      <protection locked="0"/>
    </xf>
    <xf numFmtId="164" fontId="1" fillId="0" borderId="0" xfId="1" applyNumberFormat="1" applyFont="1" applyProtection="1">
      <protection locked="0"/>
    </xf>
    <xf numFmtId="164" fontId="1" fillId="0" borderId="5" xfId="1" applyNumberFormat="1" applyFont="1" applyBorder="1" applyProtection="1">
      <protection locked="0"/>
    </xf>
    <xf numFmtId="164" fontId="1" fillId="0" borderId="0" xfId="1" applyNumberFormat="1" applyFont="1" applyFill="1" applyBorder="1" applyProtection="1">
      <protection locked="0"/>
    </xf>
    <xf numFmtId="164" fontId="1" fillId="0" borderId="5" xfId="1" applyNumberFormat="1" applyFont="1" applyFill="1" applyBorder="1" applyProtection="1">
      <protection locked="0"/>
    </xf>
    <xf numFmtId="164" fontId="9" fillId="0" borderId="0" xfId="0" applyNumberFormat="1" applyFont="1" applyAlignment="1" applyProtection="1">
      <alignment horizontal="right"/>
      <protection locked="0"/>
    </xf>
    <xf numFmtId="164" fontId="19" fillId="6" borderId="0" xfId="0" applyNumberFormat="1" applyFont="1" applyFill="1" applyAlignment="1" applyProtection="1">
      <alignment horizontal="left" indent="1"/>
      <protection locked="0"/>
    </xf>
    <xf numFmtId="164" fontId="0" fillId="0" borderId="7" xfId="1" applyNumberFormat="1" applyFont="1" applyBorder="1" applyProtection="1">
      <protection locked="0"/>
    </xf>
    <xf numFmtId="164" fontId="0" fillId="0" borderId="2" xfId="1" applyNumberFormat="1" applyFont="1" applyBorder="1" applyProtection="1">
      <protection locked="0"/>
    </xf>
    <xf numFmtId="164" fontId="2" fillId="0" borderId="0" xfId="1" applyNumberFormat="1" applyFont="1" applyFill="1" applyProtection="1">
      <protection locked="0"/>
    </xf>
    <xf numFmtId="164" fontId="5" fillId="6" borderId="0" xfId="1" applyNumberFormat="1" applyFont="1" applyFill="1" applyProtection="1">
      <protection locked="0"/>
    </xf>
    <xf numFmtId="164" fontId="5" fillId="0" borderId="0" xfId="1" applyNumberFormat="1" applyFont="1" applyFill="1" applyProtection="1">
      <protection locked="0"/>
    </xf>
    <xf numFmtId="164" fontId="46" fillId="0" borderId="0" xfId="0" applyNumberFormat="1" applyFont="1" applyAlignment="1" applyProtection="1">
      <alignment horizontal="left"/>
      <protection locked="0"/>
    </xf>
    <xf numFmtId="164" fontId="46" fillId="0" borderId="0" xfId="0" applyNumberFormat="1" applyFont="1" applyProtection="1">
      <protection locked="0"/>
    </xf>
    <xf numFmtId="164" fontId="0" fillId="2" borderId="0" xfId="0" applyNumberFormat="1" applyFill="1" applyProtection="1">
      <protection locked="0"/>
    </xf>
    <xf numFmtId="164" fontId="14" fillId="0" borderId="0" xfId="0" applyNumberFormat="1" applyFont="1" applyProtection="1">
      <protection locked="0"/>
    </xf>
    <xf numFmtId="164" fontId="30" fillId="0" borderId="0" xfId="0" applyNumberFormat="1" applyFont="1" applyAlignment="1" applyProtection="1">
      <alignment horizontal="left"/>
      <protection locked="0"/>
    </xf>
    <xf numFmtId="1" fontId="3" fillId="0" borderId="0" xfId="2" applyNumberFormat="1" applyFont="1" applyFill="1" applyProtection="1">
      <protection locked="0"/>
    </xf>
    <xf numFmtId="164" fontId="3" fillId="0" borderId="0" xfId="2" applyNumberFormat="1" applyFont="1" applyFill="1" applyProtection="1">
      <protection locked="0"/>
    </xf>
    <xf numFmtId="164" fontId="3" fillId="0" borderId="0" xfId="1" applyNumberFormat="1" applyFont="1" applyFill="1" applyProtection="1">
      <protection locked="0"/>
    </xf>
    <xf numFmtId="1" fontId="9" fillId="0" borderId="0" xfId="2" applyNumberFormat="1" applyFont="1" applyFill="1" applyProtection="1">
      <protection locked="0"/>
    </xf>
    <xf numFmtId="1" fontId="9" fillId="0" borderId="0" xfId="2" applyNumberFormat="1" applyFont="1" applyFill="1" applyAlignment="1" applyProtection="1">
      <alignment horizontal="left"/>
      <protection locked="0"/>
    </xf>
    <xf numFmtId="164" fontId="9" fillId="0" borderId="0" xfId="2" applyNumberFormat="1" applyFont="1" applyFill="1" applyProtection="1">
      <protection locked="0"/>
    </xf>
    <xf numFmtId="164" fontId="3" fillId="0" borderId="0" xfId="3" applyNumberFormat="1" applyFont="1" applyFill="1" applyAlignment="1" applyProtection="1">
      <alignment horizontal="left"/>
      <protection locked="0"/>
    </xf>
    <xf numFmtId="164" fontId="19" fillId="0" borderId="0" xfId="1" applyNumberFormat="1" applyFont="1" applyFill="1" applyProtection="1">
      <protection locked="0"/>
    </xf>
    <xf numFmtId="164" fontId="9" fillId="0" borderId="0" xfId="3" applyNumberFormat="1" applyFont="1" applyFill="1" applyAlignment="1" applyProtection="1">
      <alignment horizontal="left"/>
      <protection locked="0"/>
    </xf>
    <xf numFmtId="170" fontId="14" fillId="0" borderId="0" xfId="3" applyNumberFormat="1" applyFont="1" applyFill="1" applyProtection="1">
      <protection locked="0"/>
    </xf>
    <xf numFmtId="164" fontId="3" fillId="0" borderId="0" xfId="3" applyNumberFormat="1" applyFont="1" applyFill="1" applyProtection="1">
      <protection locked="0"/>
    </xf>
    <xf numFmtId="170" fontId="3" fillId="0" borderId="0" xfId="3" applyNumberFormat="1" applyFont="1" applyFill="1" applyProtection="1">
      <protection locked="0"/>
    </xf>
    <xf numFmtId="169" fontId="3" fillId="0" borderId="0" xfId="2" applyNumberFormat="1" applyFont="1" applyFill="1" applyProtection="1">
      <protection locked="0"/>
    </xf>
    <xf numFmtId="0" fontId="3" fillId="0" borderId="0" xfId="2" applyNumberFormat="1" applyFont="1" applyFill="1" applyAlignment="1" applyProtection="1">
      <alignment horizontal="left"/>
      <protection locked="0"/>
    </xf>
    <xf numFmtId="9" fontId="3" fillId="0" borderId="0" xfId="3" applyFont="1" applyFill="1" applyProtection="1">
      <protection locked="0"/>
    </xf>
    <xf numFmtId="9" fontId="3" fillId="0" borderId="0" xfId="3" applyFont="1" applyFill="1" applyAlignment="1" applyProtection="1">
      <alignment horizontal="left"/>
      <protection locked="0"/>
    </xf>
    <xf numFmtId="17" fontId="9" fillId="0" borderId="0" xfId="1" applyNumberFormat="1" applyFont="1" applyFill="1" applyProtection="1">
      <protection locked="0"/>
    </xf>
    <xf numFmtId="1" fontId="33" fillId="0" borderId="0" xfId="1" applyNumberFormat="1" applyFont="1" applyFill="1" applyProtection="1">
      <protection locked="0"/>
    </xf>
    <xf numFmtId="164" fontId="36" fillId="0" borderId="0" xfId="1" applyNumberFormat="1" applyFont="1" applyFill="1" applyProtection="1">
      <protection locked="0"/>
    </xf>
    <xf numFmtId="164" fontId="43" fillId="0" borderId="0" xfId="0" applyNumberFormat="1" applyFont="1" applyProtection="1">
      <protection locked="0"/>
    </xf>
    <xf numFmtId="164" fontId="10" fillId="0" borderId="0" xfId="1" applyNumberFormat="1" applyFont="1" applyFill="1" applyProtection="1">
      <protection locked="0"/>
    </xf>
    <xf numFmtId="164" fontId="3" fillId="0" borderId="0" xfId="1" applyNumberFormat="1" applyFont="1" applyFill="1" applyAlignment="1" applyProtection="1">
      <alignment horizontal="left"/>
      <protection locked="0"/>
    </xf>
    <xf numFmtId="164" fontId="3" fillId="0" borderId="0" xfId="1" applyNumberFormat="1" applyFont="1" applyFill="1" applyBorder="1" applyProtection="1">
      <protection locked="0"/>
    </xf>
    <xf numFmtId="164" fontId="11" fillId="0" borderId="0" xfId="1" applyNumberFormat="1" applyFont="1" applyFill="1" applyProtection="1">
      <protection locked="0"/>
    </xf>
    <xf numFmtId="164" fontId="24" fillId="0" borderId="0" xfId="0" applyNumberFormat="1" applyFont="1" applyAlignment="1" applyProtection="1">
      <alignment horizontal="left"/>
      <protection locked="0"/>
    </xf>
    <xf numFmtId="164" fontId="29" fillId="0" borderId="0" xfId="1" applyNumberFormat="1" applyFont="1" applyFill="1" applyProtection="1">
      <protection locked="0"/>
    </xf>
    <xf numFmtId="164" fontId="29" fillId="0" borderId="0" xfId="1" applyNumberFormat="1" applyFont="1" applyFill="1" applyBorder="1" applyProtection="1">
      <protection locked="0"/>
    </xf>
    <xf numFmtId="164" fontId="18" fillId="0" borderId="0" xfId="0" applyNumberFormat="1" applyFont="1" applyProtection="1">
      <protection locked="0"/>
    </xf>
    <xf numFmtId="1" fontId="0" fillId="0" borderId="0" xfId="0" applyNumberFormat="1" applyProtection="1">
      <protection locked="0"/>
    </xf>
    <xf numFmtId="1" fontId="17" fillId="0" borderId="0" xfId="0" applyNumberFormat="1" applyFont="1" applyAlignment="1" applyProtection="1">
      <alignment horizontal="left"/>
      <protection locked="0"/>
    </xf>
    <xf numFmtId="1" fontId="19" fillId="0" borderId="0" xfId="0" applyNumberFormat="1" applyFont="1" applyAlignment="1" applyProtection="1">
      <alignment horizontal="right"/>
      <protection locked="0"/>
    </xf>
    <xf numFmtId="1" fontId="23" fillId="0" borderId="0" xfId="0" applyNumberFormat="1" applyFont="1" applyProtection="1">
      <protection locked="0"/>
    </xf>
    <xf numFmtId="164" fontId="19" fillId="0" borderId="0" xfId="0" applyNumberFormat="1" applyFont="1" applyProtection="1">
      <protection locked="0"/>
    </xf>
    <xf numFmtId="164" fontId="38" fillId="0" borderId="0" xfId="0" applyNumberFormat="1" applyFont="1" applyAlignment="1" applyProtection="1">
      <alignment horizontal="left"/>
      <protection locked="0"/>
    </xf>
    <xf numFmtId="164" fontId="24" fillId="0" borderId="0" xfId="1" applyNumberFormat="1" applyFont="1" applyAlignment="1" applyProtection="1">
      <alignment horizontal="left"/>
      <protection locked="0"/>
    </xf>
    <xf numFmtId="164" fontId="24" fillId="0" borderId="0" xfId="1" applyNumberFormat="1" applyFont="1" applyAlignment="1" applyProtection="1">
      <alignment horizontal="right"/>
      <protection locked="0"/>
    </xf>
    <xf numFmtId="9" fontId="20" fillId="0" borderId="0" xfId="3" applyFont="1" applyProtection="1">
      <protection locked="0"/>
    </xf>
    <xf numFmtId="164" fontId="37" fillId="0" borderId="0" xfId="0" applyNumberFormat="1" applyFont="1" applyAlignment="1" applyProtection="1">
      <alignment horizontal="left"/>
      <protection locked="0"/>
    </xf>
    <xf numFmtId="164" fontId="21" fillId="6" borderId="0" xfId="0" applyNumberFormat="1" applyFont="1" applyFill="1" applyProtection="1">
      <protection locked="0"/>
    </xf>
    <xf numFmtId="1" fontId="19" fillId="0" borderId="0" xfId="0" applyNumberFormat="1" applyFont="1" applyProtection="1">
      <protection locked="0"/>
    </xf>
    <xf numFmtId="164" fontId="21" fillId="0" borderId="0" xfId="0" applyNumberFormat="1" applyFont="1" applyProtection="1">
      <protection locked="0"/>
    </xf>
    <xf numFmtId="164" fontId="21" fillId="0" borderId="0" xfId="0" applyNumberFormat="1" applyFont="1" applyAlignment="1" applyProtection="1">
      <alignment horizontal="left"/>
      <protection locked="0"/>
    </xf>
    <xf numFmtId="0" fontId="19" fillId="0" borderId="0" xfId="0" applyFont="1" applyAlignment="1" applyProtection="1">
      <alignment horizontal="right"/>
      <protection locked="0"/>
    </xf>
    <xf numFmtId="0" fontId="19" fillId="0" borderId="0" xfId="0" applyFont="1" applyProtection="1">
      <protection locked="0"/>
    </xf>
    <xf numFmtId="174" fontId="0" fillId="2" borderId="0" xfId="2" applyNumberFormat="1" applyFont="1" applyFill="1" applyProtection="1">
      <protection locked="0"/>
    </xf>
    <xf numFmtId="165" fontId="0" fillId="2" borderId="0" xfId="0" applyNumberFormat="1" applyFill="1" applyProtection="1">
      <protection locked="0"/>
    </xf>
    <xf numFmtId="1" fontId="0" fillId="2" borderId="0" xfId="0" applyNumberFormat="1" applyFill="1" applyProtection="1">
      <protection locked="0"/>
    </xf>
    <xf numFmtId="0" fontId="16" fillId="6" borderId="0" xfId="0" applyFont="1" applyFill="1" applyAlignment="1" applyProtection="1">
      <alignment horizontal="left"/>
      <protection locked="0"/>
    </xf>
    <xf numFmtId="0" fontId="14" fillId="6" borderId="0" xfId="0" applyFont="1" applyFill="1" applyProtection="1">
      <protection locked="0"/>
    </xf>
    <xf numFmtId="0" fontId="16" fillId="0" borderId="0" xfId="0" applyFont="1" applyAlignment="1" applyProtection="1">
      <alignment horizontal="left"/>
      <protection locked="0"/>
    </xf>
    <xf numFmtId="0" fontId="14" fillId="0" borderId="0" xfId="0" applyFont="1" applyProtection="1">
      <protection locked="0"/>
    </xf>
    <xf numFmtId="0" fontId="40" fillId="6" borderId="0" xfId="0" applyFont="1" applyFill="1" applyProtection="1">
      <protection locked="0"/>
    </xf>
    <xf numFmtId="0" fontId="16" fillId="6" borderId="0" xfId="0" applyFont="1" applyFill="1" applyAlignment="1" applyProtection="1">
      <alignment horizontal="right"/>
      <protection locked="0"/>
    </xf>
    <xf numFmtId="0" fontId="16" fillId="6" borderId="0" xfId="0" applyFont="1" applyFill="1" applyProtection="1">
      <protection locked="0"/>
    </xf>
    <xf numFmtId="0" fontId="39" fillId="6" borderId="0" xfId="0" applyFont="1" applyFill="1" applyProtection="1">
      <protection locked="0"/>
    </xf>
    <xf numFmtId="164" fontId="0" fillId="5" borderId="0" xfId="0" applyNumberFormat="1" applyFill="1" applyProtection="1">
      <protection locked="0"/>
    </xf>
    <xf numFmtId="164" fontId="35" fillId="5" borderId="0" xfId="0" applyNumberFormat="1" applyFont="1" applyFill="1" applyAlignment="1" applyProtection="1">
      <alignment horizontal="left"/>
      <protection locked="0"/>
    </xf>
    <xf numFmtId="164" fontId="0" fillId="5" borderId="0" xfId="1" applyNumberFormat="1" applyFont="1" applyFill="1" applyProtection="1">
      <protection locked="0"/>
    </xf>
    <xf numFmtId="164" fontId="15" fillId="5" borderId="0" xfId="0" applyNumberFormat="1" applyFont="1" applyFill="1" applyAlignment="1" applyProtection="1">
      <alignment horizontal="left"/>
      <protection locked="0"/>
    </xf>
    <xf numFmtId="164" fontId="24" fillId="5" borderId="0" xfId="1" applyNumberFormat="1" applyFont="1" applyFill="1" applyProtection="1">
      <protection locked="0"/>
    </xf>
    <xf numFmtId="164" fontId="0" fillId="5" borderId="0" xfId="1" applyNumberFormat="1" applyFont="1" applyFill="1" applyBorder="1" applyProtection="1">
      <protection locked="0"/>
    </xf>
    <xf numFmtId="164" fontId="9" fillId="5" borderId="0" xfId="1" applyNumberFormat="1" applyFont="1" applyFill="1" applyProtection="1">
      <protection locked="0"/>
    </xf>
    <xf numFmtId="164" fontId="19" fillId="5" borderId="0" xfId="0" applyNumberFormat="1" applyFont="1" applyFill="1" applyAlignment="1" applyProtection="1">
      <alignment horizontal="left" indent="1"/>
      <protection locked="0"/>
    </xf>
    <xf numFmtId="164" fontId="0" fillId="0" borderId="0" xfId="0" applyNumberFormat="1" applyAlignment="1" applyProtection="1">
      <alignment horizontal="left" indent="3"/>
      <protection locked="0"/>
    </xf>
    <xf numFmtId="164" fontId="0" fillId="0" borderId="0" xfId="0" applyNumberFormat="1" applyAlignment="1" applyProtection="1">
      <alignment horizontal="left" indent="4"/>
      <protection locked="0"/>
    </xf>
    <xf numFmtId="164" fontId="19" fillId="5" borderId="0" xfId="0" applyNumberFormat="1" applyFont="1" applyFill="1" applyAlignment="1" applyProtection="1">
      <alignment horizontal="left"/>
      <protection locked="0"/>
    </xf>
    <xf numFmtId="164" fontId="9" fillId="5" borderId="0" xfId="0" applyNumberFormat="1" applyFont="1" applyFill="1" applyAlignment="1" applyProtection="1">
      <alignment horizontal="left"/>
      <protection locked="0"/>
    </xf>
    <xf numFmtId="164" fontId="5" fillId="5" borderId="0" xfId="1" applyNumberFormat="1" applyFont="1" applyFill="1" applyProtection="1">
      <protection locked="0"/>
    </xf>
    <xf numFmtId="0" fontId="0" fillId="2" borderId="0" xfId="0" applyFill="1"/>
    <xf numFmtId="164" fontId="0" fillId="0" borderId="0" xfId="0" applyNumberFormat="1" applyAlignment="1" applyProtection="1">
      <alignment vertical="center"/>
      <protection hidden="1"/>
    </xf>
    <xf numFmtId="0" fontId="0" fillId="0" borderId="0" xfId="0" applyAlignment="1" applyProtection="1">
      <alignment vertical="center"/>
      <protection locked="0"/>
    </xf>
    <xf numFmtId="1" fontId="33" fillId="0" borderId="0" xfId="1" applyNumberFormat="1" applyFont="1" applyBorder="1" applyProtection="1">
      <protection locked="0"/>
    </xf>
    <xf numFmtId="164" fontId="2" fillId="0" borderId="0" xfId="1" applyNumberFormat="1" applyFont="1" applyFill="1" applyBorder="1" applyProtection="1">
      <protection locked="0"/>
    </xf>
    <xf numFmtId="164" fontId="0" fillId="0" borderId="4" xfId="1" applyNumberFormat="1" applyFont="1" applyFill="1" applyBorder="1" applyProtection="1">
      <protection locked="0"/>
    </xf>
    <xf numFmtId="164" fontId="9" fillId="0" borderId="4" xfId="0" applyNumberFormat="1" applyFont="1" applyBorder="1" applyProtection="1">
      <protection locked="0"/>
    </xf>
    <xf numFmtId="17" fontId="9" fillId="0" borderId="4" xfId="0" applyNumberFormat="1" applyFont="1" applyBorder="1" applyProtection="1">
      <protection locked="0"/>
    </xf>
    <xf numFmtId="1" fontId="33" fillId="0" borderId="4" xfId="1" applyNumberFormat="1" applyFont="1" applyBorder="1" applyProtection="1">
      <protection locked="0"/>
    </xf>
    <xf numFmtId="164" fontId="0" fillId="0" borderId="4" xfId="0" applyNumberFormat="1" applyBorder="1" applyProtection="1">
      <protection locked="0"/>
    </xf>
    <xf numFmtId="164" fontId="0" fillId="0" borderId="19" xfId="1" applyNumberFormat="1" applyFont="1" applyBorder="1" applyProtection="1">
      <protection locked="0"/>
    </xf>
    <xf numFmtId="164" fontId="0" fillId="0" borderId="1" xfId="1" applyNumberFormat="1" applyFont="1" applyBorder="1" applyProtection="1">
      <protection locked="0"/>
    </xf>
    <xf numFmtId="164" fontId="0" fillId="0" borderId="4" xfId="1" applyNumberFormat="1" applyFont="1" applyBorder="1" applyProtection="1">
      <protection locked="0"/>
    </xf>
    <xf numFmtId="164" fontId="2" fillId="0" borderId="4" xfId="1" applyNumberFormat="1" applyFont="1" applyFill="1" applyBorder="1" applyProtection="1">
      <protection locked="0"/>
    </xf>
    <xf numFmtId="164" fontId="46" fillId="0" borderId="4" xfId="0" applyNumberFormat="1" applyFont="1" applyBorder="1" applyProtection="1">
      <protection locked="0"/>
    </xf>
    <xf numFmtId="164" fontId="9" fillId="5" borderId="0" xfId="1" applyNumberFormat="1" applyFont="1" applyFill="1" applyBorder="1" applyProtection="1">
      <protection locked="0"/>
    </xf>
    <xf numFmtId="164" fontId="0" fillId="5" borderId="4" xfId="0" applyNumberFormat="1" applyFill="1" applyBorder="1" applyProtection="1">
      <protection locked="0"/>
    </xf>
    <xf numFmtId="164" fontId="0" fillId="5" borderId="4" xfId="1" applyNumberFormat="1" applyFont="1" applyFill="1" applyBorder="1" applyProtection="1">
      <protection locked="0"/>
    </xf>
    <xf numFmtId="164" fontId="9" fillId="5" borderId="4" xfId="1" applyNumberFormat="1" applyFont="1" applyFill="1" applyBorder="1" applyProtection="1">
      <protection locked="0"/>
    </xf>
    <xf numFmtId="174" fontId="0" fillId="0" borderId="0" xfId="2" applyNumberFormat="1" applyFont="1" applyFill="1" applyBorder="1" applyProtection="1">
      <protection locked="0"/>
    </xf>
    <xf numFmtId="175" fontId="0" fillId="0" borderId="0" xfId="1" applyNumberFormat="1" applyFont="1" applyFill="1" applyBorder="1" applyProtection="1">
      <protection locked="0"/>
    </xf>
    <xf numFmtId="164" fontId="8" fillId="0" borderId="0" xfId="1" applyNumberFormat="1" applyFont="1" applyFill="1" applyBorder="1" applyAlignment="1" applyProtection="1">
      <alignment horizontal="center" vertical="center" wrapText="1"/>
      <protection locked="0"/>
    </xf>
    <xf numFmtId="0" fontId="28" fillId="0" borderId="0" xfId="0" applyFont="1"/>
    <xf numFmtId="0" fontId="0" fillId="0" borderId="5" xfId="0" applyBorder="1" applyAlignment="1" applyProtection="1">
      <alignment vertical="center"/>
      <protection locked="0"/>
    </xf>
    <xf numFmtId="174" fontId="0" fillId="2" borderId="5" xfId="2" applyNumberFormat="1" applyFont="1" applyFill="1" applyBorder="1" applyProtection="1">
      <protection locked="0"/>
    </xf>
    <xf numFmtId="175" fontId="0" fillId="0" borderId="5" xfId="1" applyNumberFormat="1" applyFont="1" applyFill="1" applyBorder="1" applyProtection="1">
      <protection locked="0"/>
    </xf>
    <xf numFmtId="0" fontId="0" fillId="7" borderId="0" xfId="0" applyFill="1"/>
    <xf numFmtId="0" fontId="35" fillId="8" borderId="0" xfId="0" applyFont="1" applyFill="1" applyAlignment="1">
      <alignment vertical="center"/>
    </xf>
    <xf numFmtId="0" fontId="35" fillId="8" borderId="0" xfId="0" applyFont="1" applyFill="1" applyAlignment="1" applyProtection="1">
      <alignment vertical="center"/>
      <protection hidden="1"/>
    </xf>
    <xf numFmtId="0" fontId="0" fillId="8" borderId="0" xfId="0" applyFill="1" applyAlignment="1">
      <alignment vertical="center"/>
    </xf>
    <xf numFmtId="0" fontId="0" fillId="8" borderId="0" xfId="0" applyFill="1"/>
    <xf numFmtId="0" fontId="0" fillId="10" borderId="0" xfId="0" applyFill="1"/>
    <xf numFmtId="0" fontId="0" fillId="11" borderId="0" xfId="0" applyFill="1"/>
    <xf numFmtId="0" fontId="0" fillId="0" borderId="0" xfId="0" applyAlignment="1" applyProtection="1">
      <alignment horizontal="center"/>
      <protection locked="0"/>
    </xf>
    <xf numFmtId="166" fontId="0" fillId="0" borderId="0" xfId="1" applyFont="1" applyAlignment="1" applyProtection="1">
      <alignment horizontal="center" vertical="center"/>
      <protection locked="0"/>
    </xf>
    <xf numFmtId="166" fontId="0" fillId="0" borderId="0" xfId="1" applyFont="1" applyFill="1" applyAlignment="1" applyProtection="1">
      <alignment horizontal="center" vertical="center"/>
      <protection locked="0"/>
    </xf>
    <xf numFmtId="0" fontId="0" fillId="0" borderId="0" xfId="0" applyAlignment="1" applyProtection="1">
      <alignment horizontal="center" vertical="center"/>
      <protection locked="0"/>
    </xf>
    <xf numFmtId="166" fontId="9" fillId="0" borderId="0" xfId="1" applyFont="1" applyFill="1" applyAlignment="1" applyProtection="1">
      <alignment horizontal="center" vertical="center"/>
      <protection locked="0"/>
    </xf>
    <xf numFmtId="166" fontId="9" fillId="2" borderId="0" xfId="1" applyFont="1" applyFill="1" applyAlignment="1" applyProtection="1">
      <alignment horizontal="center" vertical="center"/>
      <protection locked="0"/>
    </xf>
    <xf numFmtId="166" fontId="1" fillId="2" borderId="0" xfId="1" applyFont="1" applyFill="1" applyAlignment="1" applyProtection="1">
      <alignment horizontal="center" vertical="center"/>
      <protection locked="0"/>
    </xf>
    <xf numFmtId="166" fontId="9" fillId="0" borderId="0" xfId="0" applyNumberFormat="1" applyFont="1" applyAlignment="1" applyProtection="1">
      <alignment horizontal="center" vertical="center"/>
      <protection locked="0"/>
    </xf>
    <xf numFmtId="0" fontId="9" fillId="0" borderId="0" xfId="0" applyFont="1" applyAlignment="1" applyProtection="1">
      <alignment horizontal="center" vertical="center"/>
      <protection locked="0"/>
    </xf>
    <xf numFmtId="9" fontId="0" fillId="0" borderId="0" xfId="3" applyFont="1" applyAlignment="1" applyProtection="1">
      <alignment horizontal="center" vertical="center"/>
      <protection locked="0"/>
    </xf>
    <xf numFmtId="166" fontId="1" fillId="0" borderId="0" xfId="1" applyFont="1" applyFill="1" applyAlignment="1" applyProtection="1">
      <alignment horizontal="center" vertical="center"/>
      <protection locked="0"/>
    </xf>
    <xf numFmtId="9" fontId="1" fillId="2" borderId="0" xfId="3" applyFont="1" applyFill="1" applyAlignment="1" applyProtection="1">
      <alignment horizontal="center" vertical="center"/>
      <protection locked="0"/>
    </xf>
    <xf numFmtId="10" fontId="0" fillId="2" borderId="0" xfId="0" applyNumberFormat="1" applyFill="1" applyAlignment="1" applyProtection="1">
      <alignment horizontal="center" vertical="center"/>
      <protection locked="0"/>
    </xf>
    <xf numFmtId="164" fontId="9" fillId="0" borderId="0" xfId="0" applyNumberFormat="1" applyFont="1" applyAlignment="1" applyProtection="1">
      <alignment horizontal="center" vertical="center"/>
      <protection locked="0"/>
    </xf>
    <xf numFmtId="44" fontId="9" fillId="0" borderId="0" xfId="1" applyNumberFormat="1" applyFont="1" applyFill="1" applyAlignment="1" applyProtection="1">
      <alignment horizontal="center" vertical="center"/>
      <protection locked="0"/>
    </xf>
    <xf numFmtId="44" fontId="0" fillId="0" borderId="0" xfId="1" applyNumberFormat="1" applyFont="1" applyFill="1" applyAlignment="1" applyProtection="1">
      <alignment horizontal="center" vertical="center"/>
      <protection locked="0"/>
    </xf>
    <xf numFmtId="44" fontId="1" fillId="2" borderId="0" xfId="1" applyNumberFormat="1" applyFont="1" applyFill="1" applyAlignment="1" applyProtection="1">
      <alignment horizontal="center" vertical="center"/>
      <protection locked="0"/>
    </xf>
    <xf numFmtId="44" fontId="1" fillId="0" borderId="0" xfId="1" applyNumberFormat="1" applyFont="1" applyFill="1" applyAlignment="1" applyProtection="1">
      <alignment horizontal="center" vertical="center"/>
      <protection locked="0"/>
    </xf>
    <xf numFmtId="44" fontId="0" fillId="0" borderId="0" xfId="0" applyNumberFormat="1" applyAlignment="1" applyProtection="1">
      <alignment horizontal="center" vertical="center"/>
      <protection locked="0"/>
    </xf>
    <xf numFmtId="44" fontId="1" fillId="2" borderId="0" xfId="1" applyNumberFormat="1" applyFont="1" applyFill="1" applyAlignment="1" applyProtection="1">
      <alignment horizontal="center"/>
      <protection locked="0"/>
    </xf>
    <xf numFmtId="44" fontId="0" fillId="2" borderId="0" xfId="0" applyNumberFormat="1" applyFill="1" applyAlignment="1" applyProtection="1">
      <alignment horizontal="center" vertical="center"/>
      <protection locked="0"/>
    </xf>
    <xf numFmtId="44" fontId="0" fillId="10" borderId="0" xfId="0" applyNumberFormat="1" applyFill="1" applyAlignment="1" applyProtection="1">
      <alignment horizontal="center"/>
      <protection locked="0"/>
    </xf>
    <xf numFmtId="44" fontId="1" fillId="0" borderId="0" xfId="1" applyNumberFormat="1" applyFont="1" applyFill="1" applyAlignment="1" applyProtection="1">
      <alignment horizontal="center"/>
      <protection locked="0"/>
    </xf>
    <xf numFmtId="0" fontId="0" fillId="0" borderId="0" xfId="0" applyAlignment="1" applyProtection="1">
      <alignment horizontal="center" vertical="center" wrapText="1"/>
      <protection locked="0"/>
    </xf>
    <xf numFmtId="10" fontId="0" fillId="0" borderId="0" xfId="0" applyNumberFormat="1" applyAlignment="1" applyProtection="1">
      <alignment horizontal="center" vertical="center"/>
      <protection locked="0"/>
    </xf>
    <xf numFmtId="8" fontId="51" fillId="0" borderId="0" xfId="86" applyNumberFormat="1" applyFill="1" applyAlignment="1" applyProtection="1">
      <alignment vertical="center"/>
      <protection locked="0"/>
    </xf>
    <xf numFmtId="17" fontId="0" fillId="0" borderId="0" xfId="0" applyNumberFormat="1" applyAlignment="1" applyProtection="1">
      <alignment horizontal="center" vertical="center"/>
      <protection locked="0"/>
    </xf>
    <xf numFmtId="0" fontId="9" fillId="0" borderId="0" xfId="0" applyFont="1" applyAlignment="1" applyProtection="1">
      <alignment horizontal="center" vertical="center" wrapText="1"/>
      <protection locked="0"/>
    </xf>
    <xf numFmtId="1" fontId="9" fillId="0" borderId="0" xfId="2" applyNumberFormat="1" applyFont="1" applyFill="1" applyAlignment="1" applyProtection="1">
      <alignment horizontal="center"/>
      <protection locked="0"/>
    </xf>
    <xf numFmtId="164" fontId="0" fillId="0" borderId="0" xfId="1" applyNumberFormat="1" applyFont="1" applyFill="1" applyAlignment="1" applyProtection="1">
      <alignment horizontal="center"/>
      <protection locked="0"/>
    </xf>
    <xf numFmtId="164" fontId="0" fillId="0" borderId="0" xfId="1" applyNumberFormat="1" applyFont="1" applyFill="1" applyAlignment="1" applyProtection="1">
      <alignment horizontal="center" vertical="center" wrapText="1"/>
      <protection locked="0"/>
    </xf>
    <xf numFmtId="164" fontId="0" fillId="0" borderId="0" xfId="1" applyNumberFormat="1" applyFont="1" applyFill="1" applyAlignment="1" applyProtection="1">
      <alignment horizontal="center" vertical="center"/>
      <protection locked="0"/>
    </xf>
    <xf numFmtId="0" fontId="53" fillId="0" borderId="0" xfId="0" applyFont="1"/>
    <xf numFmtId="6" fontId="0" fillId="0" borderId="11" xfId="0" applyNumberFormat="1" applyBorder="1" applyAlignment="1" applyProtection="1">
      <alignment horizontal="left"/>
      <protection locked="0"/>
    </xf>
    <xf numFmtId="6" fontId="0" fillId="0" borderId="11" xfId="3" applyNumberFormat="1" applyFont="1" applyFill="1" applyBorder="1" applyAlignment="1" applyProtection="1">
      <alignment horizontal="left"/>
      <protection locked="0"/>
    </xf>
    <xf numFmtId="164" fontId="0" fillId="0" borderId="11" xfId="1" applyNumberFormat="1" applyFont="1" applyFill="1" applyBorder="1" applyProtection="1">
      <protection locked="0"/>
    </xf>
    <xf numFmtId="164" fontId="0" fillId="0" borderId="11" xfId="3" applyNumberFormat="1" applyFont="1" applyFill="1" applyBorder="1" applyAlignment="1" applyProtection="1">
      <alignment horizontal="left"/>
      <protection locked="0"/>
    </xf>
    <xf numFmtId="164" fontId="0" fillId="0" borderId="13" xfId="3" applyNumberFormat="1" applyFont="1" applyFill="1" applyBorder="1" applyAlignment="1" applyProtection="1">
      <alignment horizontal="left"/>
      <protection locked="0"/>
    </xf>
    <xf numFmtId="1" fontId="0" fillId="0" borderId="0" xfId="2" applyNumberFormat="1" applyFont="1" applyFill="1" applyAlignment="1" applyProtection="1">
      <alignment horizontal="center"/>
      <protection locked="0"/>
    </xf>
    <xf numFmtId="164" fontId="0" fillId="0" borderId="0" xfId="0" applyNumberFormat="1" applyAlignment="1" applyProtection="1">
      <alignment horizontal="center"/>
      <protection locked="0"/>
    </xf>
    <xf numFmtId="1" fontId="0" fillId="0" borderId="0" xfId="2" applyNumberFormat="1" applyFont="1" applyAlignment="1" applyProtection="1">
      <alignment horizontal="center"/>
      <protection locked="0"/>
    </xf>
    <xf numFmtId="164" fontId="0" fillId="0" borderId="0" xfId="1" applyNumberFormat="1" applyFont="1" applyAlignment="1" applyProtection="1">
      <alignment horizontal="center" vertical="center"/>
      <protection locked="0"/>
    </xf>
    <xf numFmtId="2" fontId="0" fillId="2" borderId="0" xfId="1" applyNumberFormat="1" applyFont="1" applyFill="1" applyAlignment="1" applyProtection="1">
      <alignment horizontal="center" vertical="center"/>
      <protection locked="0"/>
    </xf>
    <xf numFmtId="1" fontId="0" fillId="0" borderId="0" xfId="1" applyNumberFormat="1" applyFont="1" applyFill="1" applyAlignment="1" applyProtection="1">
      <alignment horizontal="center" vertical="center"/>
      <protection locked="0"/>
    </xf>
    <xf numFmtId="176" fontId="0" fillId="0" borderId="0" xfId="3" applyNumberFormat="1" applyFont="1" applyFill="1" applyProtection="1">
      <protection locked="0"/>
    </xf>
    <xf numFmtId="6" fontId="0" fillId="0" borderId="0" xfId="1" applyNumberFormat="1" applyFont="1" applyFill="1" applyBorder="1" applyProtection="1">
      <protection locked="0"/>
    </xf>
    <xf numFmtId="1" fontId="0" fillId="0" borderId="0" xfId="2" applyNumberFormat="1" applyFont="1" applyAlignment="1" applyProtection="1">
      <alignment horizontal="center" vertical="center"/>
      <protection locked="0"/>
    </xf>
    <xf numFmtId="1" fontId="0" fillId="0" borderId="0" xfId="2" applyNumberFormat="1" applyFont="1" applyFill="1" applyAlignment="1" applyProtection="1">
      <alignment horizontal="center" wrapText="1"/>
      <protection locked="0"/>
    </xf>
    <xf numFmtId="1" fontId="0" fillId="0" borderId="0" xfId="3" applyNumberFormat="1" applyFont="1" applyFill="1" applyAlignment="1" applyProtection="1">
      <alignment horizontal="center"/>
      <protection locked="0"/>
    </xf>
    <xf numFmtId="10" fontId="0" fillId="0" borderId="0" xfId="1" applyNumberFormat="1" applyFont="1" applyFill="1" applyProtection="1">
      <protection locked="0"/>
    </xf>
    <xf numFmtId="10" fontId="0" fillId="2" borderId="0" xfId="1" applyNumberFormat="1" applyFont="1" applyFill="1" applyAlignment="1" applyProtection="1">
      <alignment horizontal="center"/>
      <protection locked="0"/>
    </xf>
    <xf numFmtId="176" fontId="0" fillId="2" borderId="0" xfId="1" applyNumberFormat="1" applyFont="1" applyFill="1" applyAlignment="1" applyProtection="1">
      <alignment horizontal="center"/>
      <protection locked="0"/>
    </xf>
    <xf numFmtId="170" fontId="9" fillId="0" borderId="0" xfId="3" applyNumberFormat="1" applyFont="1" applyFill="1" applyAlignment="1" applyProtection="1">
      <alignment horizontal="center"/>
      <protection locked="0"/>
    </xf>
    <xf numFmtId="164" fontId="9" fillId="0" borderId="0" xfId="1" applyNumberFormat="1" applyFont="1" applyFill="1" applyAlignment="1" applyProtection="1">
      <alignment horizontal="center" vertical="center"/>
      <protection locked="0"/>
    </xf>
    <xf numFmtId="1" fontId="9" fillId="0" borderId="0" xfId="1" applyNumberFormat="1" applyFont="1" applyFill="1" applyAlignment="1" applyProtection="1">
      <alignment horizontal="center" vertical="center"/>
      <protection locked="0"/>
    </xf>
    <xf numFmtId="164" fontId="0" fillId="2" borderId="0" xfId="1" applyNumberFormat="1" applyFont="1" applyFill="1" applyAlignment="1" applyProtection="1">
      <alignment horizontal="center" vertical="center"/>
      <protection locked="0"/>
    </xf>
    <xf numFmtId="176" fontId="0" fillId="2" borderId="0" xfId="1" applyNumberFormat="1" applyFont="1" applyFill="1" applyAlignment="1" applyProtection="1">
      <alignment horizontal="center" vertical="center"/>
      <protection locked="0"/>
    </xf>
    <xf numFmtId="176" fontId="0" fillId="0" borderId="0" xfId="1" applyNumberFormat="1" applyFont="1" applyFill="1" applyAlignment="1" applyProtection="1">
      <alignment horizontal="center" vertical="center"/>
      <protection locked="0"/>
    </xf>
    <xf numFmtId="164" fontId="0" fillId="0" borderId="0" xfId="1" applyNumberFormat="1" applyFont="1" applyFill="1" applyAlignment="1" applyProtection="1">
      <alignment horizontal="left" vertical="center"/>
      <protection locked="0"/>
    </xf>
    <xf numFmtId="177" fontId="0" fillId="2" borderId="0" xfId="1" applyNumberFormat="1" applyFont="1" applyFill="1" applyAlignment="1" applyProtection="1">
      <alignment horizontal="center" vertical="center"/>
      <protection locked="0"/>
    </xf>
    <xf numFmtId="177" fontId="0" fillId="0" borderId="0" xfId="1" applyNumberFormat="1" applyFont="1" applyFill="1" applyAlignment="1" applyProtection="1">
      <alignment horizontal="center" vertical="center"/>
      <protection locked="0"/>
    </xf>
    <xf numFmtId="0" fontId="0" fillId="0" borderId="0" xfId="1" applyNumberFormat="1" applyFont="1" applyFill="1" applyProtection="1">
      <protection locked="0"/>
    </xf>
    <xf numFmtId="1" fontId="9" fillId="0" borderId="0" xfId="1" applyNumberFormat="1" applyFont="1" applyFill="1" applyAlignment="1" applyProtection="1">
      <alignment horizontal="center"/>
      <protection locked="0"/>
    </xf>
    <xf numFmtId="10" fontId="9" fillId="0" borderId="0" xfId="1" applyNumberFormat="1" applyFont="1" applyFill="1" applyAlignment="1" applyProtection="1">
      <alignment horizontal="center"/>
      <protection locked="0"/>
    </xf>
    <xf numFmtId="0" fontId="0" fillId="2" borderId="0" xfId="1" applyNumberFormat="1" applyFont="1" applyFill="1" applyAlignment="1" applyProtection="1">
      <alignment horizontal="center" vertical="center"/>
      <protection locked="0"/>
    </xf>
    <xf numFmtId="164" fontId="0" fillId="0" borderId="0" xfId="1" applyNumberFormat="1" applyFont="1" applyAlignment="1" applyProtection="1">
      <alignment horizontal="center" vertical="center" wrapText="1"/>
      <protection locked="0"/>
    </xf>
    <xf numFmtId="164" fontId="0" fillId="0" borderId="0" xfId="1" applyNumberFormat="1" applyFont="1" applyFill="1" applyAlignment="1" applyProtection="1">
      <alignment horizontal="left" vertical="center" wrapText="1"/>
      <protection locked="0"/>
    </xf>
    <xf numFmtId="164" fontId="14" fillId="2" borderId="0" xfId="1" applyNumberFormat="1" applyFont="1" applyFill="1" applyProtection="1">
      <protection locked="0"/>
    </xf>
    <xf numFmtId="164" fontId="1" fillId="0" borderId="0" xfId="1" applyNumberFormat="1" applyFont="1" applyFill="1" applyAlignment="1" applyProtection="1">
      <alignment horizontal="left" vertical="center"/>
      <protection locked="0"/>
    </xf>
    <xf numFmtId="164" fontId="54" fillId="0" borderId="0" xfId="1" applyNumberFormat="1" applyFont="1" applyFill="1" applyProtection="1">
      <protection locked="0"/>
    </xf>
    <xf numFmtId="164" fontId="19" fillId="0" borderId="0" xfId="1" applyNumberFormat="1" applyFont="1" applyProtection="1">
      <protection locked="0"/>
    </xf>
    <xf numFmtId="177" fontId="54" fillId="0" borderId="0" xfId="1" applyNumberFormat="1" applyFont="1" applyFill="1" applyProtection="1">
      <protection locked="0"/>
    </xf>
    <xf numFmtId="164" fontId="54" fillId="0" borderId="0" xfId="1" applyNumberFormat="1" applyFont="1" applyFill="1" applyAlignment="1" applyProtection="1">
      <alignment horizontal="center" vertical="center"/>
      <protection locked="0"/>
    </xf>
    <xf numFmtId="164" fontId="55" fillId="0" borderId="0" xfId="1" applyNumberFormat="1" applyFont="1" applyProtection="1">
      <protection locked="0"/>
    </xf>
    <xf numFmtId="1" fontId="9" fillId="0" borderId="11" xfId="2" applyNumberFormat="1" applyFont="1" applyBorder="1" applyAlignment="1" applyProtection="1">
      <alignment horizontal="left"/>
      <protection locked="0"/>
    </xf>
    <xf numFmtId="1" fontId="0" fillId="0" borderId="0" xfId="2" applyNumberFormat="1" applyFont="1" applyBorder="1" applyProtection="1">
      <protection locked="0"/>
    </xf>
    <xf numFmtId="1" fontId="9" fillId="2" borderId="0" xfId="2" applyNumberFormat="1" applyFont="1" applyFill="1" applyBorder="1" applyProtection="1">
      <protection locked="0"/>
    </xf>
    <xf numFmtId="1" fontId="9" fillId="0" borderId="0" xfId="2" applyNumberFormat="1" applyFont="1" applyBorder="1" applyProtection="1">
      <protection locked="0"/>
    </xf>
    <xf numFmtId="164" fontId="14" fillId="0" borderId="0" xfId="1" applyNumberFormat="1" applyFont="1" applyAlignment="1" applyProtection="1">
      <alignment horizontal="center" vertical="center"/>
      <protection locked="0"/>
    </xf>
    <xf numFmtId="1" fontId="9" fillId="0" borderId="0" xfId="1" applyNumberFormat="1" applyFont="1" applyAlignment="1" applyProtection="1">
      <alignment horizontal="center" vertical="center"/>
      <protection locked="0"/>
    </xf>
    <xf numFmtId="164" fontId="1" fillId="15" borderId="0" xfId="1" applyNumberFormat="1" applyFont="1" applyFill="1" applyAlignment="1" applyProtection="1">
      <alignment horizontal="left" vertical="center"/>
      <protection locked="0"/>
    </xf>
    <xf numFmtId="10" fontId="1" fillId="15" borderId="0" xfId="1" applyNumberFormat="1" applyFont="1" applyFill="1" applyProtection="1">
      <protection locked="0"/>
    </xf>
    <xf numFmtId="164" fontId="9" fillId="15" borderId="0" xfId="1" applyNumberFormat="1" applyFont="1" applyFill="1" applyAlignment="1" applyProtection="1">
      <alignment horizontal="center" vertical="center"/>
      <protection locked="0"/>
    </xf>
    <xf numFmtId="0" fontId="9" fillId="15" borderId="0" xfId="1" applyNumberFormat="1" applyFont="1" applyFill="1" applyAlignment="1" applyProtection="1">
      <alignment horizontal="center"/>
      <protection locked="0"/>
    </xf>
    <xf numFmtId="164" fontId="1" fillId="15" borderId="0" xfId="1" applyNumberFormat="1" applyFont="1" applyFill="1" applyAlignment="1" applyProtection="1">
      <alignment horizontal="center" vertical="center"/>
      <protection locked="0"/>
    </xf>
    <xf numFmtId="10" fontId="9" fillId="15" borderId="0" xfId="1" applyNumberFormat="1" applyFont="1" applyFill="1" applyAlignment="1" applyProtection="1">
      <alignment horizontal="center"/>
      <protection locked="0"/>
    </xf>
    <xf numFmtId="164" fontId="1" fillId="15" borderId="0" xfId="1" applyNumberFormat="1" applyFont="1" applyFill="1" applyProtection="1">
      <protection locked="0"/>
    </xf>
    <xf numFmtId="10" fontId="0" fillId="0" borderId="0" xfId="1" applyNumberFormat="1" applyFont="1" applyAlignment="1" applyProtection="1">
      <alignment horizontal="center" vertical="center"/>
      <protection locked="0"/>
    </xf>
    <xf numFmtId="9" fontId="0" fillId="0" borderId="0" xfId="1" applyNumberFormat="1" applyFont="1" applyAlignment="1" applyProtection="1">
      <alignment horizontal="center" vertical="center"/>
      <protection locked="0"/>
    </xf>
    <xf numFmtId="9" fontId="0" fillId="2" borderId="0" xfId="1" applyNumberFormat="1" applyFont="1" applyFill="1" applyAlignment="1" applyProtection="1">
      <alignment horizontal="center" vertical="center"/>
      <protection locked="0"/>
    </xf>
    <xf numFmtId="164" fontId="54" fillId="0" borderId="0" xfId="1" applyNumberFormat="1" applyFont="1" applyAlignment="1" applyProtection="1">
      <alignment horizontal="center" vertical="center"/>
      <protection locked="0"/>
    </xf>
    <xf numFmtId="164" fontId="1" fillId="0" borderId="0" xfId="1" applyNumberFormat="1" applyFont="1" applyAlignment="1" applyProtection="1">
      <alignment horizontal="center" vertical="center"/>
      <protection locked="0"/>
    </xf>
    <xf numFmtId="0" fontId="0" fillId="3" borderId="0" xfId="0" applyFill="1" applyAlignment="1">
      <alignment horizontal="center" wrapText="1"/>
    </xf>
    <xf numFmtId="164" fontId="0" fillId="0" borderId="0" xfId="0" applyNumberFormat="1" applyAlignment="1">
      <alignment horizontal="center"/>
    </xf>
    <xf numFmtId="17" fontId="9" fillId="2" borderId="0" xfId="0" applyNumberFormat="1" applyFont="1" applyFill="1"/>
    <xf numFmtId="17" fontId="9" fillId="0" borderId="0" xfId="0" applyNumberFormat="1" applyFont="1"/>
    <xf numFmtId="174" fontId="0" fillId="2" borderId="0" xfId="2" applyNumberFormat="1" applyFont="1" applyFill="1"/>
    <xf numFmtId="0" fontId="0" fillId="10" borderId="21" xfId="0" applyFill="1" applyBorder="1"/>
    <xf numFmtId="0" fontId="0" fillId="0" borderId="21" xfId="0" applyBorder="1"/>
    <xf numFmtId="0" fontId="0" fillId="0" borderId="0" xfId="0" applyAlignment="1">
      <alignment horizontal="center"/>
    </xf>
    <xf numFmtId="9" fontId="0" fillId="0" borderId="0" xfId="0" applyNumberFormat="1" applyAlignment="1">
      <alignment horizontal="center"/>
    </xf>
    <xf numFmtId="164" fontId="0" fillId="0" borderId="0" xfId="0" applyNumberFormat="1" applyAlignment="1">
      <alignment horizontal="center" wrapText="1"/>
    </xf>
    <xf numFmtId="17" fontId="9" fillId="0" borderId="0" xfId="0" applyNumberFormat="1" applyFont="1" applyAlignment="1">
      <alignment horizontal="center" wrapText="1"/>
    </xf>
    <xf numFmtId="17" fontId="9" fillId="0" borderId="5" xfId="0" applyNumberFormat="1" applyFont="1" applyBorder="1" applyAlignment="1">
      <alignment horizontal="center" wrapText="1"/>
    </xf>
    <xf numFmtId="0" fontId="0" fillId="0" borderId="0" xfId="0" applyAlignment="1">
      <alignment horizontal="center" wrapText="1"/>
    </xf>
    <xf numFmtId="174" fontId="0" fillId="0" borderId="0" xfId="0" applyNumberFormat="1"/>
    <xf numFmtId="0" fontId="0" fillId="0" borderId="22" xfId="0" applyBorder="1" applyAlignment="1">
      <alignment horizontal="center"/>
    </xf>
    <xf numFmtId="0" fontId="0" fillId="0" borderId="0" xfId="0" applyAlignment="1">
      <alignment horizontal="center" vertical="center"/>
    </xf>
    <xf numFmtId="17" fontId="9" fillId="0" borderId="0" xfId="0" applyNumberFormat="1" applyFont="1" applyAlignment="1">
      <alignment horizontal="center" vertical="center"/>
    </xf>
    <xf numFmtId="164" fontId="9" fillId="0" borderId="0" xfId="0" applyNumberFormat="1" applyFont="1" applyAlignment="1" applyProtection="1">
      <alignment horizontal="center" vertical="center" wrapText="1"/>
      <protection locked="0"/>
    </xf>
    <xf numFmtId="166" fontId="1" fillId="0" borderId="0" xfId="1" applyFont="1" applyFill="1" applyAlignment="1" applyProtection="1">
      <alignment horizontal="center" vertical="center" wrapText="1"/>
      <protection locked="0"/>
    </xf>
    <xf numFmtId="166" fontId="9" fillId="0" borderId="0" xfId="0" applyNumberFormat="1" applyFont="1" applyAlignment="1" applyProtection="1">
      <alignment horizontal="center" vertical="center" wrapText="1"/>
      <protection locked="0"/>
    </xf>
    <xf numFmtId="0" fontId="56" fillId="0" borderId="0" xfId="0" applyFont="1" applyAlignment="1" applyProtection="1">
      <alignment horizontal="center" vertical="center"/>
      <protection locked="0"/>
    </xf>
    <xf numFmtId="164" fontId="9" fillId="0" borderId="24" xfId="0" applyNumberFormat="1" applyFont="1" applyBorder="1" applyAlignment="1" applyProtection="1">
      <alignment horizontal="center" vertical="center"/>
      <protection locked="0"/>
    </xf>
    <xf numFmtId="164" fontId="9" fillId="0" borderId="25" xfId="0" applyNumberFormat="1" applyFont="1" applyBorder="1" applyAlignment="1" applyProtection="1">
      <alignment horizontal="center" vertical="center"/>
      <protection locked="0"/>
    </xf>
    <xf numFmtId="0" fontId="0" fillId="0" borderId="26" xfId="0" applyBorder="1" applyAlignment="1" applyProtection="1">
      <alignment horizontal="center" vertical="center"/>
      <protection locked="0"/>
    </xf>
    <xf numFmtId="0" fontId="0" fillId="0" borderId="26" xfId="0" applyBorder="1" applyAlignment="1" applyProtection="1">
      <alignment vertical="center"/>
      <protection locked="0"/>
    </xf>
    <xf numFmtId="164" fontId="8" fillId="14" borderId="23" xfId="0" applyNumberFormat="1" applyFont="1" applyFill="1" applyBorder="1" applyAlignment="1" applyProtection="1">
      <alignment horizontal="center" vertical="center"/>
      <protection locked="0"/>
    </xf>
    <xf numFmtId="9" fontId="0" fillId="2" borderId="0" xfId="0" applyNumberFormat="1" applyFill="1" applyAlignment="1">
      <alignment horizontal="center" wrapText="1"/>
    </xf>
    <xf numFmtId="164" fontId="9" fillId="17" borderId="0" xfId="0" applyNumberFormat="1" applyFont="1" applyFill="1" applyAlignment="1">
      <alignment horizontal="center" vertical="center"/>
    </xf>
    <xf numFmtId="164" fontId="0" fillId="17" borderId="0" xfId="0" applyNumberFormat="1" applyFill="1" applyAlignment="1">
      <alignment horizontal="center"/>
    </xf>
    <xf numFmtId="17" fontId="9" fillId="17" borderId="0" xfId="0" applyNumberFormat="1" applyFont="1" applyFill="1"/>
    <xf numFmtId="17" fontId="9" fillId="17" borderId="0" xfId="0" applyNumberFormat="1" applyFont="1" applyFill="1" applyAlignment="1">
      <alignment horizontal="center" vertical="center"/>
    </xf>
    <xf numFmtId="9" fontId="0" fillId="17" borderId="0" xfId="0" applyNumberFormat="1" applyFill="1" applyAlignment="1">
      <alignment horizontal="center" wrapText="1"/>
    </xf>
    <xf numFmtId="0" fontId="0" fillId="17" borderId="0" xfId="0" applyFill="1"/>
    <xf numFmtId="0" fontId="9" fillId="17" borderId="0" xfId="0" applyFont="1" applyFill="1" applyAlignment="1">
      <alignment horizontal="center" vertical="center"/>
    </xf>
    <xf numFmtId="174" fontId="0" fillId="17" borderId="0" xfId="2" applyNumberFormat="1" applyFont="1" applyFill="1"/>
    <xf numFmtId="0" fontId="0" fillId="17" borderId="0" xfId="0" applyFill="1" applyAlignment="1">
      <alignment horizontal="center" vertical="center"/>
    </xf>
    <xf numFmtId="174" fontId="0" fillId="17" borderId="0" xfId="0" applyNumberFormat="1" applyFill="1"/>
    <xf numFmtId="174" fontId="0" fillId="17" borderId="0" xfId="2" applyNumberFormat="1" applyFont="1" applyFill="1" applyAlignment="1">
      <alignment horizontal="right"/>
    </xf>
    <xf numFmtId="174" fontId="0" fillId="17" borderId="0" xfId="0" applyNumberFormat="1" applyFill="1" applyAlignment="1">
      <alignment horizontal="right"/>
    </xf>
    <xf numFmtId="0" fontId="9" fillId="17" borderId="0" xfId="0" applyFont="1" applyFill="1"/>
    <xf numFmtId="174" fontId="9" fillId="17" borderId="0" xfId="2" applyNumberFormat="1" applyFont="1" applyFill="1"/>
    <xf numFmtId="174" fontId="9" fillId="17" borderId="0" xfId="2" applyNumberFormat="1" applyFont="1" applyFill="1" applyAlignment="1">
      <alignment horizontal="right"/>
    </xf>
    <xf numFmtId="164" fontId="0" fillId="17" borderId="0" xfId="1" applyNumberFormat="1" applyFont="1" applyFill="1"/>
    <xf numFmtId="176" fontId="0" fillId="17" borderId="0" xfId="0" applyNumberFormat="1" applyFill="1"/>
    <xf numFmtId="164" fontId="0" fillId="17" borderId="0" xfId="0" applyNumberFormat="1" applyFill="1"/>
    <xf numFmtId="164" fontId="9" fillId="17" borderId="0" xfId="0" applyNumberFormat="1" applyFont="1" applyFill="1"/>
    <xf numFmtId="0" fontId="0" fillId="0" borderId="20" xfId="0" applyBorder="1"/>
    <xf numFmtId="17" fontId="9" fillId="0" borderId="20" xfId="0" applyNumberFormat="1" applyFont="1" applyBorder="1"/>
    <xf numFmtId="17" fontId="9" fillId="17" borderId="20" xfId="0" applyNumberFormat="1" applyFont="1" applyFill="1" applyBorder="1"/>
    <xf numFmtId="0" fontId="0" fillId="17" borderId="20" xfId="0" applyFill="1" applyBorder="1"/>
    <xf numFmtId="174" fontId="0" fillId="17" borderId="20" xfId="0" applyNumberFormat="1" applyFill="1" applyBorder="1"/>
    <xf numFmtId="174" fontId="0" fillId="17" borderId="20" xfId="0" applyNumberFormat="1" applyFill="1" applyBorder="1" applyAlignment="1">
      <alignment horizontal="right"/>
    </xf>
    <xf numFmtId="174" fontId="9" fillId="17" borderId="20" xfId="2" applyNumberFormat="1" applyFont="1" applyFill="1" applyBorder="1"/>
    <xf numFmtId="174" fontId="0" fillId="17" borderId="20" xfId="2" applyNumberFormat="1" applyFont="1" applyFill="1" applyBorder="1"/>
    <xf numFmtId="174" fontId="9" fillId="17" borderId="20" xfId="2" applyNumberFormat="1" applyFont="1" applyFill="1" applyBorder="1" applyAlignment="1">
      <alignment horizontal="right"/>
    </xf>
    <xf numFmtId="164" fontId="0" fillId="17" borderId="20" xfId="0" applyNumberFormat="1" applyFill="1" applyBorder="1"/>
    <xf numFmtId="0" fontId="0" fillId="0" borderId="20" xfId="0" applyBorder="1" applyAlignment="1">
      <alignment horizontal="center"/>
    </xf>
    <xf numFmtId="17" fontId="9" fillId="0" borderId="20" xfId="0" applyNumberFormat="1" applyFont="1" applyBorder="1" applyAlignment="1">
      <alignment horizontal="center" wrapText="1"/>
    </xf>
    <xf numFmtId="0" fontId="0" fillId="0" borderId="20" xfId="0" applyBorder="1" applyAlignment="1">
      <alignment horizontal="center" wrapText="1"/>
    </xf>
    <xf numFmtId="0" fontId="0" fillId="3" borderId="0" xfId="0" applyFill="1" applyAlignment="1">
      <alignment horizontal="center"/>
    </xf>
    <xf numFmtId="0" fontId="0" fillId="17" borderId="0" xfId="0" applyFill="1" applyAlignment="1">
      <alignment horizontal="center" wrapText="1"/>
    </xf>
    <xf numFmtId="0" fontId="0" fillId="17" borderId="20" xfId="0" applyFill="1" applyBorder="1" applyAlignment="1">
      <alignment horizontal="center" wrapText="1"/>
    </xf>
    <xf numFmtId="164" fontId="9" fillId="3" borderId="0" xfId="0" applyNumberFormat="1" applyFont="1" applyFill="1"/>
    <xf numFmtId="164" fontId="9" fillId="3" borderId="0" xfId="1" applyNumberFormat="1" applyFont="1" applyFill="1"/>
    <xf numFmtId="164" fontId="9" fillId="3" borderId="20" xfId="0" applyNumberFormat="1" applyFont="1" applyFill="1" applyBorder="1"/>
    <xf numFmtId="164" fontId="0" fillId="17" borderId="0" xfId="0" applyNumberFormat="1" applyFill="1" applyAlignment="1">
      <alignment horizontal="center" vertical="center"/>
    </xf>
    <xf numFmtId="0" fontId="0" fillId="3" borderId="0" xfId="0" applyFill="1" applyAlignment="1" applyProtection="1">
      <alignment horizontal="center" vertical="center"/>
      <protection locked="0"/>
    </xf>
    <xf numFmtId="10" fontId="0" fillId="3" borderId="0" xfId="0" applyNumberFormat="1" applyFill="1" applyAlignment="1" applyProtection="1">
      <alignment horizontal="center" vertical="center"/>
      <protection locked="0"/>
    </xf>
    <xf numFmtId="0" fontId="0" fillId="19" borderId="0" xfId="0" applyFill="1" applyProtection="1">
      <protection locked="0"/>
    </xf>
    <xf numFmtId="0" fontId="56" fillId="19" borderId="0" xfId="0" applyFont="1" applyFill="1" applyAlignment="1" applyProtection="1">
      <alignment horizontal="center" vertical="center"/>
      <protection locked="0"/>
    </xf>
    <xf numFmtId="0" fontId="0" fillId="19" borderId="0" xfId="0" applyFill="1" applyAlignment="1" applyProtection="1">
      <alignment horizontal="center" vertical="center"/>
      <protection locked="0"/>
    </xf>
    <xf numFmtId="0" fontId="0" fillId="19" borderId="0" xfId="0" applyFill="1" applyAlignment="1" applyProtection="1">
      <alignment horizontal="center" vertical="center" wrapText="1"/>
      <protection locked="0"/>
    </xf>
    <xf numFmtId="9" fontId="0" fillId="19" borderId="0" xfId="3" applyFont="1" applyFill="1" applyAlignment="1" applyProtection="1">
      <alignment horizontal="center" vertical="center"/>
      <protection locked="0"/>
    </xf>
    <xf numFmtId="0" fontId="9" fillId="19" borderId="0" xfId="0" applyFont="1" applyFill="1" applyAlignment="1" applyProtection="1">
      <alignment horizontal="center" vertical="center"/>
      <protection locked="0"/>
    </xf>
    <xf numFmtId="0" fontId="0" fillId="3" borderId="0" xfId="0" applyFill="1" applyAlignment="1">
      <alignment horizontal="center" vertical="center"/>
    </xf>
    <xf numFmtId="0" fontId="0" fillId="10" borderId="0" xfId="0" applyFill="1" applyAlignment="1">
      <alignment horizontal="center" vertical="center"/>
    </xf>
    <xf numFmtId="0" fontId="0" fillId="3" borderId="0" xfId="0" applyFill="1" applyAlignment="1">
      <alignment horizontal="center" vertical="center" wrapText="1"/>
    </xf>
    <xf numFmtId="9" fontId="0" fillId="17" borderId="0" xfId="3" applyFont="1" applyFill="1" applyAlignment="1" applyProtection="1">
      <alignment horizontal="center" vertical="center"/>
      <protection locked="0"/>
    </xf>
    <xf numFmtId="164" fontId="8" fillId="13" borderId="27" xfId="0" applyNumberFormat="1" applyFont="1" applyFill="1" applyBorder="1" applyAlignment="1" applyProtection="1">
      <alignment horizontal="center" vertical="center"/>
      <protection locked="0"/>
    </xf>
    <xf numFmtId="164" fontId="9" fillId="0" borderId="28" xfId="0" applyNumberFormat="1" applyFont="1" applyBorder="1" applyAlignment="1" applyProtection="1">
      <alignment horizontal="center" vertical="center"/>
      <protection locked="0"/>
    </xf>
    <xf numFmtId="164" fontId="9" fillId="0" borderId="29" xfId="0" applyNumberFormat="1" applyFont="1" applyBorder="1" applyAlignment="1" applyProtection="1">
      <alignment horizontal="center" vertical="center"/>
      <protection locked="0"/>
    </xf>
    <xf numFmtId="0" fontId="8" fillId="20" borderId="30" xfId="0" applyFont="1" applyFill="1" applyBorder="1" applyAlignment="1" applyProtection="1">
      <alignment horizontal="center" vertical="center"/>
      <protection locked="0"/>
    </xf>
    <xf numFmtId="0" fontId="9" fillId="0" borderId="31" xfId="0" applyFont="1" applyBorder="1" applyAlignment="1" applyProtection="1">
      <alignment horizontal="center" vertical="center"/>
      <protection locked="0"/>
    </xf>
    <xf numFmtId="0" fontId="9" fillId="0" borderId="32" xfId="0" applyFont="1" applyBorder="1" applyAlignment="1" applyProtection="1">
      <alignment horizontal="center" vertical="center"/>
      <protection locked="0"/>
    </xf>
    <xf numFmtId="166" fontId="0" fillId="3" borderId="0" xfId="1" applyFont="1" applyFill="1" applyAlignment="1" applyProtection="1">
      <alignment horizontal="center" vertical="center"/>
      <protection locked="0"/>
    </xf>
    <xf numFmtId="0" fontId="9" fillId="3" borderId="0" xfId="0" applyFont="1" applyFill="1" applyAlignment="1" applyProtection="1">
      <alignment horizontal="center" vertical="center"/>
      <protection locked="0"/>
    </xf>
    <xf numFmtId="166" fontId="9" fillId="3" borderId="0" xfId="1" applyFont="1" applyFill="1" applyAlignment="1" applyProtection="1">
      <alignment horizontal="center" vertical="center"/>
      <protection locked="0"/>
    </xf>
    <xf numFmtId="166" fontId="1" fillId="3" borderId="0" xfId="1" applyFont="1" applyFill="1" applyAlignment="1" applyProtection="1">
      <alignment horizontal="center" vertical="center"/>
      <protection locked="0"/>
    </xf>
    <xf numFmtId="166" fontId="9" fillId="3" borderId="0" xfId="0" applyNumberFormat="1" applyFont="1" applyFill="1" applyAlignment="1" applyProtection="1">
      <alignment horizontal="center" vertical="center"/>
      <protection locked="0"/>
    </xf>
    <xf numFmtId="9" fontId="0" fillId="3" borderId="0" xfId="3" applyFont="1" applyFill="1" applyAlignment="1" applyProtection="1">
      <alignment horizontal="center" vertical="center"/>
      <protection locked="0"/>
    </xf>
    <xf numFmtId="0" fontId="9" fillId="17" borderId="0" xfId="1" applyNumberFormat="1" applyFont="1" applyFill="1" applyAlignment="1" applyProtection="1">
      <alignment horizontal="center" vertical="center"/>
      <protection locked="0"/>
    </xf>
    <xf numFmtId="0" fontId="0" fillId="17" borderId="0" xfId="3" applyNumberFormat="1" applyFont="1" applyFill="1" applyAlignment="1" applyProtection="1">
      <protection locked="0"/>
    </xf>
    <xf numFmtId="0" fontId="14" fillId="17" borderId="0" xfId="1" applyNumberFormat="1" applyFont="1" applyFill="1" applyProtection="1">
      <protection locked="0"/>
    </xf>
    <xf numFmtId="8" fontId="0" fillId="17" borderId="0" xfId="1" applyNumberFormat="1" applyFont="1" applyFill="1" applyAlignment="1" applyProtection="1">
      <alignment horizontal="center" vertical="center"/>
      <protection locked="0"/>
    </xf>
    <xf numFmtId="8" fontId="0" fillId="17" borderId="0" xfId="1" applyNumberFormat="1" applyFont="1" applyFill="1" applyProtection="1">
      <protection locked="0"/>
    </xf>
    <xf numFmtId="173" fontId="0" fillId="17" borderId="0" xfId="1" applyNumberFormat="1" applyFont="1" applyFill="1" applyProtection="1">
      <protection locked="0"/>
    </xf>
    <xf numFmtId="9" fontId="0" fillId="17" borderId="0" xfId="3" applyFont="1" applyFill="1" applyProtection="1">
      <protection locked="0"/>
    </xf>
    <xf numFmtId="8" fontId="10" fillId="17" borderId="0" xfId="1" applyNumberFormat="1" applyFont="1" applyFill="1" applyAlignment="1" applyProtection="1">
      <alignment horizontal="center" vertical="center"/>
      <protection locked="0"/>
    </xf>
    <xf numFmtId="9" fontId="0" fillId="17" borderId="0" xfId="3" applyFont="1" applyFill="1" applyAlignment="1" applyProtection="1">
      <alignment horizontal="center"/>
      <protection locked="0"/>
    </xf>
    <xf numFmtId="0" fontId="14" fillId="17" borderId="0" xfId="1" applyNumberFormat="1" applyFont="1" applyFill="1" applyAlignment="1" applyProtection="1">
      <alignment horizontal="center" vertical="center"/>
      <protection locked="0"/>
    </xf>
    <xf numFmtId="173" fontId="0" fillId="17" borderId="0" xfId="1" applyNumberFormat="1" applyFont="1" applyFill="1" applyAlignment="1" applyProtection="1">
      <alignment horizontal="center" vertical="center"/>
      <protection locked="0"/>
    </xf>
    <xf numFmtId="173" fontId="0" fillId="0" borderId="0" xfId="1" applyNumberFormat="1" applyFont="1" applyFill="1" applyAlignment="1" applyProtection="1">
      <alignment horizontal="center" vertical="center"/>
      <protection locked="0"/>
    </xf>
    <xf numFmtId="0" fontId="0" fillId="17" borderId="0" xfId="1" applyNumberFormat="1" applyFont="1" applyFill="1" applyAlignment="1" applyProtection="1">
      <alignment horizontal="center" vertical="center"/>
      <protection locked="0"/>
    </xf>
    <xf numFmtId="9" fontId="0" fillId="0" borderId="0" xfId="3" applyFont="1" applyFill="1" applyBorder="1" applyAlignment="1" applyProtection="1">
      <alignment horizontal="center" vertical="center"/>
      <protection locked="0"/>
    </xf>
    <xf numFmtId="164" fontId="9" fillId="0" borderId="0" xfId="0" applyNumberFormat="1" applyFont="1" applyAlignment="1">
      <alignment horizontal="center"/>
    </xf>
    <xf numFmtId="0" fontId="14" fillId="2" borderId="0" xfId="1" applyNumberFormat="1" applyFont="1" applyFill="1" applyAlignment="1" applyProtection="1">
      <alignment horizontal="center" vertical="center"/>
      <protection locked="0"/>
    </xf>
    <xf numFmtId="164" fontId="3" fillId="2" borderId="0" xfId="1" applyNumberFormat="1" applyFont="1" applyFill="1" applyProtection="1">
      <protection locked="0"/>
    </xf>
    <xf numFmtId="0" fontId="0" fillId="0" borderId="33" xfId="0" applyBorder="1" applyProtection="1">
      <protection locked="0"/>
    </xf>
    <xf numFmtId="0" fontId="0" fillId="0" borderId="34" xfId="0" applyBorder="1" applyProtection="1">
      <protection locked="0"/>
    </xf>
    <xf numFmtId="0" fontId="9" fillId="0" borderId="34" xfId="0" applyFont="1" applyBorder="1" applyProtection="1">
      <protection locked="0"/>
    </xf>
    <xf numFmtId="0" fontId="0" fillId="0" borderId="35" xfId="0" applyBorder="1" applyProtection="1">
      <protection locked="0"/>
    </xf>
    <xf numFmtId="0" fontId="0" fillId="17" borderId="0" xfId="0" applyFill="1" applyAlignment="1" applyProtection="1">
      <alignment horizontal="center" vertical="center"/>
      <protection locked="0"/>
    </xf>
    <xf numFmtId="166" fontId="0" fillId="17" borderId="0" xfId="3" applyNumberFormat="1" applyFont="1" applyFill="1" applyAlignment="1" applyProtection="1">
      <alignment horizontal="center"/>
      <protection locked="0"/>
    </xf>
    <xf numFmtId="0" fontId="9" fillId="17" borderId="0" xfId="0" applyFont="1" applyFill="1" applyAlignment="1" applyProtection="1">
      <alignment horizontal="center" vertical="center"/>
      <protection locked="0"/>
    </xf>
    <xf numFmtId="174" fontId="9" fillId="17" borderId="0" xfId="2" applyNumberFormat="1" applyFont="1" applyFill="1" applyBorder="1" applyProtection="1">
      <protection locked="0"/>
    </xf>
    <xf numFmtId="174" fontId="9" fillId="17" borderId="5" xfId="2" applyNumberFormat="1" applyFont="1" applyFill="1" applyBorder="1" applyProtection="1">
      <protection locked="0"/>
    </xf>
    <xf numFmtId="175" fontId="0" fillId="17" borderId="0" xfId="1" applyNumberFormat="1" applyFont="1" applyFill="1" applyBorder="1" applyProtection="1">
      <protection locked="0"/>
    </xf>
    <xf numFmtId="174" fontId="0" fillId="17" borderId="0" xfId="2" applyNumberFormat="1" applyFont="1" applyFill="1" applyProtection="1">
      <protection locked="0"/>
    </xf>
    <xf numFmtId="174" fontId="0" fillId="17" borderId="5" xfId="2" applyNumberFormat="1" applyFont="1" applyFill="1" applyBorder="1" applyProtection="1">
      <protection locked="0"/>
    </xf>
    <xf numFmtId="175" fontId="0" fillId="17" borderId="5" xfId="1" applyNumberFormat="1" applyFont="1" applyFill="1" applyBorder="1" applyProtection="1">
      <protection locked="0"/>
    </xf>
    <xf numFmtId="0" fontId="57" fillId="0" borderId="34" xfId="0" applyFont="1" applyBorder="1" applyAlignment="1" applyProtection="1">
      <alignment horizontal="center" vertical="center"/>
      <protection locked="0"/>
    </xf>
    <xf numFmtId="166" fontId="0" fillId="17" borderId="0" xfId="3" applyNumberFormat="1" applyFont="1" applyFill="1" applyAlignment="1" applyProtection="1">
      <alignment horizontal="center" vertical="center"/>
      <protection locked="0"/>
    </xf>
    <xf numFmtId="9" fontId="9" fillId="17" borderId="0" xfId="3" applyFont="1" applyFill="1" applyBorder="1" applyAlignment="1" applyProtection="1">
      <alignment horizontal="center" vertical="center"/>
      <protection locked="0"/>
    </xf>
    <xf numFmtId="0" fontId="58" fillId="0" borderId="33" xfId="0" applyFont="1" applyBorder="1" applyAlignment="1" applyProtection="1">
      <alignment horizontal="center" vertical="center"/>
      <protection locked="0"/>
    </xf>
    <xf numFmtId="8" fontId="9" fillId="0" borderId="0" xfId="1" applyNumberFormat="1" applyFont="1" applyAlignment="1" applyProtection="1">
      <alignment horizontal="center"/>
      <protection locked="0"/>
    </xf>
    <xf numFmtId="1" fontId="59" fillId="0" borderId="0" xfId="3" applyNumberFormat="1" applyFont="1" applyAlignment="1" applyProtection="1">
      <alignment horizontal="center" vertical="center"/>
      <protection locked="0"/>
    </xf>
    <xf numFmtId="9" fontId="0" fillId="2" borderId="0" xfId="3" applyFont="1" applyFill="1" applyBorder="1" applyAlignment="1" applyProtection="1">
      <alignment horizontal="center" vertical="center"/>
      <protection locked="0"/>
    </xf>
    <xf numFmtId="9" fontId="0" fillId="0" borderId="0" xfId="3" applyFont="1" applyBorder="1" applyAlignment="1" applyProtection="1">
      <alignment horizontal="center" vertical="center"/>
      <protection locked="0"/>
    </xf>
    <xf numFmtId="173" fontId="0" fillId="17" borderId="44" xfId="1" applyNumberFormat="1" applyFont="1" applyFill="1" applyBorder="1" applyAlignment="1" applyProtection="1">
      <alignment horizontal="center" vertical="center"/>
      <protection locked="0"/>
    </xf>
    <xf numFmtId="0" fontId="14" fillId="17" borderId="0" xfId="1" applyNumberFormat="1" applyFont="1" applyFill="1" applyBorder="1" applyProtection="1">
      <protection locked="0"/>
    </xf>
    <xf numFmtId="173" fontId="0" fillId="17" borderId="0" xfId="1" applyNumberFormat="1" applyFont="1" applyFill="1" applyBorder="1" applyProtection="1">
      <protection locked="0"/>
    </xf>
    <xf numFmtId="0" fontId="14" fillId="17" borderId="0" xfId="1" applyNumberFormat="1" applyFont="1" applyFill="1" applyBorder="1" applyAlignment="1" applyProtection="1">
      <alignment horizontal="center" vertical="center"/>
      <protection locked="0"/>
    </xf>
    <xf numFmtId="173" fontId="0" fillId="17" borderId="0" xfId="1" applyNumberFormat="1" applyFont="1" applyFill="1" applyBorder="1" applyAlignment="1" applyProtection="1">
      <alignment horizontal="center" vertical="center"/>
      <protection locked="0"/>
    </xf>
    <xf numFmtId="6" fontId="10" fillId="0" borderId="0" xfId="3" applyNumberFormat="1" applyFont="1" applyBorder="1" applyProtection="1">
      <protection locked="0"/>
    </xf>
    <xf numFmtId="174" fontId="0" fillId="17" borderId="0" xfId="2" applyNumberFormat="1" applyFont="1" applyFill="1" applyBorder="1" applyProtection="1">
      <protection locked="0"/>
    </xf>
    <xf numFmtId="174" fontId="0" fillId="2" borderId="0" xfId="2" applyNumberFormat="1" applyFont="1" applyFill="1" applyBorder="1" applyProtection="1">
      <protection locked="0"/>
    </xf>
    <xf numFmtId="6" fontId="0" fillId="0" borderId="0" xfId="1" applyNumberFormat="1" applyFont="1" applyBorder="1" applyProtection="1">
      <protection locked="0"/>
    </xf>
    <xf numFmtId="0" fontId="0" fillId="0" borderId="45" xfId="0" applyBorder="1" applyProtection="1">
      <protection locked="0"/>
    </xf>
    <xf numFmtId="17" fontId="9" fillId="0" borderId="45" xfId="0" applyNumberFormat="1" applyFont="1" applyBorder="1" applyProtection="1">
      <protection locked="0"/>
    </xf>
    <xf numFmtId="9" fontId="10" fillId="0" borderId="45" xfId="3" applyFont="1" applyBorder="1" applyProtection="1">
      <protection locked="0"/>
    </xf>
    <xf numFmtId="6" fontId="0" fillId="0" borderId="45" xfId="0" applyNumberFormat="1" applyBorder="1" applyProtection="1">
      <protection locked="0"/>
    </xf>
    <xf numFmtId="174" fontId="0" fillId="17" borderId="45" xfId="2" applyNumberFormat="1" applyFont="1" applyFill="1" applyBorder="1" applyProtection="1">
      <protection locked="0"/>
    </xf>
    <xf numFmtId="174" fontId="0" fillId="2" borderId="45" xfId="2" applyNumberFormat="1" applyFont="1" applyFill="1" applyBorder="1" applyProtection="1">
      <protection locked="0"/>
    </xf>
    <xf numFmtId="174" fontId="9" fillId="17" borderId="45" xfId="2" applyNumberFormat="1" applyFont="1" applyFill="1" applyBorder="1" applyProtection="1">
      <protection locked="0"/>
    </xf>
    <xf numFmtId="175" fontId="0" fillId="17" borderId="45" xfId="1" applyNumberFormat="1" applyFont="1" applyFill="1" applyBorder="1" applyProtection="1">
      <protection locked="0"/>
    </xf>
    <xf numFmtId="6" fontId="0" fillId="0" borderId="45" xfId="1" applyNumberFormat="1" applyFont="1" applyBorder="1" applyProtection="1">
      <protection locked="0"/>
    </xf>
    <xf numFmtId="175" fontId="0" fillId="0" borderId="45" xfId="1" applyNumberFormat="1" applyFont="1" applyFill="1" applyBorder="1" applyProtection="1">
      <protection locked="0"/>
    </xf>
    <xf numFmtId="164" fontId="35" fillId="21" borderId="0" xfId="0" applyNumberFormat="1" applyFont="1" applyFill="1" applyAlignment="1" applyProtection="1">
      <alignment horizontal="left"/>
      <protection locked="0"/>
    </xf>
    <xf numFmtId="164" fontId="0" fillId="21" borderId="0" xfId="0" applyNumberFormat="1" applyFill="1" applyProtection="1">
      <protection locked="0"/>
    </xf>
    <xf numFmtId="164" fontId="0" fillId="21" borderId="0" xfId="0" applyNumberFormat="1" applyFill="1" applyAlignment="1" applyProtection="1">
      <alignment horizontal="right"/>
      <protection locked="0"/>
    </xf>
    <xf numFmtId="49" fontId="0" fillId="21" borderId="0" xfId="0" applyNumberFormat="1" applyFill="1" applyProtection="1">
      <protection locked="0"/>
    </xf>
    <xf numFmtId="164" fontId="9" fillId="3" borderId="0" xfId="0" applyNumberFormat="1" applyFont="1" applyFill="1" applyAlignment="1">
      <alignment horizontal="center" vertical="center"/>
    </xf>
    <xf numFmtId="164" fontId="0" fillId="3" borderId="0" xfId="0" applyNumberFormat="1" applyFill="1" applyAlignment="1">
      <alignment horizontal="center"/>
    </xf>
    <xf numFmtId="17" fontId="9" fillId="3" borderId="0" xfId="0" applyNumberFormat="1" applyFont="1" applyFill="1"/>
    <xf numFmtId="17" fontId="9" fillId="3" borderId="20" xfId="0" applyNumberFormat="1" applyFont="1" applyFill="1" applyBorder="1"/>
    <xf numFmtId="0" fontId="0" fillId="3" borderId="20" xfId="0" applyFill="1" applyBorder="1"/>
    <xf numFmtId="0" fontId="9" fillId="3" borderId="0" xfId="0" applyFont="1" applyFill="1" applyAlignment="1">
      <alignment horizontal="center" vertical="center"/>
    </xf>
    <xf numFmtId="174" fontId="0" fillId="3" borderId="0" xfId="2" applyNumberFormat="1" applyFont="1" applyFill="1"/>
    <xf numFmtId="17" fontId="9" fillId="3" borderId="0" xfId="0" applyNumberFormat="1" applyFont="1" applyFill="1" applyAlignment="1">
      <alignment horizontal="center" vertical="center"/>
    </xf>
    <xf numFmtId="9" fontId="0" fillId="3" borderId="0" xfId="0" applyNumberFormat="1" applyFill="1" applyAlignment="1">
      <alignment horizontal="center" wrapText="1"/>
    </xf>
    <xf numFmtId="0" fontId="0" fillId="3" borderId="20" xfId="0" applyFill="1" applyBorder="1" applyAlignment="1">
      <alignment horizontal="center" wrapText="1"/>
    </xf>
    <xf numFmtId="0" fontId="0" fillId="0" borderId="36" xfId="0" applyBorder="1"/>
    <xf numFmtId="0" fontId="0" fillId="0" borderId="42" xfId="0" applyBorder="1"/>
    <xf numFmtId="0" fontId="0" fillId="0" borderId="37" xfId="0" applyBorder="1" applyAlignment="1">
      <alignment horizontal="center"/>
    </xf>
    <xf numFmtId="0" fontId="0" fillId="0" borderId="38" xfId="0" applyBorder="1"/>
    <xf numFmtId="0" fontId="0" fillId="0" borderId="39" xfId="0" applyBorder="1" applyAlignment="1">
      <alignment horizontal="center"/>
    </xf>
    <xf numFmtId="0" fontId="0" fillId="0" borderId="40" xfId="0" applyBorder="1"/>
    <xf numFmtId="0" fontId="0" fillId="0" borderId="43" xfId="0" applyBorder="1"/>
    <xf numFmtId="0" fontId="0" fillId="0" borderId="41" xfId="0" applyBorder="1" applyAlignment="1">
      <alignment horizontal="center"/>
    </xf>
    <xf numFmtId="164" fontId="0" fillId="0" borderId="37" xfId="0" applyNumberFormat="1" applyBorder="1" applyAlignment="1">
      <alignment horizontal="center" wrapText="1"/>
    </xf>
    <xf numFmtId="0" fontId="0" fillId="0" borderId="39" xfId="0" applyBorder="1" applyAlignment="1">
      <alignment horizontal="center" wrapText="1"/>
    </xf>
    <xf numFmtId="0" fontId="9" fillId="0" borderId="39" xfId="0" applyFont="1" applyBorder="1" applyAlignment="1">
      <alignment horizontal="center" wrapText="1"/>
    </xf>
    <xf numFmtId="164" fontId="0" fillId="0" borderId="39" xfId="0" applyNumberFormat="1" applyBorder="1" applyAlignment="1">
      <alignment horizontal="center" wrapText="1"/>
    </xf>
    <xf numFmtId="0" fontId="0" fillId="3" borderId="36" xfId="0" applyFill="1" applyBorder="1"/>
    <xf numFmtId="0" fontId="0" fillId="3" borderId="42" xfId="0" applyFill="1" applyBorder="1"/>
    <xf numFmtId="0" fontId="0" fillId="3" borderId="37" xfId="0" applyFill="1" applyBorder="1" applyAlignment="1">
      <alignment horizontal="center" wrapText="1"/>
    </xf>
    <xf numFmtId="0" fontId="0" fillId="3" borderId="38" xfId="0" applyFill="1" applyBorder="1"/>
    <xf numFmtId="0" fontId="0" fillId="3" borderId="39" xfId="0" applyFill="1" applyBorder="1" applyAlignment="1">
      <alignment horizontal="center" wrapText="1"/>
    </xf>
    <xf numFmtId="0" fontId="9" fillId="3" borderId="39" xfId="0" applyFont="1" applyFill="1" applyBorder="1" applyAlignment="1">
      <alignment horizontal="center" wrapText="1"/>
    </xf>
    <xf numFmtId="0" fontId="0" fillId="3" borderId="39" xfId="0" applyFill="1" applyBorder="1" applyAlignment="1">
      <alignment horizontal="center"/>
    </xf>
    <xf numFmtId="0" fontId="0" fillId="3" borderId="40" xfId="0" applyFill="1" applyBorder="1"/>
    <xf numFmtId="0" fontId="0" fillId="3" borderId="43" xfId="0" applyFill="1" applyBorder="1"/>
    <xf numFmtId="0" fontId="0" fillId="3" borderId="41" xfId="0" applyFill="1" applyBorder="1" applyAlignment="1">
      <alignment horizontal="center"/>
    </xf>
    <xf numFmtId="8" fontId="0" fillId="21" borderId="0" xfId="1" applyNumberFormat="1" applyFont="1" applyFill="1" applyProtection="1">
      <protection locked="0"/>
    </xf>
    <xf numFmtId="9" fontId="0" fillId="21" borderId="0" xfId="3" applyFont="1" applyFill="1" applyProtection="1">
      <protection locked="0"/>
    </xf>
    <xf numFmtId="8" fontId="24" fillId="21" borderId="0" xfId="1" applyNumberFormat="1" applyFont="1" applyFill="1" applyAlignment="1" applyProtection="1">
      <alignment horizontal="left"/>
      <protection locked="0"/>
    </xf>
    <xf numFmtId="8" fontId="19" fillId="21" borderId="0" xfId="1" applyNumberFormat="1" applyFont="1" applyFill="1" applyProtection="1">
      <protection locked="0"/>
    </xf>
    <xf numFmtId="8" fontId="9" fillId="21" borderId="0" xfId="1" applyNumberFormat="1" applyFont="1" applyFill="1" applyProtection="1">
      <protection locked="0"/>
    </xf>
    <xf numFmtId="8" fontId="9" fillId="21" borderId="0" xfId="1" applyNumberFormat="1" applyFont="1" applyFill="1" applyBorder="1" applyProtection="1">
      <protection locked="0"/>
    </xf>
    <xf numFmtId="164" fontId="15" fillId="21" borderId="0" xfId="0" applyNumberFormat="1" applyFont="1" applyFill="1" applyAlignment="1" applyProtection="1">
      <alignment horizontal="left"/>
      <protection locked="0"/>
    </xf>
    <xf numFmtId="0" fontId="9" fillId="21" borderId="0" xfId="0" applyFont="1" applyFill="1" applyProtection="1">
      <protection locked="0"/>
    </xf>
    <xf numFmtId="0" fontId="9" fillId="21" borderId="0" xfId="0" applyFont="1" applyFill="1" applyAlignment="1" applyProtection="1">
      <alignment horizontal="center" vertical="center"/>
      <protection locked="0"/>
    </xf>
    <xf numFmtId="6" fontId="9" fillId="21" borderId="0" xfId="0" applyNumberFormat="1" applyFont="1" applyFill="1" applyProtection="1">
      <protection locked="0"/>
    </xf>
    <xf numFmtId="0" fontId="0" fillId="21" borderId="0" xfId="0" applyFill="1" applyProtection="1">
      <protection locked="0"/>
    </xf>
    <xf numFmtId="164" fontId="9" fillId="0" borderId="0" xfId="0" applyNumberFormat="1" applyFont="1" applyAlignment="1">
      <alignment horizontal="center" vertical="center"/>
    </xf>
    <xf numFmtId="164" fontId="9" fillId="0" borderId="0" xfId="0" applyNumberFormat="1" applyFont="1"/>
    <xf numFmtId="164" fontId="9" fillId="0" borderId="0" xfId="1" applyNumberFormat="1" applyFont="1" applyFill="1"/>
    <xf numFmtId="164" fontId="9" fillId="0" borderId="20" xfId="0" applyNumberFormat="1" applyFont="1" applyBorder="1"/>
    <xf numFmtId="164" fontId="54" fillId="17" borderId="0" xfId="1" applyNumberFormat="1" applyFont="1" applyFill="1"/>
    <xf numFmtId="164" fontId="54" fillId="17" borderId="0" xfId="0" applyNumberFormat="1" applyFont="1" applyFill="1"/>
    <xf numFmtId="164" fontId="54" fillId="17" borderId="20" xfId="0" applyNumberFormat="1" applyFont="1" applyFill="1" applyBorder="1"/>
    <xf numFmtId="175" fontId="54" fillId="21" borderId="0" xfId="0" applyNumberFormat="1" applyFont="1" applyFill="1" applyProtection="1">
      <protection locked="0"/>
    </xf>
    <xf numFmtId="175" fontId="54" fillId="21" borderId="45" xfId="0" applyNumberFormat="1" applyFont="1" applyFill="1" applyBorder="1" applyProtection="1">
      <protection locked="0"/>
    </xf>
    <xf numFmtId="175" fontId="54" fillId="21" borderId="5" xfId="0" applyNumberFormat="1" applyFont="1" applyFill="1" applyBorder="1" applyProtection="1">
      <protection locked="0"/>
    </xf>
    <xf numFmtId="6" fontId="54" fillId="21" borderId="0" xfId="0" applyNumberFormat="1" applyFont="1" applyFill="1" applyProtection="1">
      <protection locked="0"/>
    </xf>
    <xf numFmtId="6" fontId="54" fillId="21" borderId="45" xfId="0" applyNumberFormat="1" applyFont="1" applyFill="1" applyBorder="1" applyProtection="1">
      <protection locked="0"/>
    </xf>
    <xf numFmtId="6" fontId="54" fillId="21" borderId="5" xfId="0" applyNumberFormat="1" applyFont="1" applyFill="1" applyBorder="1" applyProtection="1">
      <protection locked="0"/>
    </xf>
    <xf numFmtId="164" fontId="9" fillId="0" borderId="0" xfId="1" applyNumberFormat="1" applyFont="1" applyFill="1" applyBorder="1" applyAlignment="1" applyProtection="1">
      <alignment horizontal="center" vertical="center"/>
      <protection locked="0"/>
    </xf>
    <xf numFmtId="164" fontId="0" fillId="0" borderId="0" xfId="0" applyNumberFormat="1" applyAlignment="1" applyProtection="1">
      <alignment horizontal="center" vertical="center"/>
      <protection hidden="1"/>
    </xf>
    <xf numFmtId="164" fontId="0" fillId="0" borderId="0" xfId="0" applyNumberFormat="1" applyAlignment="1" applyProtection="1">
      <alignment horizontal="center" vertical="center"/>
      <protection locked="0"/>
    </xf>
    <xf numFmtId="164" fontId="0" fillId="0" borderId="5" xfId="0" applyNumberFormat="1" applyBorder="1" applyAlignment="1" applyProtection="1">
      <alignment horizontal="center" vertical="center"/>
      <protection locked="0"/>
    </xf>
    <xf numFmtId="164" fontId="0" fillId="3" borderId="0" xfId="0" applyNumberFormat="1" applyFill="1" applyAlignment="1" applyProtection="1">
      <alignment horizontal="center" vertical="center"/>
      <protection locked="0"/>
    </xf>
    <xf numFmtId="164" fontId="21" fillId="3" borderId="0" xfId="0" applyNumberFormat="1" applyFont="1" applyFill="1" applyAlignment="1" applyProtection="1">
      <alignment horizontal="center" vertical="center"/>
      <protection locked="0"/>
    </xf>
    <xf numFmtId="164" fontId="0" fillId="0" borderId="5" xfId="1" applyNumberFormat="1" applyFont="1" applyBorder="1" applyAlignment="1" applyProtection="1">
      <alignment horizontal="center" vertical="center"/>
      <protection locked="0"/>
    </xf>
    <xf numFmtId="164" fontId="0" fillId="0" borderId="0" xfId="1" applyNumberFormat="1" applyFont="1" applyFill="1" applyBorder="1" applyAlignment="1" applyProtection="1">
      <alignment horizontal="center" vertical="center"/>
      <protection locked="0"/>
    </xf>
    <xf numFmtId="164" fontId="0" fillId="0" borderId="5" xfId="1" applyNumberFormat="1" applyFont="1" applyFill="1" applyBorder="1" applyAlignment="1" applyProtection="1">
      <alignment horizontal="center" vertical="center"/>
      <protection locked="0"/>
    </xf>
    <xf numFmtId="164" fontId="0" fillId="0" borderId="0" xfId="2" applyNumberFormat="1" applyFont="1" applyFill="1" applyAlignment="1" applyProtection="1">
      <alignment horizontal="center" vertical="center"/>
      <protection locked="0"/>
    </xf>
    <xf numFmtId="170" fontId="0" fillId="0" borderId="0" xfId="3" applyNumberFormat="1" applyFont="1" applyAlignment="1" applyProtection="1">
      <alignment horizontal="center" vertical="center"/>
      <protection locked="0"/>
    </xf>
    <xf numFmtId="170" fontId="0" fillId="0" borderId="0" xfId="3" applyNumberFormat="1" applyFont="1" applyFill="1" applyBorder="1" applyAlignment="1" applyProtection="1">
      <alignment horizontal="center" vertical="center"/>
      <protection locked="0"/>
    </xf>
    <xf numFmtId="164" fontId="0" fillId="0" borderId="0" xfId="1" applyNumberFormat="1" applyFont="1" applyBorder="1" applyAlignment="1" applyProtection="1">
      <alignment horizontal="center" vertical="center"/>
      <protection locked="0"/>
    </xf>
    <xf numFmtId="164" fontId="1" fillId="0" borderId="0" xfId="1" applyNumberFormat="1" applyFont="1" applyFill="1" applyAlignment="1" applyProtection="1">
      <alignment horizontal="center" vertical="center"/>
      <protection locked="0"/>
    </xf>
    <xf numFmtId="164" fontId="1" fillId="0" borderId="5" xfId="1" applyNumberFormat="1" applyFont="1" applyFill="1" applyBorder="1" applyAlignment="1" applyProtection="1">
      <alignment horizontal="center" vertical="center"/>
      <protection locked="0"/>
    </xf>
    <xf numFmtId="164" fontId="1" fillId="0" borderId="0" xfId="1" applyNumberFormat="1" applyFont="1" applyFill="1" applyBorder="1" applyAlignment="1" applyProtection="1">
      <alignment horizontal="center" vertical="center"/>
      <protection locked="0"/>
    </xf>
    <xf numFmtId="164" fontId="10" fillId="0" borderId="0" xfId="1" applyNumberFormat="1" applyFont="1" applyFill="1" applyAlignment="1" applyProtection="1">
      <alignment horizontal="center" vertical="center"/>
      <protection locked="0"/>
    </xf>
    <xf numFmtId="164" fontId="24" fillId="0" borderId="0" xfId="0" applyNumberFormat="1" applyFont="1" applyAlignment="1" applyProtection="1">
      <alignment horizontal="center" vertical="center"/>
      <protection locked="0"/>
    </xf>
    <xf numFmtId="170" fontId="0" fillId="0" borderId="0" xfId="3" applyNumberFormat="1" applyFont="1" applyBorder="1" applyAlignment="1" applyProtection="1">
      <alignment horizontal="center" vertical="center"/>
      <protection locked="0"/>
    </xf>
    <xf numFmtId="164" fontId="27" fillId="0" borderId="0" xfId="1" applyNumberFormat="1" applyFont="1" applyFill="1" applyAlignment="1" applyProtection="1">
      <alignment horizontal="center" vertical="center"/>
      <protection locked="0"/>
    </xf>
    <xf numFmtId="164" fontId="0" fillId="6" borderId="0" xfId="1" applyNumberFormat="1" applyFont="1" applyFill="1" applyAlignment="1" applyProtection="1">
      <alignment horizontal="center" vertical="center"/>
      <protection locked="0"/>
    </xf>
    <xf numFmtId="164" fontId="0" fillId="6" borderId="5" xfId="1" applyNumberFormat="1" applyFont="1" applyFill="1" applyBorder="1" applyAlignment="1" applyProtection="1">
      <alignment horizontal="center" vertical="center"/>
      <protection locked="0"/>
    </xf>
    <xf numFmtId="164" fontId="8" fillId="0" borderId="0" xfId="0" applyNumberFormat="1" applyFont="1" applyAlignment="1" applyProtection="1">
      <alignment horizontal="center" vertical="center"/>
      <protection locked="0"/>
    </xf>
    <xf numFmtId="17" fontId="19" fillId="0" borderId="0" xfId="0" applyNumberFormat="1" applyFont="1" applyAlignment="1" applyProtection="1">
      <alignment horizontal="center" vertical="center"/>
      <protection locked="0"/>
    </xf>
    <xf numFmtId="17" fontId="9" fillId="0" borderId="0" xfId="0" applyNumberFormat="1" applyFont="1" applyAlignment="1" applyProtection="1">
      <alignment horizontal="center" vertical="center"/>
      <protection locked="0"/>
    </xf>
    <xf numFmtId="17" fontId="9" fillId="0" borderId="5" xfId="0" applyNumberFormat="1" applyFont="1" applyBorder="1" applyAlignment="1" applyProtection="1">
      <alignment horizontal="center" vertical="center"/>
      <protection locked="0"/>
    </xf>
    <xf numFmtId="164" fontId="34" fillId="0" borderId="0" xfId="0" applyNumberFormat="1" applyFont="1" applyAlignment="1" applyProtection="1">
      <alignment horizontal="center" vertical="center"/>
      <protection locked="0"/>
    </xf>
    <xf numFmtId="164" fontId="9" fillId="0" borderId="0" xfId="1" applyNumberFormat="1" applyFont="1" applyAlignment="1" applyProtection="1">
      <alignment horizontal="center" vertical="center"/>
      <protection locked="0"/>
    </xf>
    <xf numFmtId="1" fontId="31" fillId="0" borderId="0" xfId="1" applyNumberFormat="1" applyFont="1" applyAlignment="1" applyProtection="1">
      <alignment horizontal="center" vertical="center"/>
      <protection locked="0"/>
    </xf>
    <xf numFmtId="1" fontId="31" fillId="0" borderId="5" xfId="1" applyNumberFormat="1" applyFont="1" applyBorder="1" applyAlignment="1" applyProtection="1">
      <alignment horizontal="center" vertical="center"/>
      <protection locked="0"/>
    </xf>
    <xf numFmtId="164" fontId="9" fillId="6" borderId="0" xfId="1" applyNumberFormat="1" applyFont="1" applyFill="1" applyAlignment="1" applyProtection="1">
      <alignment horizontal="center" vertical="center"/>
      <protection locked="0"/>
    </xf>
    <xf numFmtId="164" fontId="19" fillId="6" borderId="0" xfId="0" applyNumberFormat="1" applyFont="1" applyFill="1" applyAlignment="1" applyProtection="1">
      <alignment horizontal="center" vertical="center"/>
      <protection locked="0"/>
    </xf>
    <xf numFmtId="164" fontId="9" fillId="6" borderId="5" xfId="1" applyNumberFormat="1" applyFont="1" applyFill="1" applyBorder="1" applyAlignment="1" applyProtection="1">
      <alignment horizontal="center" vertical="center"/>
      <protection locked="0"/>
    </xf>
    <xf numFmtId="164" fontId="14" fillId="0" borderId="0" xfId="0" applyNumberFormat="1" applyFont="1" applyAlignment="1" applyProtection="1">
      <alignment horizontal="center" vertical="center"/>
      <protection locked="0"/>
    </xf>
    <xf numFmtId="9" fontId="10" fillId="0" borderId="0" xfId="3" applyFont="1" applyAlignment="1" applyProtection="1">
      <alignment horizontal="center" vertical="center"/>
      <protection locked="0"/>
    </xf>
    <xf numFmtId="9" fontId="20" fillId="0" borderId="0" xfId="3" applyFont="1" applyAlignment="1" applyProtection="1">
      <alignment horizontal="center" vertical="center"/>
      <protection locked="0"/>
    </xf>
    <xf numFmtId="9" fontId="10" fillId="0" borderId="5" xfId="3" applyFont="1" applyBorder="1" applyAlignment="1" applyProtection="1">
      <alignment horizontal="center" vertical="center"/>
      <protection locked="0"/>
    </xf>
    <xf numFmtId="164" fontId="19" fillId="0" borderId="0" xfId="0" applyNumberFormat="1" applyFont="1" applyAlignment="1" applyProtection="1">
      <alignment horizontal="center" vertical="center"/>
      <protection locked="0"/>
    </xf>
    <xf numFmtId="164" fontId="42" fillId="0" borderId="0" xfId="0" applyNumberFormat="1" applyFont="1" applyAlignment="1" applyProtection="1">
      <alignment horizontal="center" vertical="center"/>
      <protection locked="0"/>
    </xf>
    <xf numFmtId="164" fontId="9" fillId="0" borderId="5" xfId="1" applyNumberFormat="1" applyFont="1" applyBorder="1" applyAlignment="1" applyProtection="1">
      <alignment horizontal="center" vertical="center"/>
      <protection locked="0"/>
    </xf>
    <xf numFmtId="164" fontId="9" fillId="6" borderId="0" xfId="1" applyNumberFormat="1" applyFont="1" applyFill="1" applyBorder="1" applyAlignment="1" applyProtection="1">
      <alignment horizontal="center" vertical="center"/>
      <protection locked="0"/>
    </xf>
    <xf numFmtId="164" fontId="11" fillId="0" borderId="0" xfId="1" applyNumberFormat="1" applyFont="1" applyFill="1" applyAlignment="1" applyProtection="1">
      <alignment horizontal="center" vertical="center"/>
      <protection locked="0"/>
    </xf>
    <xf numFmtId="164" fontId="9" fillId="0" borderId="0" xfId="1" applyNumberFormat="1" applyFont="1" applyBorder="1" applyAlignment="1" applyProtection="1">
      <alignment horizontal="center" vertical="center"/>
      <protection locked="0"/>
    </xf>
    <xf numFmtId="9" fontId="4" fillId="0" borderId="0" xfId="3" applyFont="1" applyFill="1" applyAlignment="1" applyProtection="1">
      <alignment horizontal="center" vertical="center"/>
      <protection locked="0"/>
    </xf>
    <xf numFmtId="164" fontId="4" fillId="0" borderId="0" xfId="1" applyNumberFormat="1" applyFont="1" applyAlignment="1" applyProtection="1">
      <alignment horizontal="center" vertical="center"/>
      <protection locked="0"/>
    </xf>
    <xf numFmtId="164" fontId="4" fillId="0" borderId="5" xfId="1" applyNumberFormat="1" applyFont="1" applyBorder="1" applyAlignment="1" applyProtection="1">
      <alignment horizontal="center" vertical="center"/>
      <protection locked="0"/>
    </xf>
    <xf numFmtId="164" fontId="9" fillId="6" borderId="0" xfId="0" applyNumberFormat="1" applyFont="1" applyFill="1" applyAlignment="1" applyProtection="1">
      <alignment horizontal="center" vertical="center"/>
      <protection locked="0"/>
    </xf>
    <xf numFmtId="164" fontId="9" fillId="0" borderId="5" xfId="1" applyNumberFormat="1" applyFont="1" applyFill="1" applyBorder="1" applyAlignment="1" applyProtection="1">
      <alignment horizontal="center" vertical="center"/>
      <protection locked="0"/>
    </xf>
    <xf numFmtId="1" fontId="30" fillId="0" borderId="0" xfId="2" applyNumberFormat="1" applyFont="1" applyFill="1" applyAlignment="1" applyProtection="1">
      <alignment horizontal="center" vertical="center"/>
      <protection locked="0"/>
    </xf>
    <xf numFmtId="164" fontId="1" fillId="0" borderId="5" xfId="1" applyNumberFormat="1" applyFont="1" applyBorder="1" applyAlignment="1" applyProtection="1">
      <alignment horizontal="center" vertical="center"/>
      <protection locked="0"/>
    </xf>
    <xf numFmtId="0" fontId="53" fillId="0" borderId="0" xfId="0" applyFont="1" applyAlignment="1">
      <alignment horizontal="center" vertical="center"/>
    </xf>
    <xf numFmtId="164" fontId="0" fillId="21" borderId="0" xfId="0" applyNumberFormat="1" applyFill="1" applyAlignment="1" applyProtection="1">
      <alignment horizontal="center" vertical="center"/>
      <protection locked="0"/>
    </xf>
    <xf numFmtId="164" fontId="35" fillId="21" borderId="0" xfId="0" applyNumberFormat="1" applyFont="1" applyFill="1" applyAlignment="1" applyProtection="1">
      <alignment vertical="center"/>
      <protection locked="0"/>
    </xf>
    <xf numFmtId="49" fontId="0" fillId="21" borderId="0" xfId="0" applyNumberFormat="1" applyFill="1" applyAlignment="1" applyProtection="1">
      <alignment horizontal="center" vertical="center"/>
      <protection locked="0"/>
    </xf>
    <xf numFmtId="164" fontId="15" fillId="21" borderId="0" xfId="0" applyNumberFormat="1" applyFont="1" applyFill="1" applyAlignment="1" applyProtection="1">
      <alignment horizontal="center" vertical="center"/>
      <protection locked="0"/>
    </xf>
    <xf numFmtId="164" fontId="24" fillId="21" borderId="0" xfId="0" applyNumberFormat="1" applyFont="1" applyFill="1" applyAlignment="1" applyProtection="1">
      <alignment horizontal="center" vertical="center"/>
      <protection locked="0"/>
    </xf>
    <xf numFmtId="164" fontId="21" fillId="21" borderId="0" xfId="0" applyNumberFormat="1" applyFont="1" applyFill="1" applyAlignment="1" applyProtection="1">
      <alignment horizontal="center" vertical="center"/>
      <protection locked="0"/>
    </xf>
    <xf numFmtId="164" fontId="0" fillId="0" borderId="52" xfId="1" applyNumberFormat="1" applyFont="1" applyFill="1" applyBorder="1" applyAlignment="1" applyProtection="1">
      <alignment horizontal="center" vertical="center" wrapText="1"/>
      <protection locked="0"/>
    </xf>
    <xf numFmtId="1" fontId="0" fillId="0" borderId="52" xfId="2" applyNumberFormat="1" applyFont="1" applyFill="1" applyBorder="1" applyAlignment="1" applyProtection="1">
      <alignment horizontal="center" vertical="center" wrapText="1"/>
      <protection locked="0"/>
    </xf>
    <xf numFmtId="164" fontId="0" fillId="0" borderId="54" xfId="1" applyNumberFormat="1" applyFont="1" applyFill="1" applyBorder="1" applyAlignment="1" applyProtection="1">
      <alignment horizontal="center" vertical="center"/>
      <protection locked="0"/>
    </xf>
    <xf numFmtId="164" fontId="0" fillId="0" borderId="52" xfId="1" applyNumberFormat="1" applyFont="1" applyBorder="1" applyAlignment="1" applyProtection="1">
      <alignment horizontal="center" vertical="center" wrapText="1"/>
      <protection locked="0"/>
    </xf>
    <xf numFmtId="164" fontId="14" fillId="0" borderId="0" xfId="1" applyNumberFormat="1" applyFont="1" applyAlignment="1" applyProtection="1">
      <alignment horizontal="center" vertical="center" wrapText="1"/>
      <protection locked="0"/>
    </xf>
    <xf numFmtId="164" fontId="14" fillId="0" borderId="52" xfId="1" applyNumberFormat="1" applyFont="1" applyBorder="1" applyAlignment="1" applyProtection="1">
      <alignment horizontal="center" vertical="center" wrapText="1"/>
      <protection locked="0"/>
    </xf>
    <xf numFmtId="164" fontId="0" fillId="5" borderId="0" xfId="1" applyNumberFormat="1" applyFont="1" applyFill="1" applyBorder="1" applyAlignment="1" applyProtection="1">
      <alignment horizontal="center" vertical="center" wrapText="1"/>
      <protection locked="0"/>
    </xf>
    <xf numFmtId="164" fontId="55" fillId="6" borderId="0" xfId="0" applyNumberFormat="1" applyFont="1" applyFill="1" applyAlignment="1" applyProtection="1">
      <alignment horizontal="left"/>
      <protection locked="0"/>
    </xf>
    <xf numFmtId="164" fontId="54" fillId="6" borderId="0" xfId="1" applyNumberFormat="1" applyFont="1" applyFill="1" applyProtection="1">
      <protection locked="0"/>
    </xf>
    <xf numFmtId="0" fontId="54" fillId="6" borderId="0" xfId="2" applyNumberFormat="1" applyFont="1" applyFill="1" applyAlignment="1" applyProtection="1">
      <alignment horizontal="left"/>
      <protection locked="0"/>
    </xf>
    <xf numFmtId="164" fontId="54" fillId="6" borderId="0" xfId="2" applyNumberFormat="1" applyFont="1" applyFill="1" applyProtection="1">
      <protection locked="0"/>
    </xf>
    <xf numFmtId="168" fontId="54" fillId="6" borderId="0" xfId="2" applyNumberFormat="1" applyFont="1" applyFill="1" applyProtection="1">
      <protection locked="0"/>
    </xf>
    <xf numFmtId="164" fontId="10" fillId="0" borderId="0" xfId="1" applyNumberFormat="1" applyFont="1" applyFill="1" applyBorder="1" applyAlignment="1" applyProtection="1">
      <alignment horizontal="center" vertical="center"/>
      <protection locked="0"/>
    </xf>
    <xf numFmtId="164" fontId="0" fillId="0" borderId="0" xfId="0" applyNumberFormat="1" applyAlignment="1" applyProtection="1">
      <alignment horizontal="center" vertical="center" wrapText="1"/>
      <protection locked="0"/>
    </xf>
    <xf numFmtId="1" fontId="9" fillId="5" borderId="49" xfId="2" applyNumberFormat="1" applyFont="1" applyFill="1" applyBorder="1" applyAlignment="1" applyProtection="1">
      <alignment horizontal="center" vertical="center" wrapText="1"/>
      <protection locked="0"/>
    </xf>
    <xf numFmtId="164" fontId="0" fillId="2" borderId="0" xfId="1" applyNumberFormat="1" applyFont="1" applyFill="1" applyBorder="1" applyAlignment="1" applyProtection="1">
      <alignment horizontal="center" vertical="center" wrapText="1"/>
      <protection locked="0"/>
    </xf>
    <xf numFmtId="2" fontId="0" fillId="2" borderId="0" xfId="1" applyNumberFormat="1" applyFont="1" applyFill="1" applyBorder="1" applyAlignment="1" applyProtection="1">
      <alignment horizontal="center" vertical="center" wrapText="1"/>
      <protection locked="0"/>
    </xf>
    <xf numFmtId="164" fontId="0" fillId="0" borderId="0" xfId="1" applyNumberFormat="1" applyFont="1" applyBorder="1" applyAlignment="1" applyProtection="1">
      <alignment horizontal="center" vertical="center" wrapText="1"/>
      <protection locked="0"/>
    </xf>
    <xf numFmtId="164" fontId="0" fillId="0" borderId="53" xfId="1" applyNumberFormat="1" applyFont="1" applyBorder="1" applyAlignment="1" applyProtection="1">
      <alignment horizontal="center" vertical="center" wrapText="1"/>
      <protection locked="0"/>
    </xf>
    <xf numFmtId="10" fontId="0" fillId="2" borderId="0" xfId="1" applyNumberFormat="1" applyFont="1" applyFill="1" applyBorder="1" applyAlignment="1" applyProtection="1">
      <alignment horizontal="center" vertical="center" wrapText="1"/>
      <protection locked="0"/>
    </xf>
    <xf numFmtId="10" fontId="0" fillId="2" borderId="53" xfId="1" applyNumberFormat="1" applyFont="1" applyFill="1" applyBorder="1" applyAlignment="1" applyProtection="1">
      <alignment horizontal="center" vertical="center" wrapText="1"/>
      <protection locked="0"/>
    </xf>
    <xf numFmtId="176" fontId="0" fillId="2" borderId="0" xfId="1" applyNumberFormat="1" applyFont="1" applyFill="1" applyBorder="1" applyAlignment="1" applyProtection="1">
      <alignment horizontal="center" vertical="center" wrapText="1"/>
      <protection locked="0"/>
    </xf>
    <xf numFmtId="176" fontId="0" fillId="2" borderId="53" xfId="1" applyNumberFormat="1" applyFont="1" applyFill="1" applyBorder="1" applyAlignment="1" applyProtection="1">
      <alignment horizontal="center" vertical="center" wrapText="1"/>
      <protection locked="0"/>
    </xf>
    <xf numFmtId="164" fontId="0" fillId="0" borderId="54" xfId="1" applyNumberFormat="1" applyFont="1" applyFill="1" applyBorder="1" applyAlignment="1" applyProtection="1">
      <alignment horizontal="center" vertical="center" wrapText="1"/>
      <protection locked="0"/>
    </xf>
    <xf numFmtId="10" fontId="0" fillId="2" borderId="55" xfId="1" applyNumberFormat="1" applyFont="1" applyFill="1" applyBorder="1" applyAlignment="1" applyProtection="1">
      <alignment horizontal="center" vertical="center" wrapText="1"/>
      <protection locked="0"/>
    </xf>
    <xf numFmtId="10" fontId="0" fillId="2" borderId="56" xfId="1" applyNumberFormat="1" applyFont="1" applyFill="1" applyBorder="1" applyAlignment="1" applyProtection="1">
      <alignment horizontal="center" vertical="center" wrapText="1"/>
      <protection locked="0"/>
    </xf>
    <xf numFmtId="1" fontId="9" fillId="0" borderId="46" xfId="2" applyNumberFormat="1" applyFont="1" applyFill="1" applyBorder="1" applyAlignment="1" applyProtection="1">
      <alignment horizontal="center" vertical="center" wrapText="1"/>
      <protection locked="0"/>
    </xf>
    <xf numFmtId="1" fontId="0" fillId="0" borderId="47" xfId="1" applyNumberFormat="1" applyFont="1" applyFill="1" applyBorder="1" applyAlignment="1" applyProtection="1">
      <alignment horizontal="center" vertical="center" wrapText="1"/>
      <protection locked="0"/>
    </xf>
    <xf numFmtId="164" fontId="0" fillId="0" borderId="47" xfId="1" applyNumberFormat="1" applyFont="1" applyFill="1" applyBorder="1" applyAlignment="1" applyProtection="1">
      <alignment horizontal="center" vertical="center" wrapText="1"/>
      <protection locked="0"/>
    </xf>
    <xf numFmtId="164" fontId="54" fillId="0" borderId="47" xfId="1" applyNumberFormat="1" applyFont="1" applyFill="1" applyBorder="1" applyAlignment="1" applyProtection="1">
      <alignment horizontal="center" vertical="center" wrapText="1"/>
      <protection locked="0"/>
    </xf>
    <xf numFmtId="164" fontId="54" fillId="0" borderId="48" xfId="1" applyNumberFormat="1" applyFont="1" applyFill="1" applyBorder="1" applyAlignment="1" applyProtection="1">
      <alignment horizontal="center" vertical="center" wrapText="1"/>
      <protection locked="0"/>
    </xf>
    <xf numFmtId="1" fontId="0" fillId="0" borderId="0" xfId="1" applyNumberFormat="1" applyFont="1" applyFill="1" applyAlignment="1" applyProtection="1">
      <alignment horizontal="center" vertical="center" wrapText="1"/>
      <protection locked="0"/>
    </xf>
    <xf numFmtId="170" fontId="0" fillId="0" borderId="0" xfId="3" applyNumberFormat="1" applyFont="1" applyAlignment="1" applyProtection="1">
      <alignment horizontal="center" vertical="center" wrapText="1"/>
      <protection locked="0"/>
    </xf>
    <xf numFmtId="164" fontId="9" fillId="5" borderId="52" xfId="1" applyNumberFormat="1" applyFont="1" applyFill="1" applyBorder="1" applyAlignment="1" applyProtection="1">
      <alignment horizontal="center" vertical="center" wrapText="1"/>
      <protection locked="0"/>
    </xf>
    <xf numFmtId="1" fontId="9" fillId="5" borderId="0" xfId="1" applyNumberFormat="1" applyFont="1" applyFill="1" applyBorder="1" applyAlignment="1" applyProtection="1">
      <alignment horizontal="center" vertical="center" wrapText="1"/>
      <protection locked="0"/>
    </xf>
    <xf numFmtId="1" fontId="9" fillId="5" borderId="53" xfId="1" applyNumberFormat="1" applyFont="1" applyFill="1" applyBorder="1" applyAlignment="1" applyProtection="1">
      <alignment horizontal="center" vertical="center" wrapText="1"/>
      <protection locked="0"/>
    </xf>
    <xf numFmtId="164" fontId="0" fillId="0" borderId="0" xfId="1" applyNumberFormat="1" applyFont="1" applyFill="1" applyBorder="1" applyAlignment="1" applyProtection="1">
      <alignment horizontal="center" vertical="center" wrapText="1"/>
      <protection locked="0"/>
    </xf>
    <xf numFmtId="164" fontId="0" fillId="0" borderId="53" xfId="1" applyNumberFormat="1" applyFont="1" applyFill="1" applyBorder="1" applyAlignment="1" applyProtection="1">
      <alignment horizontal="center" vertical="center" wrapText="1"/>
      <protection locked="0"/>
    </xf>
    <xf numFmtId="164" fontId="0" fillId="2" borderId="53" xfId="1" applyNumberFormat="1" applyFont="1" applyFill="1" applyBorder="1" applyAlignment="1" applyProtection="1">
      <alignment horizontal="center" vertical="center" wrapText="1"/>
      <protection locked="0"/>
    </xf>
    <xf numFmtId="176" fontId="0" fillId="0" borderId="0" xfId="1" applyNumberFormat="1" applyFont="1" applyFill="1" applyBorder="1" applyAlignment="1" applyProtection="1">
      <alignment horizontal="center" vertical="center" wrapText="1"/>
      <protection locked="0"/>
    </xf>
    <xf numFmtId="176" fontId="0" fillId="0" borderId="53" xfId="1" applyNumberFormat="1" applyFont="1" applyFill="1" applyBorder="1" applyAlignment="1" applyProtection="1">
      <alignment horizontal="center" vertical="center" wrapText="1"/>
      <protection locked="0"/>
    </xf>
    <xf numFmtId="164" fontId="19" fillId="0" borderId="46" xfId="1" applyNumberFormat="1" applyFont="1" applyBorder="1" applyAlignment="1" applyProtection="1">
      <alignment horizontal="center" vertical="center" wrapText="1"/>
      <protection locked="0"/>
    </xf>
    <xf numFmtId="177" fontId="54" fillId="0" borderId="47" xfId="1" applyNumberFormat="1" applyFont="1" applyFill="1" applyBorder="1" applyAlignment="1" applyProtection="1">
      <alignment horizontal="center" vertical="center" wrapText="1"/>
      <protection locked="0"/>
    </xf>
    <xf numFmtId="177" fontId="54" fillId="0" borderId="48" xfId="1" applyNumberFormat="1" applyFont="1" applyFill="1" applyBorder="1" applyAlignment="1" applyProtection="1">
      <alignment horizontal="center" vertical="center" wrapText="1"/>
      <protection locked="0"/>
    </xf>
    <xf numFmtId="10" fontId="0" fillId="0" borderId="0" xfId="1" applyNumberFormat="1" applyFont="1" applyFill="1" applyAlignment="1" applyProtection="1">
      <alignment horizontal="center" vertical="center" wrapText="1"/>
      <protection locked="0"/>
    </xf>
    <xf numFmtId="164" fontId="9" fillId="6" borderId="52" xfId="1" applyNumberFormat="1" applyFont="1" applyFill="1" applyBorder="1" applyAlignment="1" applyProtection="1">
      <alignment horizontal="center" vertical="center" wrapText="1"/>
      <protection locked="0"/>
    </xf>
    <xf numFmtId="1" fontId="9" fillId="6" borderId="0" xfId="1" applyNumberFormat="1" applyFont="1" applyFill="1" applyBorder="1" applyAlignment="1" applyProtection="1">
      <alignment horizontal="center" vertical="center" wrapText="1"/>
      <protection locked="0"/>
    </xf>
    <xf numFmtId="1" fontId="9" fillId="6" borderId="53" xfId="1" applyNumberFormat="1" applyFont="1" applyFill="1" applyBorder="1" applyAlignment="1" applyProtection="1">
      <alignment horizontal="center" vertical="center" wrapText="1"/>
      <protection locked="0"/>
    </xf>
    <xf numFmtId="177" fontId="0" fillId="2" borderId="0" xfId="1" applyNumberFormat="1" applyFont="1" applyFill="1" applyBorder="1" applyAlignment="1" applyProtection="1">
      <alignment horizontal="center" vertical="center" wrapText="1"/>
      <protection locked="0"/>
    </xf>
    <xf numFmtId="177" fontId="0" fillId="0" borderId="0" xfId="1" applyNumberFormat="1" applyFont="1" applyFill="1" applyBorder="1" applyAlignment="1" applyProtection="1">
      <alignment horizontal="center" vertical="center" wrapText="1"/>
      <protection locked="0"/>
    </xf>
    <xf numFmtId="177" fontId="0" fillId="0" borderId="53" xfId="1" applyNumberFormat="1" applyFont="1" applyFill="1" applyBorder="1" applyAlignment="1" applyProtection="1">
      <alignment horizontal="center" vertical="center" wrapText="1"/>
      <protection locked="0"/>
    </xf>
    <xf numFmtId="164" fontId="19" fillId="0" borderId="0" xfId="1" applyNumberFormat="1" applyFont="1" applyAlignment="1" applyProtection="1">
      <alignment horizontal="center" vertical="center" wrapText="1"/>
      <protection locked="0"/>
    </xf>
    <xf numFmtId="164" fontId="54" fillId="0" borderId="0" xfId="1" applyNumberFormat="1" applyFont="1" applyFill="1" applyAlignment="1" applyProtection="1">
      <alignment horizontal="center" vertical="center" wrapText="1"/>
      <protection locked="0"/>
    </xf>
    <xf numFmtId="164" fontId="9" fillId="5" borderId="49" xfId="1" applyNumberFormat="1" applyFont="1" applyFill="1" applyBorder="1" applyAlignment="1" applyProtection="1">
      <alignment horizontal="center" vertical="center" wrapText="1"/>
      <protection locked="0"/>
    </xf>
    <xf numFmtId="1" fontId="9" fillId="5" borderId="50" xfId="1" applyNumberFormat="1" applyFont="1" applyFill="1" applyBorder="1" applyAlignment="1" applyProtection="1">
      <alignment horizontal="center" vertical="center" wrapText="1"/>
      <protection locked="0"/>
    </xf>
    <xf numFmtId="1" fontId="9" fillId="5" borderId="51" xfId="1" applyNumberFormat="1" applyFont="1" applyFill="1" applyBorder="1" applyAlignment="1" applyProtection="1">
      <alignment horizontal="center" vertical="center" wrapText="1"/>
      <protection locked="0"/>
    </xf>
    <xf numFmtId="164" fontId="14" fillId="2" borderId="0" xfId="1" applyNumberFormat="1" applyFont="1" applyFill="1" applyBorder="1" applyAlignment="1" applyProtection="1">
      <alignment horizontal="center" vertical="center" wrapText="1"/>
      <protection locked="0"/>
    </xf>
    <xf numFmtId="164" fontId="14" fillId="0" borderId="0" xfId="1" applyNumberFormat="1" applyFont="1" applyBorder="1" applyAlignment="1" applyProtection="1">
      <alignment horizontal="center" vertical="center" wrapText="1"/>
      <protection locked="0"/>
    </xf>
    <xf numFmtId="164" fontId="14" fillId="0" borderId="53" xfId="1" applyNumberFormat="1" applyFont="1" applyBorder="1" applyAlignment="1" applyProtection="1">
      <alignment horizontal="center" vertical="center" wrapText="1"/>
      <protection locked="0"/>
    </xf>
    <xf numFmtId="164" fontId="55" fillId="0" borderId="47" xfId="1" applyNumberFormat="1" applyFont="1" applyBorder="1" applyAlignment="1" applyProtection="1">
      <alignment horizontal="center" vertical="center" wrapText="1"/>
      <protection locked="0"/>
    </xf>
    <xf numFmtId="164" fontId="55" fillId="0" borderId="48" xfId="1" applyNumberFormat="1" applyFont="1" applyBorder="1" applyAlignment="1" applyProtection="1">
      <alignment horizontal="center" vertical="center" wrapText="1"/>
      <protection locked="0"/>
    </xf>
    <xf numFmtId="164" fontId="1" fillId="0" borderId="0" xfId="1" applyNumberFormat="1" applyFont="1" applyFill="1" applyAlignment="1" applyProtection="1">
      <alignment horizontal="center" vertical="center" wrapText="1"/>
      <protection locked="0"/>
    </xf>
    <xf numFmtId="164" fontId="1" fillId="0" borderId="0" xfId="1" applyNumberFormat="1" applyFont="1" applyFill="1" applyBorder="1" applyAlignment="1" applyProtection="1">
      <alignment horizontal="center" vertical="center" wrapText="1"/>
      <protection locked="0"/>
    </xf>
    <xf numFmtId="0" fontId="0" fillId="0" borderId="0" xfId="1" applyNumberFormat="1" applyFont="1" applyFill="1" applyAlignment="1" applyProtection="1">
      <alignment horizontal="center" vertical="center" wrapText="1"/>
      <protection locked="0"/>
    </xf>
    <xf numFmtId="164" fontId="10" fillId="0" borderId="0" xfId="1" applyNumberFormat="1" applyFont="1" applyFill="1" applyAlignment="1" applyProtection="1">
      <alignment horizontal="center" vertical="center" wrapText="1"/>
      <protection locked="0"/>
    </xf>
    <xf numFmtId="164" fontId="10" fillId="0" borderId="0" xfId="1" applyNumberFormat="1" applyFont="1" applyFill="1" applyBorder="1" applyAlignment="1" applyProtection="1">
      <alignment horizontal="center" vertical="center" wrapText="1"/>
      <protection locked="0"/>
    </xf>
    <xf numFmtId="0" fontId="0" fillId="2" borderId="0" xfId="1" applyNumberFormat="1" applyFont="1" applyFill="1" applyBorder="1" applyAlignment="1" applyProtection="1">
      <alignment horizontal="center" vertical="center" wrapText="1"/>
      <protection locked="0"/>
    </xf>
    <xf numFmtId="10" fontId="0" fillId="0" borderId="53" xfId="1" applyNumberFormat="1" applyFont="1" applyBorder="1" applyAlignment="1" applyProtection="1">
      <alignment horizontal="center" vertical="center" wrapText="1"/>
      <protection locked="0"/>
    </xf>
    <xf numFmtId="9" fontId="0" fillId="2" borderId="53" xfId="1" applyNumberFormat="1" applyFont="1" applyFill="1" applyBorder="1" applyAlignment="1" applyProtection="1">
      <alignment horizontal="center" vertical="center" wrapText="1"/>
      <protection locked="0"/>
    </xf>
    <xf numFmtId="9" fontId="0" fillId="0" borderId="53" xfId="1" applyNumberFormat="1" applyFont="1" applyBorder="1" applyAlignment="1" applyProtection="1">
      <alignment horizontal="center" vertical="center" wrapText="1"/>
      <protection locked="0"/>
    </xf>
    <xf numFmtId="164" fontId="9" fillId="0" borderId="46" xfId="1" applyNumberFormat="1" applyFont="1" applyBorder="1" applyAlignment="1" applyProtection="1">
      <alignment horizontal="center" vertical="center" wrapText="1"/>
      <protection locked="0"/>
    </xf>
    <xf numFmtId="164" fontId="0" fillId="0" borderId="47" xfId="1" applyNumberFormat="1" applyFont="1" applyBorder="1" applyAlignment="1" applyProtection="1">
      <alignment horizontal="center" vertical="center" wrapText="1"/>
      <protection locked="0"/>
    </xf>
    <xf numFmtId="164" fontId="54" fillId="0" borderId="47" xfId="1" applyNumberFormat="1" applyFont="1" applyBorder="1" applyAlignment="1" applyProtection="1">
      <alignment horizontal="center" vertical="center" wrapText="1"/>
      <protection locked="0"/>
    </xf>
    <xf numFmtId="164" fontId="0" fillId="0" borderId="48" xfId="1" applyNumberFormat="1" applyFont="1" applyBorder="1" applyAlignment="1" applyProtection="1">
      <alignment horizontal="center" vertical="center" wrapText="1"/>
      <protection locked="0"/>
    </xf>
    <xf numFmtId="164" fontId="27" fillId="5" borderId="53" xfId="1" applyNumberFormat="1" applyFont="1" applyFill="1" applyBorder="1" applyAlignment="1" applyProtection="1">
      <alignment horizontal="center" vertical="center" wrapText="1"/>
      <protection locked="0"/>
    </xf>
    <xf numFmtId="1" fontId="9" fillId="5" borderId="0" xfId="2" applyNumberFormat="1" applyFont="1" applyFill="1" applyBorder="1" applyAlignment="1" applyProtection="1">
      <alignment horizontal="center" vertical="center" wrapText="1"/>
      <protection locked="0"/>
    </xf>
    <xf numFmtId="1" fontId="9" fillId="5" borderId="53" xfId="2" applyNumberFormat="1" applyFont="1" applyFill="1" applyBorder="1" applyAlignment="1" applyProtection="1">
      <alignment horizontal="center" vertical="center" wrapText="1"/>
      <protection locked="0"/>
    </xf>
    <xf numFmtId="164" fontId="0" fillId="0" borderId="52" xfId="3" applyNumberFormat="1" applyFont="1" applyBorder="1" applyAlignment="1" applyProtection="1">
      <alignment horizontal="center" vertical="center" wrapText="1"/>
      <protection locked="0"/>
    </xf>
    <xf numFmtId="164" fontId="0" fillId="0" borderId="52" xfId="0" applyNumberFormat="1" applyBorder="1" applyAlignment="1" applyProtection="1">
      <alignment horizontal="center" vertical="center" wrapText="1"/>
      <protection locked="0"/>
    </xf>
    <xf numFmtId="164" fontId="0" fillId="0" borderId="0" xfId="2" applyNumberFormat="1" applyFont="1" applyFill="1" applyBorder="1" applyAlignment="1" applyProtection="1">
      <alignment horizontal="center" vertical="center" wrapText="1"/>
      <protection locked="0"/>
    </xf>
    <xf numFmtId="164" fontId="0" fillId="0" borderId="53" xfId="2" applyNumberFormat="1" applyFont="1" applyFill="1" applyBorder="1" applyAlignment="1" applyProtection="1">
      <alignment horizontal="center" vertical="center" wrapText="1"/>
      <protection locked="0"/>
    </xf>
    <xf numFmtId="170" fontId="0" fillId="0" borderId="52" xfId="3" applyNumberFormat="1" applyFont="1" applyBorder="1" applyAlignment="1" applyProtection="1">
      <alignment horizontal="center" vertical="center" wrapText="1"/>
      <protection locked="0"/>
    </xf>
    <xf numFmtId="170" fontId="0" fillId="0" borderId="0" xfId="3" applyNumberFormat="1" applyFont="1" applyBorder="1" applyAlignment="1" applyProtection="1">
      <alignment horizontal="center" vertical="center" wrapText="1"/>
      <protection locked="0"/>
    </xf>
    <xf numFmtId="170" fontId="0" fillId="2" borderId="53" xfId="3" applyNumberFormat="1" applyFont="1" applyFill="1" applyBorder="1" applyAlignment="1" applyProtection="1">
      <alignment horizontal="center" vertical="center" wrapText="1"/>
      <protection locked="0"/>
    </xf>
    <xf numFmtId="164" fontId="0" fillId="0" borderId="54" xfId="0" applyNumberFormat="1" applyBorder="1" applyAlignment="1" applyProtection="1">
      <alignment horizontal="center" vertical="center" wrapText="1"/>
      <protection locked="0"/>
    </xf>
    <xf numFmtId="164" fontId="0" fillId="0" borderId="55" xfId="1" applyNumberFormat="1" applyFont="1" applyBorder="1" applyAlignment="1" applyProtection="1">
      <alignment horizontal="center" vertical="center" wrapText="1"/>
      <protection locked="0"/>
    </xf>
    <xf numFmtId="1" fontId="0" fillId="2" borderId="56" xfId="2" applyNumberFormat="1" applyFont="1" applyFill="1" applyBorder="1" applyAlignment="1" applyProtection="1">
      <alignment horizontal="center" vertical="center" wrapText="1"/>
      <protection locked="0"/>
    </xf>
    <xf numFmtId="164" fontId="0" fillId="0" borderId="55" xfId="0" applyNumberFormat="1" applyBorder="1" applyAlignment="1" applyProtection="1">
      <alignment horizontal="center" vertical="center" wrapText="1"/>
      <protection locked="0"/>
    </xf>
    <xf numFmtId="164" fontId="0" fillId="0" borderId="55" xfId="2" applyNumberFormat="1" applyFont="1" applyFill="1" applyBorder="1" applyAlignment="1" applyProtection="1">
      <alignment horizontal="center" vertical="center" wrapText="1"/>
      <protection locked="0"/>
    </xf>
    <xf numFmtId="164" fontId="0" fillId="0" borderId="56" xfId="2" applyNumberFormat="1" applyFont="1" applyFill="1" applyBorder="1" applyAlignment="1" applyProtection="1">
      <alignment horizontal="center" vertical="center" wrapText="1"/>
      <protection locked="0"/>
    </xf>
    <xf numFmtId="164" fontId="9" fillId="5" borderId="49" xfId="3" applyNumberFormat="1" applyFont="1" applyFill="1" applyBorder="1" applyAlignment="1" applyProtection="1">
      <alignment horizontal="center" vertical="center" wrapText="1"/>
      <protection locked="0"/>
    </xf>
    <xf numFmtId="164" fontId="0" fillId="5" borderId="50" xfId="1" applyNumberFormat="1" applyFont="1" applyFill="1" applyBorder="1" applyAlignment="1" applyProtection="1">
      <alignment horizontal="center" vertical="center" wrapText="1"/>
      <protection locked="0"/>
    </xf>
    <xf numFmtId="164" fontId="0" fillId="5" borderId="51" xfId="1" applyNumberFormat="1" applyFont="1" applyFill="1" applyBorder="1" applyAlignment="1" applyProtection="1">
      <alignment horizontal="center" vertical="center" wrapText="1"/>
      <protection locked="0"/>
    </xf>
    <xf numFmtId="164" fontId="28" fillId="2" borderId="53" xfId="1" applyNumberFormat="1" applyFont="1" applyFill="1" applyBorder="1" applyAlignment="1" applyProtection="1">
      <alignment horizontal="center" vertical="center" wrapText="1"/>
      <protection locked="0"/>
    </xf>
    <xf numFmtId="164" fontId="0" fillId="0" borderId="54" xfId="3" applyNumberFormat="1" applyFont="1" applyBorder="1" applyAlignment="1" applyProtection="1">
      <alignment horizontal="center" vertical="center" wrapText="1"/>
      <protection locked="0"/>
    </xf>
    <xf numFmtId="164" fontId="28" fillId="2" borderId="56" xfId="1" applyNumberFormat="1" applyFont="1" applyFill="1" applyBorder="1" applyAlignment="1" applyProtection="1">
      <alignment horizontal="center" vertical="center" wrapText="1"/>
      <protection locked="0"/>
    </xf>
    <xf numFmtId="173" fontId="0" fillId="2" borderId="53" xfId="0" applyNumberFormat="1" applyFill="1" applyBorder="1" applyAlignment="1" applyProtection="1">
      <alignment horizontal="center" vertical="center" wrapText="1"/>
      <protection locked="0"/>
    </xf>
    <xf numFmtId="173" fontId="0" fillId="0" borderId="53" xfId="0" applyNumberFormat="1" applyBorder="1" applyAlignment="1" applyProtection="1">
      <alignment horizontal="center" vertical="center" wrapText="1"/>
      <protection locked="0"/>
    </xf>
    <xf numFmtId="173" fontId="0" fillId="2" borderId="56" xfId="0" applyNumberFormat="1" applyFill="1" applyBorder="1" applyAlignment="1" applyProtection="1">
      <alignment horizontal="center" vertical="center" wrapText="1"/>
      <protection locked="0"/>
    </xf>
    <xf numFmtId="164" fontId="27" fillId="0" borderId="0" xfId="1" applyNumberFormat="1" applyFont="1" applyFill="1" applyBorder="1" applyAlignment="1" applyProtection="1">
      <alignment horizontal="center" vertical="center" wrapText="1"/>
      <protection locked="0"/>
    </xf>
    <xf numFmtId="164" fontId="9" fillId="5" borderId="46" xfId="0" applyNumberFormat="1" applyFont="1" applyFill="1" applyBorder="1" applyAlignment="1" applyProtection="1">
      <alignment horizontal="center" vertical="center" wrapText="1"/>
      <protection locked="0"/>
    </xf>
    <xf numFmtId="164" fontId="0" fillId="0" borderId="47" xfId="0" applyNumberFormat="1" applyBorder="1" applyAlignment="1" applyProtection="1">
      <alignment horizontal="center" vertical="center" wrapText="1"/>
      <protection locked="0"/>
    </xf>
    <xf numFmtId="9" fontId="0" fillId="2" borderId="48" xfId="3" applyFont="1" applyFill="1" applyBorder="1" applyAlignment="1" applyProtection="1">
      <alignment horizontal="center" vertical="center" wrapText="1"/>
      <protection locked="0"/>
    </xf>
    <xf numFmtId="1" fontId="9" fillId="5" borderId="0" xfId="3" applyNumberFormat="1" applyFont="1" applyFill="1" applyBorder="1" applyAlignment="1" applyProtection="1">
      <alignment horizontal="center" vertical="center" wrapText="1"/>
      <protection locked="0"/>
    </xf>
    <xf numFmtId="1" fontId="9" fillId="5" borderId="53" xfId="3" applyNumberFormat="1" applyFont="1" applyFill="1" applyBorder="1" applyAlignment="1" applyProtection="1">
      <alignment horizontal="center" vertical="center" wrapText="1"/>
      <protection locked="0"/>
    </xf>
    <xf numFmtId="1" fontId="9" fillId="5" borderId="50" xfId="2" applyNumberFormat="1" applyFont="1" applyFill="1" applyBorder="1" applyAlignment="1" applyProtection="1">
      <alignment horizontal="center" vertical="center" wrapText="1"/>
      <protection locked="0"/>
    </xf>
    <xf numFmtId="1" fontId="9" fillId="5" borderId="51" xfId="2" applyNumberFormat="1" applyFont="1" applyFill="1" applyBorder="1" applyAlignment="1" applyProtection="1">
      <alignment horizontal="center" vertical="center" wrapText="1"/>
      <protection locked="0"/>
    </xf>
    <xf numFmtId="164" fontId="9" fillId="5" borderId="0" xfId="1" applyNumberFormat="1" applyFont="1" applyFill="1" applyBorder="1" applyAlignment="1" applyProtection="1">
      <alignment horizontal="center" vertical="center" wrapText="1"/>
      <protection locked="0"/>
    </xf>
    <xf numFmtId="164" fontId="9" fillId="5" borderId="53" xfId="1" applyNumberFormat="1" applyFont="1" applyFill="1" applyBorder="1" applyAlignment="1" applyProtection="1">
      <alignment horizontal="center" vertical="center" wrapText="1"/>
      <protection locked="0"/>
    </xf>
    <xf numFmtId="164" fontId="60" fillId="0" borderId="0" xfId="1" applyNumberFormat="1" applyFont="1" applyFill="1" applyAlignment="1" applyProtection="1">
      <alignment horizontal="center" vertical="center"/>
      <protection locked="0"/>
    </xf>
    <xf numFmtId="164" fontId="61" fillId="0" borderId="0" xfId="0" applyNumberFormat="1" applyFont="1" applyAlignment="1" applyProtection="1">
      <alignment horizontal="center" vertical="center"/>
      <protection locked="0"/>
    </xf>
    <xf numFmtId="1" fontId="62" fillId="0" borderId="0" xfId="1" applyNumberFormat="1" applyFont="1" applyFill="1" applyAlignment="1" applyProtection="1">
      <alignment horizontal="center" vertical="center"/>
      <protection locked="0"/>
    </xf>
    <xf numFmtId="1" fontId="62" fillId="0" borderId="5" xfId="1" applyNumberFormat="1" applyFont="1" applyFill="1" applyBorder="1" applyAlignment="1" applyProtection="1">
      <alignment horizontal="center" vertical="center"/>
      <protection locked="0"/>
    </xf>
    <xf numFmtId="164" fontId="9" fillId="5" borderId="49" xfId="0" applyNumberFormat="1" applyFont="1" applyFill="1" applyBorder="1" applyAlignment="1" applyProtection="1">
      <alignment horizontal="center" vertical="center" wrapText="1"/>
      <protection locked="0"/>
    </xf>
    <xf numFmtId="164" fontId="0" fillId="5" borderId="50" xfId="0" applyNumberFormat="1" applyFill="1" applyBorder="1" applyAlignment="1" applyProtection="1">
      <alignment horizontal="center" vertical="center" wrapText="1"/>
      <protection locked="0"/>
    </xf>
    <xf numFmtId="164" fontId="0" fillId="5" borderId="51" xfId="0" applyNumberFormat="1" applyFill="1" applyBorder="1" applyAlignment="1" applyProtection="1">
      <alignment horizontal="center" vertical="center" wrapText="1"/>
      <protection locked="0"/>
    </xf>
    <xf numFmtId="164" fontId="0" fillId="2" borderId="55" xfId="1" applyNumberFormat="1" applyFont="1" applyFill="1" applyBorder="1" applyAlignment="1" applyProtection="1">
      <alignment horizontal="center" vertical="center" wrapText="1"/>
      <protection locked="0"/>
    </xf>
    <xf numFmtId="177" fontId="0" fillId="2" borderId="53" xfId="1" applyNumberFormat="1" applyFont="1" applyFill="1" applyBorder="1" applyAlignment="1" applyProtection="1">
      <alignment horizontal="center" vertical="center" wrapText="1"/>
      <protection locked="0"/>
    </xf>
    <xf numFmtId="164" fontId="0" fillId="21" borderId="0" xfId="0" applyNumberFormat="1" applyFill="1" applyAlignment="1" applyProtection="1">
      <alignment horizontal="center" vertical="center" wrapText="1"/>
      <protection locked="0"/>
    </xf>
    <xf numFmtId="164" fontId="14" fillId="2" borderId="53" xfId="1" applyNumberFormat="1" applyFont="1" applyFill="1" applyBorder="1" applyAlignment="1" applyProtection="1">
      <alignment horizontal="center" vertical="center" wrapText="1"/>
      <protection locked="0"/>
    </xf>
    <xf numFmtId="0" fontId="9" fillId="5" borderId="0" xfId="0" applyFont="1" applyFill="1" applyAlignment="1" applyProtection="1">
      <alignment horizontal="center" vertical="center"/>
      <protection locked="0"/>
    </xf>
    <xf numFmtId="173" fontId="9" fillId="5" borderId="0" xfId="0" applyNumberFormat="1" applyFont="1" applyFill="1" applyProtection="1">
      <protection locked="0"/>
    </xf>
    <xf numFmtId="6" fontId="9" fillId="5" borderId="0" xfId="0" applyNumberFormat="1" applyFont="1" applyFill="1" applyProtection="1">
      <protection locked="0"/>
    </xf>
    <xf numFmtId="8" fontId="57" fillId="0" borderId="0" xfId="1" applyNumberFormat="1" applyFont="1" applyFill="1" applyBorder="1" applyAlignment="1" applyProtection="1">
      <alignment horizontal="center" vertical="center"/>
      <protection locked="0"/>
    </xf>
    <xf numFmtId="8" fontId="10" fillId="0" borderId="0" xfId="1" applyNumberFormat="1" applyFont="1" applyFill="1" applyBorder="1" applyAlignment="1" applyProtection="1">
      <alignment horizontal="center" vertical="center"/>
      <protection locked="0"/>
    </xf>
    <xf numFmtId="8" fontId="0" fillId="0" borderId="0" xfId="1" applyNumberFormat="1" applyFont="1" applyFill="1" applyBorder="1" applyAlignment="1" applyProtection="1">
      <alignment horizontal="center" vertical="center"/>
      <protection locked="0"/>
    </xf>
    <xf numFmtId="173" fontId="0" fillId="0" borderId="0" xfId="1" applyNumberFormat="1" applyFont="1" applyFill="1" applyBorder="1" applyProtection="1">
      <protection locked="0"/>
    </xf>
    <xf numFmtId="0" fontId="47" fillId="0" borderId="0" xfId="0" applyFont="1" applyAlignment="1" applyProtection="1">
      <alignment horizontal="center" vertical="center" wrapText="1"/>
      <protection locked="0"/>
    </xf>
    <xf numFmtId="8" fontId="10" fillId="0" borderId="0" xfId="1" applyNumberFormat="1" applyFont="1" applyFill="1" applyAlignment="1" applyProtection="1">
      <alignment horizontal="center" vertical="center"/>
      <protection locked="0"/>
    </xf>
    <xf numFmtId="8" fontId="0" fillId="0" borderId="0" xfId="1" applyNumberFormat="1" applyFont="1" applyFill="1" applyAlignment="1" applyProtection="1">
      <alignment horizontal="center" vertical="center"/>
      <protection locked="0"/>
    </xf>
    <xf numFmtId="173" fontId="0" fillId="0" borderId="0" xfId="1" applyNumberFormat="1" applyFont="1" applyFill="1" applyBorder="1" applyAlignment="1" applyProtection="1">
      <alignment horizontal="center" vertical="center"/>
      <protection locked="0"/>
    </xf>
    <xf numFmtId="9" fontId="10" fillId="21" borderId="0" xfId="3" applyFont="1" applyFill="1" applyProtection="1">
      <protection locked="0"/>
    </xf>
    <xf numFmtId="8" fontId="32" fillId="21" borderId="0" xfId="1" applyNumberFormat="1" applyFont="1" applyFill="1" applyAlignment="1" applyProtection="1">
      <alignment horizontal="center" vertical="center"/>
      <protection locked="0"/>
    </xf>
    <xf numFmtId="9" fontId="9" fillId="21" borderId="0" xfId="3" applyFont="1" applyFill="1" applyAlignment="1" applyProtection="1">
      <alignment horizontal="center" vertical="center"/>
      <protection locked="0"/>
    </xf>
    <xf numFmtId="0" fontId="0" fillId="21" borderId="0" xfId="0" applyFill="1" applyAlignment="1" applyProtection="1">
      <alignment horizontal="center" vertical="center"/>
      <protection locked="0"/>
    </xf>
    <xf numFmtId="6" fontId="19" fillId="5" borderId="0" xfId="0" applyNumberFormat="1" applyFont="1" applyFill="1" applyProtection="1">
      <protection locked="0"/>
    </xf>
    <xf numFmtId="6" fontId="9" fillId="5" borderId="45" xfId="0" applyNumberFormat="1" applyFont="1" applyFill="1" applyBorder="1" applyProtection="1">
      <protection locked="0"/>
    </xf>
    <xf numFmtId="6" fontId="9" fillId="5" borderId="5" xfId="0" applyNumberFormat="1" applyFont="1" applyFill="1" applyBorder="1" applyProtection="1">
      <protection locked="0"/>
    </xf>
    <xf numFmtId="164" fontId="31" fillId="0" borderId="0" xfId="1" applyNumberFormat="1" applyFont="1" applyFill="1" applyAlignment="1" applyProtection="1">
      <alignment horizontal="center" vertical="center"/>
      <protection locked="0"/>
    </xf>
    <xf numFmtId="164" fontId="64" fillId="0" borderId="0" xfId="0" applyNumberFormat="1" applyFont="1" applyAlignment="1" applyProtection="1">
      <alignment horizontal="center" vertical="center"/>
      <protection locked="0"/>
    </xf>
    <xf numFmtId="1" fontId="65" fillId="0" borderId="0" xfId="1" applyNumberFormat="1" applyFont="1" applyFill="1" applyAlignment="1" applyProtection="1">
      <alignment horizontal="center" vertical="center"/>
      <protection locked="0"/>
    </xf>
    <xf numFmtId="1" fontId="65" fillId="0" borderId="5" xfId="1" applyNumberFormat="1" applyFont="1" applyFill="1" applyBorder="1" applyAlignment="1" applyProtection="1">
      <alignment horizontal="center" vertical="center"/>
      <protection locked="0"/>
    </xf>
    <xf numFmtId="2" fontId="0" fillId="0" borderId="0" xfId="1" applyNumberFormat="1" applyFont="1" applyFill="1" applyBorder="1" applyAlignment="1" applyProtection="1">
      <alignment horizontal="center" vertical="center" wrapText="1"/>
      <protection locked="0"/>
    </xf>
    <xf numFmtId="164" fontId="9" fillId="0" borderId="0" xfId="1" applyNumberFormat="1" applyFont="1" applyFill="1" applyAlignment="1" applyProtection="1">
      <alignment horizontal="center" vertical="center" wrapText="1"/>
      <protection locked="0"/>
    </xf>
    <xf numFmtId="164" fontId="0" fillId="2" borderId="0" xfId="1" applyNumberFormat="1" applyFont="1" applyFill="1" applyBorder="1" applyAlignment="1" applyProtection="1">
      <alignment horizontal="center" vertical="center"/>
      <protection locked="0"/>
    </xf>
    <xf numFmtId="0" fontId="0" fillId="2" borderId="0" xfId="1" applyNumberFormat="1" applyFont="1" applyFill="1" applyBorder="1" applyAlignment="1" applyProtection="1">
      <alignment horizontal="center" vertical="center"/>
      <protection locked="0"/>
    </xf>
    <xf numFmtId="164" fontId="8" fillId="21" borderId="49" xfId="1" applyNumberFormat="1" applyFont="1" applyFill="1" applyBorder="1" applyAlignment="1" applyProtection="1">
      <alignment horizontal="center" vertical="center" wrapText="1"/>
      <protection locked="0"/>
    </xf>
    <xf numFmtId="164" fontId="8" fillId="21" borderId="50" xfId="1" applyNumberFormat="1" applyFont="1" applyFill="1" applyBorder="1" applyAlignment="1" applyProtection="1">
      <alignment horizontal="center" vertical="center" wrapText="1"/>
      <protection locked="0"/>
    </xf>
    <xf numFmtId="164" fontId="8" fillId="21" borderId="51" xfId="1" applyNumberFormat="1" applyFont="1" applyFill="1" applyBorder="1" applyAlignment="1" applyProtection="1">
      <alignment horizontal="center" vertical="center" wrapText="1"/>
      <protection locked="0"/>
    </xf>
    <xf numFmtId="174" fontId="0" fillId="0" borderId="0" xfId="2" applyNumberFormat="1" applyFont="1" applyFill="1" applyProtection="1">
      <protection locked="0"/>
    </xf>
    <xf numFmtId="177" fontId="46" fillId="0" borderId="0" xfId="0" applyNumberFormat="1" applyFont="1" applyProtection="1">
      <protection locked="0"/>
    </xf>
    <xf numFmtId="177" fontId="46" fillId="0" borderId="0" xfId="1" applyNumberFormat="1" applyFont="1" applyProtection="1">
      <protection locked="0"/>
    </xf>
    <xf numFmtId="177" fontId="46" fillId="0" borderId="0" xfId="1" applyNumberFormat="1" applyFont="1" applyFill="1" applyBorder="1" applyProtection="1">
      <protection locked="0"/>
    </xf>
    <xf numFmtId="164" fontId="21" fillId="6" borderId="0" xfId="0" applyNumberFormat="1" applyFont="1" applyFill="1" applyAlignment="1" applyProtection="1">
      <alignment horizontal="center" vertical="center"/>
      <protection locked="0"/>
    </xf>
    <xf numFmtId="164" fontId="0" fillId="6" borderId="0" xfId="0" applyNumberFormat="1" applyFill="1" applyAlignment="1" applyProtection="1">
      <alignment horizontal="center" vertical="center"/>
      <protection locked="0"/>
    </xf>
    <xf numFmtId="9" fontId="0" fillId="0" borderId="0" xfId="0" applyNumberFormat="1" applyAlignment="1">
      <alignment horizontal="center" wrapText="1"/>
    </xf>
    <xf numFmtId="174" fontId="0" fillId="3" borderId="0" xfId="0" applyNumberFormat="1" applyFill="1"/>
    <xf numFmtId="174" fontId="0" fillId="3" borderId="0" xfId="2" applyNumberFormat="1" applyFont="1" applyFill="1" applyAlignment="1">
      <alignment horizontal="right"/>
    </xf>
    <xf numFmtId="174" fontId="0" fillId="3" borderId="0" xfId="0" applyNumberFormat="1" applyFill="1" applyAlignment="1">
      <alignment horizontal="right"/>
    </xf>
    <xf numFmtId="174" fontId="9" fillId="3" borderId="0" xfId="2" applyNumberFormat="1" applyFont="1" applyFill="1"/>
    <xf numFmtId="174" fontId="9" fillId="3" borderId="0" xfId="2" applyNumberFormat="1" applyFont="1" applyFill="1" applyAlignment="1">
      <alignment horizontal="right"/>
    </xf>
    <xf numFmtId="164" fontId="0" fillId="3" borderId="0" xfId="1" applyNumberFormat="1" applyFont="1" applyFill="1"/>
    <xf numFmtId="164" fontId="0" fillId="3" borderId="0" xfId="0" applyNumberFormat="1" applyFill="1" applyAlignment="1">
      <alignment horizontal="center" vertical="center"/>
    </xf>
    <xf numFmtId="164" fontId="0" fillId="3" borderId="0" xfId="0" applyNumberFormat="1" applyFill="1"/>
    <xf numFmtId="164" fontId="66" fillId="17" borderId="0" xfId="0" applyNumberFormat="1" applyFont="1" applyFill="1" applyAlignment="1">
      <alignment horizontal="center" vertical="center"/>
    </xf>
    <xf numFmtId="174" fontId="9" fillId="3" borderId="0" xfId="2" applyNumberFormat="1" applyFont="1" applyFill="1" applyBorder="1"/>
    <xf numFmtId="174" fontId="0" fillId="3" borderId="0" xfId="2" applyNumberFormat="1" applyFont="1" applyFill="1" applyBorder="1"/>
    <xf numFmtId="174" fontId="9" fillId="3" borderId="0" xfId="2" applyNumberFormat="1" applyFont="1" applyFill="1" applyBorder="1" applyAlignment="1">
      <alignment horizontal="right"/>
    </xf>
    <xf numFmtId="174" fontId="9" fillId="17" borderId="0" xfId="2" applyNumberFormat="1" applyFont="1" applyFill="1" applyBorder="1"/>
    <xf numFmtId="174" fontId="0" fillId="17" borderId="0" xfId="2" applyNumberFormat="1" applyFont="1" applyFill="1" applyBorder="1"/>
    <xf numFmtId="174" fontId="9" fillId="17" borderId="0" xfId="2" applyNumberFormat="1" applyFont="1" applyFill="1" applyBorder="1" applyAlignment="1">
      <alignment horizontal="right"/>
    </xf>
    <xf numFmtId="164" fontId="54" fillId="17" borderId="0" xfId="1" applyNumberFormat="1" applyFont="1" applyFill="1" applyBorder="1"/>
    <xf numFmtId="174" fontId="9" fillId="17" borderId="62" xfId="2" applyNumberFormat="1" applyFont="1" applyFill="1" applyBorder="1"/>
    <xf numFmtId="17" fontId="9" fillId="0" borderId="62" xfId="0" applyNumberFormat="1" applyFont="1" applyBorder="1"/>
    <xf numFmtId="0" fontId="0" fillId="17" borderId="62" xfId="0" applyFill="1" applyBorder="1"/>
    <xf numFmtId="174" fontId="0" fillId="17" borderId="62" xfId="0" applyNumberFormat="1" applyFill="1" applyBorder="1"/>
    <xf numFmtId="174" fontId="0" fillId="17" borderId="62" xfId="0" applyNumberFormat="1" applyFill="1" applyBorder="1" applyAlignment="1">
      <alignment horizontal="right"/>
    </xf>
    <xf numFmtId="174" fontId="0" fillId="17" borderId="62" xfId="2" applyNumberFormat="1" applyFont="1" applyFill="1" applyBorder="1"/>
    <xf numFmtId="174" fontId="9" fillId="17" borderId="62" xfId="2" applyNumberFormat="1" applyFont="1" applyFill="1" applyBorder="1" applyAlignment="1">
      <alignment horizontal="right"/>
    </xf>
    <xf numFmtId="164" fontId="0" fillId="17" borderId="62" xfId="0" applyNumberFormat="1" applyFill="1" applyBorder="1"/>
    <xf numFmtId="164" fontId="54" fillId="17" borderId="62" xfId="0" applyNumberFormat="1" applyFont="1" applyFill="1" applyBorder="1"/>
    <xf numFmtId="164" fontId="9" fillId="3" borderId="62" xfId="0" applyNumberFormat="1" applyFont="1" applyFill="1" applyBorder="1"/>
    <xf numFmtId="17" fontId="9" fillId="0" borderId="62" xfId="0" applyNumberFormat="1" applyFont="1" applyBorder="1" applyAlignment="1">
      <alignment horizontal="center" wrapText="1"/>
    </xf>
    <xf numFmtId="0" fontId="0" fillId="17" borderId="62" xfId="0" applyFill="1" applyBorder="1" applyAlignment="1">
      <alignment horizontal="center" wrapText="1"/>
    </xf>
    <xf numFmtId="17" fontId="9" fillId="17" borderId="62" xfId="0" applyNumberFormat="1" applyFont="1" applyFill="1" applyBorder="1"/>
    <xf numFmtId="0" fontId="0" fillId="0" borderId="62" xfId="0" applyBorder="1" applyAlignment="1">
      <alignment horizontal="center" wrapText="1"/>
    </xf>
    <xf numFmtId="0" fontId="0" fillId="0" borderId="62" xfId="0" applyBorder="1" applyAlignment="1">
      <alignment horizontal="center"/>
    </xf>
    <xf numFmtId="0" fontId="0" fillId="3" borderId="62" xfId="0" applyFill="1" applyBorder="1" applyAlignment="1">
      <alignment horizontal="center" wrapText="1"/>
    </xf>
    <xf numFmtId="17" fontId="9" fillId="3" borderId="62" xfId="0" applyNumberFormat="1" applyFont="1" applyFill="1" applyBorder="1"/>
    <xf numFmtId="0" fontId="0" fillId="3" borderId="62" xfId="0" applyFill="1" applyBorder="1"/>
    <xf numFmtId="164" fontId="9" fillId="0" borderId="62" xfId="0" applyNumberFormat="1" applyFont="1" applyBorder="1"/>
    <xf numFmtId="164" fontId="54" fillId="17" borderId="62" xfId="1" applyNumberFormat="1" applyFont="1" applyFill="1" applyBorder="1"/>
    <xf numFmtId="164" fontId="54" fillId="17" borderId="20" xfId="1" applyNumberFormat="1" applyFont="1" applyFill="1" applyBorder="1"/>
    <xf numFmtId="174" fontId="0" fillId="2" borderId="62" xfId="0" applyNumberFormat="1" applyFill="1" applyBorder="1"/>
    <xf numFmtId="164" fontId="15" fillId="0" borderId="0" xfId="0" applyNumberFormat="1" applyFont="1" applyAlignment="1" applyProtection="1">
      <alignment horizontal="left"/>
      <protection locked="0"/>
    </xf>
    <xf numFmtId="8" fontId="9" fillId="0" borderId="65" xfId="1" applyNumberFormat="1" applyFont="1" applyBorder="1" applyProtection="1">
      <protection locked="0"/>
    </xf>
    <xf numFmtId="8" fontId="9" fillId="0" borderId="66" xfId="1" applyNumberFormat="1" applyFont="1" applyBorder="1" applyProtection="1">
      <protection locked="0"/>
    </xf>
    <xf numFmtId="8" fontId="9" fillId="21" borderId="65" xfId="1" applyNumberFormat="1" applyFont="1" applyFill="1" applyBorder="1" applyProtection="1">
      <protection locked="0"/>
    </xf>
    <xf numFmtId="8" fontId="9" fillId="21" borderId="66" xfId="1" applyNumberFormat="1" applyFont="1" applyFill="1" applyBorder="1" applyProtection="1">
      <protection locked="0"/>
    </xf>
    <xf numFmtId="0" fontId="14" fillId="17" borderId="65" xfId="1" applyNumberFormat="1" applyFont="1" applyFill="1" applyBorder="1" applyProtection="1">
      <protection locked="0"/>
    </xf>
    <xf numFmtId="0" fontId="14" fillId="17" borderId="66" xfId="1" applyNumberFormat="1" applyFont="1" applyFill="1" applyBorder="1" applyProtection="1">
      <protection locked="0"/>
    </xf>
    <xf numFmtId="173" fontId="0" fillId="17" borderId="65" xfId="1" applyNumberFormat="1" applyFont="1" applyFill="1" applyBorder="1" applyProtection="1">
      <protection locked="0"/>
    </xf>
    <xf numFmtId="173" fontId="0" fillId="17" borderId="66" xfId="1" applyNumberFormat="1" applyFont="1" applyFill="1" applyBorder="1" applyProtection="1">
      <protection locked="0"/>
    </xf>
    <xf numFmtId="173" fontId="0" fillId="0" borderId="65" xfId="1" applyNumberFormat="1" applyFont="1" applyFill="1" applyBorder="1" applyProtection="1">
      <protection locked="0"/>
    </xf>
    <xf numFmtId="173" fontId="0" fillId="0" borderId="66" xfId="1" applyNumberFormat="1" applyFont="1" applyFill="1" applyBorder="1" applyProtection="1">
      <protection locked="0"/>
    </xf>
    <xf numFmtId="173" fontId="9" fillId="5" borderId="65" xfId="0" applyNumberFormat="1" applyFont="1" applyFill="1" applyBorder="1" applyProtection="1">
      <protection locked="0"/>
    </xf>
    <xf numFmtId="173" fontId="9" fillId="5" borderId="66" xfId="0" applyNumberFormat="1" applyFont="1" applyFill="1" applyBorder="1" applyProtection="1">
      <protection locked="0"/>
    </xf>
    <xf numFmtId="6" fontId="9" fillId="5" borderId="65" xfId="0" applyNumberFormat="1" applyFont="1" applyFill="1" applyBorder="1" applyProtection="1">
      <protection locked="0"/>
    </xf>
    <xf numFmtId="6" fontId="9" fillId="5" borderId="66" xfId="0" applyNumberFormat="1" applyFont="1" applyFill="1" applyBorder="1" applyProtection="1">
      <protection locked="0"/>
    </xf>
    <xf numFmtId="6" fontId="9" fillId="0" borderId="65" xfId="0" applyNumberFormat="1" applyFont="1" applyBorder="1" applyProtection="1">
      <protection locked="0"/>
    </xf>
    <xf numFmtId="6" fontId="9" fillId="0" borderId="66" xfId="0" applyNumberFormat="1" applyFont="1" applyBorder="1" applyProtection="1">
      <protection locked="0"/>
    </xf>
    <xf numFmtId="0" fontId="14" fillId="17" borderId="65" xfId="1" applyNumberFormat="1" applyFont="1" applyFill="1" applyBorder="1" applyAlignment="1" applyProtection="1">
      <alignment horizontal="center" vertical="center"/>
      <protection locked="0"/>
    </xf>
    <xf numFmtId="0" fontId="14" fillId="17" borderId="66" xfId="1" applyNumberFormat="1" applyFont="1" applyFill="1" applyBorder="1" applyAlignment="1" applyProtection="1">
      <alignment horizontal="center" vertical="center"/>
      <protection locked="0"/>
    </xf>
    <xf numFmtId="173" fontId="0" fillId="17" borderId="65" xfId="1" applyNumberFormat="1" applyFont="1" applyFill="1" applyBorder="1" applyAlignment="1" applyProtection="1">
      <alignment horizontal="center" vertical="center"/>
      <protection locked="0"/>
    </xf>
    <xf numFmtId="173" fontId="0" fillId="17" borderId="66" xfId="1" applyNumberFormat="1" applyFont="1" applyFill="1" applyBorder="1" applyAlignment="1" applyProtection="1">
      <alignment horizontal="center" vertical="center"/>
      <protection locked="0"/>
    </xf>
    <xf numFmtId="173" fontId="0" fillId="0" borderId="65" xfId="1" applyNumberFormat="1" applyFont="1" applyFill="1" applyBorder="1" applyAlignment="1" applyProtection="1">
      <alignment horizontal="center" vertical="center"/>
      <protection locked="0"/>
    </xf>
    <xf numFmtId="173" fontId="0" fillId="0" borderId="66" xfId="1" applyNumberFormat="1" applyFont="1" applyFill="1" applyBorder="1" applyAlignment="1" applyProtection="1">
      <alignment horizontal="center" vertical="center"/>
      <protection locked="0"/>
    </xf>
    <xf numFmtId="6" fontId="54" fillId="21" borderId="65" xfId="0" applyNumberFormat="1" applyFont="1" applyFill="1" applyBorder="1" applyProtection="1">
      <protection locked="0"/>
    </xf>
    <xf numFmtId="6" fontId="54" fillId="21" borderId="66" xfId="0" applyNumberFormat="1" applyFont="1" applyFill="1" applyBorder="1" applyProtection="1">
      <protection locked="0"/>
    </xf>
    <xf numFmtId="9" fontId="10" fillId="21" borderId="67" xfId="3" applyFont="1" applyFill="1" applyBorder="1" applyProtection="1">
      <protection locked="0"/>
    </xf>
    <xf numFmtId="9" fontId="10" fillId="21" borderId="68" xfId="3" applyFont="1" applyFill="1" applyBorder="1" applyProtection="1">
      <protection locked="0"/>
    </xf>
    <xf numFmtId="8" fontId="0" fillId="21" borderId="0" xfId="1" applyNumberFormat="1" applyFont="1" applyFill="1" applyBorder="1" applyProtection="1">
      <protection locked="0"/>
    </xf>
    <xf numFmtId="8" fontId="9" fillId="3" borderId="0" xfId="1" applyNumberFormat="1" applyFont="1" applyFill="1" applyBorder="1" applyProtection="1">
      <protection locked="0"/>
    </xf>
    <xf numFmtId="9" fontId="10" fillId="21" borderId="0" xfId="3" applyFont="1" applyFill="1" applyBorder="1" applyProtection="1">
      <protection locked="0"/>
    </xf>
    <xf numFmtId="173" fontId="52" fillId="17" borderId="66" xfId="1" applyNumberFormat="1" applyFont="1" applyFill="1" applyBorder="1" applyProtection="1">
      <protection locked="0"/>
    </xf>
    <xf numFmtId="173" fontId="0" fillId="17" borderId="69" xfId="1" applyNumberFormat="1" applyFont="1" applyFill="1" applyBorder="1" applyProtection="1">
      <protection locked="0"/>
    </xf>
    <xf numFmtId="9" fontId="9" fillId="21" borderId="0" xfId="3" applyFont="1" applyFill="1" applyProtection="1">
      <protection locked="0"/>
    </xf>
    <xf numFmtId="9" fontId="54" fillId="21" borderId="0" xfId="3" applyFont="1" applyFill="1" applyProtection="1">
      <protection locked="0"/>
    </xf>
    <xf numFmtId="9" fontId="54" fillId="21" borderId="0" xfId="3" applyFont="1" applyFill="1" applyBorder="1" applyProtection="1">
      <protection locked="0"/>
    </xf>
    <xf numFmtId="9" fontId="54" fillId="21" borderId="45" xfId="3" applyFont="1" applyFill="1" applyBorder="1" applyProtection="1">
      <protection locked="0"/>
    </xf>
    <xf numFmtId="9" fontId="54" fillId="21" borderId="5" xfId="3" applyFont="1" applyFill="1" applyBorder="1" applyProtection="1">
      <protection locked="0"/>
    </xf>
    <xf numFmtId="9" fontId="9" fillId="0" borderId="0" xfId="3" applyFont="1" applyProtection="1">
      <protection locked="0"/>
    </xf>
    <xf numFmtId="0" fontId="0" fillId="0" borderId="0" xfId="1" applyNumberFormat="1" applyFont="1" applyFill="1" applyAlignment="1" applyProtection="1">
      <alignment horizontal="center" vertical="center"/>
      <protection locked="0"/>
    </xf>
    <xf numFmtId="175" fontId="0" fillId="0" borderId="0" xfId="0" applyNumberFormat="1" applyProtection="1">
      <protection locked="0"/>
    </xf>
    <xf numFmtId="9" fontId="9" fillId="0" borderId="0" xfId="3" applyFont="1" applyFill="1" applyProtection="1">
      <protection locked="0"/>
    </xf>
    <xf numFmtId="0" fontId="67" fillId="21" borderId="0" xfId="0" applyFont="1" applyFill="1" applyAlignment="1" applyProtection="1">
      <alignment horizontal="center" vertical="center"/>
      <protection locked="0"/>
    </xf>
    <xf numFmtId="164" fontId="0" fillId="0" borderId="52" xfId="1" applyNumberFormat="1" applyFont="1" applyFill="1" applyBorder="1" applyAlignment="1" applyProtection="1">
      <alignment horizontal="center" vertical="center"/>
      <protection locked="0"/>
    </xf>
    <xf numFmtId="164" fontId="9" fillId="0" borderId="54" xfId="1" applyNumberFormat="1" applyFont="1" applyFill="1" applyBorder="1" applyAlignment="1" applyProtection="1">
      <alignment horizontal="center" vertical="center" wrapText="1"/>
      <protection locked="0"/>
    </xf>
    <xf numFmtId="0" fontId="42" fillId="3" borderId="0" xfId="1" applyNumberFormat="1" applyFont="1" applyFill="1" applyBorder="1" applyAlignment="1" applyProtection="1">
      <alignment horizontal="center" vertical="center" wrapText="1"/>
      <protection locked="0"/>
    </xf>
    <xf numFmtId="176" fontId="43" fillId="3" borderId="0" xfId="1" applyNumberFormat="1" applyFont="1" applyFill="1" applyBorder="1" applyAlignment="1" applyProtection="1">
      <alignment horizontal="center" vertical="center" wrapText="1"/>
      <protection locked="0"/>
    </xf>
    <xf numFmtId="164" fontId="70" fillId="3" borderId="0" xfId="1" applyNumberFormat="1" applyFont="1" applyFill="1" applyBorder="1" applyAlignment="1" applyProtection="1">
      <alignment horizontal="center" vertical="center"/>
      <protection locked="0"/>
    </xf>
    <xf numFmtId="164" fontId="42" fillId="3" borderId="0" xfId="1" applyNumberFormat="1" applyFont="1" applyFill="1" applyBorder="1" applyAlignment="1" applyProtection="1">
      <alignment horizontal="center" vertical="center" wrapText="1"/>
      <protection locked="0"/>
    </xf>
    <xf numFmtId="164" fontId="43" fillId="3" borderId="0" xfId="1" applyNumberFormat="1" applyFont="1" applyFill="1" applyBorder="1" applyAlignment="1" applyProtection="1">
      <alignment horizontal="center" vertical="center" wrapText="1"/>
      <protection locked="0"/>
    </xf>
    <xf numFmtId="164" fontId="43" fillId="3" borderId="0" xfId="1" applyNumberFormat="1" applyFont="1" applyFill="1" applyBorder="1" applyAlignment="1" applyProtection="1">
      <alignment horizontal="center" vertical="center"/>
      <protection locked="0"/>
    </xf>
    <xf numFmtId="164" fontId="0" fillId="0" borderId="54" xfId="1" applyNumberFormat="1" applyFont="1" applyBorder="1" applyAlignment="1" applyProtection="1">
      <alignment horizontal="center" vertical="center" wrapText="1"/>
      <protection locked="0"/>
    </xf>
    <xf numFmtId="164" fontId="0" fillId="0" borderId="56" xfId="1" applyNumberFormat="1" applyFont="1" applyBorder="1" applyAlignment="1" applyProtection="1">
      <alignment horizontal="center" vertical="center" wrapText="1"/>
      <protection locked="0"/>
    </xf>
    <xf numFmtId="1" fontId="8" fillId="21" borderId="50" xfId="1" applyNumberFormat="1" applyFont="1" applyFill="1" applyBorder="1" applyAlignment="1" applyProtection="1">
      <alignment horizontal="center" vertical="center" wrapText="1"/>
      <protection locked="0"/>
    </xf>
    <xf numFmtId="1" fontId="8" fillId="21" borderId="51" xfId="1" applyNumberFormat="1" applyFont="1" applyFill="1" applyBorder="1" applyAlignment="1" applyProtection="1">
      <alignment horizontal="center" vertical="center" wrapText="1"/>
      <protection locked="0"/>
    </xf>
    <xf numFmtId="164" fontId="9" fillId="0" borderId="52" xfId="1" applyNumberFormat="1" applyFont="1" applyFill="1" applyBorder="1" applyAlignment="1" applyProtection="1">
      <alignment horizontal="center" vertical="center"/>
      <protection locked="0"/>
    </xf>
    <xf numFmtId="164" fontId="0" fillId="0" borderId="53" xfId="1" applyNumberFormat="1" applyFont="1" applyFill="1" applyBorder="1" applyAlignment="1" applyProtection="1">
      <alignment horizontal="center" vertical="center"/>
      <protection locked="0"/>
    </xf>
    <xf numFmtId="164" fontId="9" fillId="0" borderId="52" xfId="1" applyNumberFormat="1" applyFont="1" applyFill="1" applyBorder="1" applyAlignment="1" applyProtection="1">
      <alignment horizontal="center" vertical="center" wrapText="1"/>
      <protection locked="0"/>
    </xf>
    <xf numFmtId="164" fontId="0" fillId="0" borderId="53" xfId="1" applyNumberFormat="1" applyFont="1" applyBorder="1" applyAlignment="1" applyProtection="1">
      <alignment horizontal="center" vertical="center"/>
      <protection locked="0"/>
    </xf>
    <xf numFmtId="164" fontId="0" fillId="0" borderId="55" xfId="1" applyNumberFormat="1" applyFont="1" applyBorder="1" applyAlignment="1" applyProtection="1">
      <alignment horizontal="center" vertical="center"/>
      <protection locked="0"/>
    </xf>
    <xf numFmtId="164" fontId="0" fillId="0" borderId="56" xfId="1" applyNumberFormat="1" applyFont="1" applyBorder="1" applyAlignment="1" applyProtection="1">
      <alignment horizontal="center" vertical="center"/>
      <protection locked="0"/>
    </xf>
    <xf numFmtId="9" fontId="0" fillId="0" borderId="53" xfId="1" applyNumberFormat="1" applyFont="1" applyFill="1" applyBorder="1" applyAlignment="1" applyProtection="1">
      <alignment horizontal="center" vertical="center" wrapText="1"/>
      <protection locked="0"/>
    </xf>
    <xf numFmtId="9" fontId="0" fillId="0" borderId="53" xfId="1" applyNumberFormat="1" applyFont="1" applyFill="1" applyBorder="1" applyAlignment="1" applyProtection="1">
      <alignment horizontal="center" vertical="center"/>
      <protection locked="0"/>
    </xf>
    <xf numFmtId="9" fontId="0" fillId="2" borderId="53" xfId="1" applyNumberFormat="1" applyFont="1" applyFill="1" applyBorder="1" applyAlignment="1" applyProtection="1">
      <alignment horizontal="center" vertical="center"/>
      <protection locked="0"/>
    </xf>
    <xf numFmtId="164" fontId="54" fillId="0" borderId="54" xfId="1" applyNumberFormat="1" applyFont="1" applyBorder="1" applyAlignment="1" applyProtection="1">
      <alignment horizontal="center" vertical="center"/>
      <protection locked="0"/>
    </xf>
    <xf numFmtId="164" fontId="54" fillId="0" borderId="55" xfId="1" applyNumberFormat="1" applyFont="1" applyBorder="1" applyAlignment="1" applyProtection="1">
      <alignment horizontal="center" vertical="center"/>
      <protection locked="0"/>
    </xf>
    <xf numFmtId="17" fontId="9" fillId="0" borderId="20" xfId="0" applyNumberFormat="1" applyFont="1" applyBorder="1" applyAlignment="1" applyProtection="1">
      <alignment horizontal="center" vertical="center"/>
      <protection locked="0"/>
    </xf>
    <xf numFmtId="1" fontId="65" fillId="0" borderId="62" xfId="1" applyNumberFormat="1" applyFont="1" applyFill="1" applyBorder="1" applyAlignment="1" applyProtection="1">
      <alignment horizontal="center" vertical="center"/>
      <protection locked="0"/>
    </xf>
    <xf numFmtId="1" fontId="65" fillId="0" borderId="0" xfId="1" applyNumberFormat="1" applyFont="1" applyFill="1" applyBorder="1" applyAlignment="1" applyProtection="1">
      <alignment horizontal="center" vertical="center"/>
      <protection locked="0"/>
    </xf>
    <xf numFmtId="1" fontId="65" fillId="0" borderId="20" xfId="1" applyNumberFormat="1" applyFont="1" applyFill="1" applyBorder="1" applyAlignment="1" applyProtection="1">
      <alignment horizontal="center" vertical="center"/>
      <protection locked="0"/>
    </xf>
    <xf numFmtId="1" fontId="31" fillId="0" borderId="62" xfId="1" applyNumberFormat="1" applyFont="1" applyBorder="1" applyAlignment="1" applyProtection="1">
      <alignment horizontal="center" vertical="center"/>
      <protection locked="0"/>
    </xf>
    <xf numFmtId="1" fontId="31" fillId="0" borderId="0" xfId="1" applyNumberFormat="1" applyFont="1" applyBorder="1" applyAlignment="1" applyProtection="1">
      <alignment horizontal="center" vertical="center"/>
      <protection locked="0"/>
    </xf>
    <xf numFmtId="1" fontId="31" fillId="0" borderId="20" xfId="1" applyNumberFormat="1" applyFont="1" applyBorder="1" applyAlignment="1" applyProtection="1">
      <alignment horizontal="center" vertical="center"/>
      <protection locked="0"/>
    </xf>
    <xf numFmtId="164" fontId="0" fillId="0" borderId="62" xfId="1" applyNumberFormat="1" applyFont="1" applyBorder="1" applyAlignment="1" applyProtection="1">
      <alignment horizontal="center" vertical="center"/>
      <protection locked="0"/>
    </xf>
    <xf numFmtId="164" fontId="0" fillId="0" borderId="20" xfId="1" applyNumberFormat="1" applyFont="1" applyBorder="1" applyAlignment="1" applyProtection="1">
      <alignment horizontal="center" vertical="center"/>
      <protection locked="0"/>
    </xf>
    <xf numFmtId="9" fontId="10" fillId="0" borderId="62" xfId="3" applyFont="1" applyBorder="1" applyAlignment="1" applyProtection="1">
      <alignment horizontal="center" vertical="center"/>
      <protection locked="0"/>
    </xf>
    <xf numFmtId="9" fontId="10" fillId="0" borderId="0" xfId="3" applyFont="1" applyBorder="1" applyAlignment="1" applyProtection="1">
      <alignment horizontal="center" vertical="center"/>
      <protection locked="0"/>
    </xf>
    <xf numFmtId="9" fontId="10" fillId="0" borderId="20" xfId="3" applyFont="1" applyBorder="1" applyAlignment="1" applyProtection="1">
      <alignment horizontal="center" vertical="center"/>
      <protection locked="0"/>
    </xf>
    <xf numFmtId="164" fontId="9" fillId="0" borderId="62" xfId="1" applyNumberFormat="1" applyFont="1" applyBorder="1" applyAlignment="1" applyProtection="1">
      <alignment horizontal="center" vertical="center"/>
      <protection locked="0"/>
    </xf>
    <xf numFmtId="164" fontId="9" fillId="0" borderId="20" xfId="1" applyNumberFormat="1" applyFont="1" applyBorder="1" applyAlignment="1" applyProtection="1">
      <alignment horizontal="center" vertical="center"/>
      <protection locked="0"/>
    </xf>
    <xf numFmtId="164" fontId="4" fillId="0" borderId="62" xfId="1" applyNumberFormat="1" applyFont="1" applyBorder="1" applyAlignment="1" applyProtection="1">
      <alignment horizontal="center" vertical="center"/>
      <protection locked="0"/>
    </xf>
    <xf numFmtId="164" fontId="4" fillId="0" borderId="0" xfId="1" applyNumberFormat="1" applyFont="1" applyBorder="1" applyAlignment="1" applyProtection="1">
      <alignment horizontal="center" vertical="center"/>
      <protection locked="0"/>
    </xf>
    <xf numFmtId="17" fontId="9" fillId="0" borderId="62" xfId="0" applyNumberFormat="1" applyFont="1" applyBorder="1" applyAlignment="1" applyProtection="1">
      <alignment horizontal="center" vertical="center"/>
      <protection locked="0"/>
    </xf>
    <xf numFmtId="164" fontId="0" fillId="0" borderId="62" xfId="1" applyNumberFormat="1" applyFont="1" applyFill="1" applyBorder="1" applyAlignment="1" applyProtection="1">
      <alignment horizontal="center" vertical="center"/>
      <protection locked="0"/>
    </xf>
    <xf numFmtId="164" fontId="0" fillId="0" borderId="20" xfId="1" applyNumberFormat="1" applyFont="1" applyFill="1" applyBorder="1" applyAlignment="1" applyProtection="1">
      <alignment horizontal="center" vertical="center"/>
      <protection locked="0"/>
    </xf>
    <xf numFmtId="164" fontId="0" fillId="0" borderId="62" xfId="0" applyNumberFormat="1" applyBorder="1" applyAlignment="1" applyProtection="1">
      <alignment horizontal="center" vertical="center"/>
      <protection locked="0"/>
    </xf>
    <xf numFmtId="164" fontId="0" fillId="0" borderId="20" xfId="0" applyNumberFormat="1" applyBorder="1" applyAlignment="1" applyProtection="1">
      <alignment horizontal="center" vertical="center"/>
      <protection locked="0"/>
    </xf>
    <xf numFmtId="164" fontId="27" fillId="0" borderId="62" xfId="1" applyNumberFormat="1" applyFont="1" applyFill="1" applyBorder="1" applyAlignment="1" applyProtection="1">
      <alignment horizontal="center" vertical="center"/>
      <protection locked="0"/>
    </xf>
    <xf numFmtId="164" fontId="27" fillId="0" borderId="0" xfId="1" applyNumberFormat="1" applyFont="1" applyFill="1" applyBorder="1" applyAlignment="1" applyProtection="1">
      <alignment horizontal="center" vertical="center"/>
      <protection locked="0"/>
    </xf>
    <xf numFmtId="164" fontId="27" fillId="0" borderId="20" xfId="1" applyNumberFormat="1" applyFont="1" applyFill="1" applyBorder="1" applyAlignment="1" applyProtection="1">
      <alignment horizontal="center" vertical="center"/>
      <protection locked="0"/>
    </xf>
    <xf numFmtId="164" fontId="1" fillId="0" borderId="62" xfId="1" applyNumberFormat="1" applyFont="1" applyBorder="1" applyAlignment="1" applyProtection="1">
      <alignment horizontal="center" vertical="center"/>
      <protection locked="0"/>
    </xf>
    <xf numFmtId="164" fontId="1" fillId="0" borderId="0" xfId="1" applyNumberFormat="1" applyFont="1" applyBorder="1" applyAlignment="1" applyProtection="1">
      <alignment horizontal="center" vertical="center"/>
      <protection locked="0"/>
    </xf>
    <xf numFmtId="164" fontId="1" fillId="0" borderId="20" xfId="1" applyNumberFormat="1" applyFont="1" applyBorder="1" applyAlignment="1" applyProtection="1">
      <alignment horizontal="center" vertical="center"/>
      <protection locked="0"/>
    </xf>
    <xf numFmtId="164" fontId="24" fillId="21" borderId="0" xfId="1" applyNumberFormat="1" applyFont="1" applyFill="1" applyAlignment="1" applyProtection="1">
      <alignment horizontal="center" vertical="center"/>
      <protection locked="0"/>
    </xf>
    <xf numFmtId="164" fontId="0" fillId="21" borderId="0" xfId="1" applyNumberFormat="1" applyFont="1" applyFill="1" applyAlignment="1" applyProtection="1">
      <alignment horizontal="center" vertical="center"/>
      <protection locked="0"/>
    </xf>
    <xf numFmtId="164" fontId="0" fillId="21" borderId="0" xfId="1" applyNumberFormat="1" applyFont="1" applyFill="1" applyBorder="1" applyAlignment="1" applyProtection="1">
      <alignment horizontal="center" vertical="center"/>
      <protection locked="0"/>
    </xf>
    <xf numFmtId="164" fontId="19" fillId="22" borderId="0" xfId="0" applyNumberFormat="1" applyFont="1" applyFill="1" applyAlignment="1" applyProtection="1">
      <alignment horizontal="center" vertical="center"/>
      <protection locked="0"/>
    </xf>
    <xf numFmtId="164" fontId="9" fillId="22" borderId="0" xfId="1" applyNumberFormat="1" applyFont="1" applyFill="1" applyAlignment="1" applyProtection="1">
      <alignment horizontal="center" vertical="center"/>
      <protection locked="0"/>
    </xf>
    <xf numFmtId="164" fontId="9" fillId="22" borderId="62" xfId="1" applyNumberFormat="1" applyFont="1" applyFill="1" applyBorder="1" applyAlignment="1" applyProtection="1">
      <alignment horizontal="center" vertical="center"/>
      <protection locked="0"/>
    </xf>
    <xf numFmtId="164" fontId="9" fillId="22" borderId="0" xfId="1" applyNumberFormat="1" applyFont="1" applyFill="1" applyBorder="1" applyAlignment="1" applyProtection="1">
      <alignment horizontal="center" vertical="center"/>
      <protection locked="0"/>
    </xf>
    <xf numFmtId="164" fontId="9" fillId="22" borderId="20" xfId="1" applyNumberFormat="1" applyFont="1" applyFill="1" applyBorder="1" applyAlignment="1" applyProtection="1">
      <alignment horizontal="center" vertical="center"/>
      <protection locked="0"/>
    </xf>
    <xf numFmtId="164" fontId="0" fillId="22" borderId="0" xfId="1" applyNumberFormat="1" applyFont="1" applyFill="1" applyAlignment="1" applyProtection="1">
      <alignment horizontal="center" vertical="center"/>
      <protection locked="0"/>
    </xf>
    <xf numFmtId="164" fontId="0" fillId="22" borderId="62" xfId="1" applyNumberFormat="1" applyFont="1" applyFill="1" applyBorder="1" applyAlignment="1" applyProtection="1">
      <alignment horizontal="center" vertical="center"/>
      <protection locked="0"/>
    </xf>
    <xf numFmtId="164" fontId="0" fillId="22" borderId="0" xfId="1" applyNumberFormat="1" applyFont="1" applyFill="1" applyBorder="1" applyAlignment="1" applyProtection="1">
      <alignment horizontal="center" vertical="center"/>
      <protection locked="0"/>
    </xf>
    <xf numFmtId="164" fontId="0" fillId="22" borderId="20" xfId="1" applyNumberFormat="1" applyFont="1" applyFill="1" applyBorder="1" applyAlignment="1" applyProtection="1">
      <alignment horizontal="center" vertical="center"/>
      <protection locked="0"/>
    </xf>
    <xf numFmtId="164" fontId="9" fillId="22" borderId="0" xfId="0" applyNumberFormat="1" applyFont="1" applyFill="1" applyAlignment="1" applyProtection="1">
      <alignment horizontal="center" vertical="center"/>
      <protection locked="0"/>
    </xf>
    <xf numFmtId="164" fontId="0" fillId="22" borderId="0" xfId="0" applyNumberFormat="1" applyFill="1" applyAlignment="1" applyProtection="1">
      <alignment horizontal="center" vertical="center"/>
      <protection locked="0"/>
    </xf>
    <xf numFmtId="164" fontId="9" fillId="22" borderId="0" xfId="0" applyNumberFormat="1" applyFont="1" applyFill="1" applyAlignment="1" applyProtection="1">
      <alignment horizontal="center" vertical="center" wrapText="1"/>
      <protection locked="0"/>
    </xf>
    <xf numFmtId="164" fontId="0" fillId="21" borderId="62" xfId="1" applyNumberFormat="1" applyFont="1" applyFill="1" applyBorder="1" applyAlignment="1" applyProtection="1">
      <alignment horizontal="center" vertical="center"/>
      <protection locked="0"/>
    </xf>
    <xf numFmtId="164" fontId="0" fillId="21" borderId="20" xfId="1" applyNumberFormat="1" applyFont="1" applyFill="1" applyBorder="1" applyAlignment="1" applyProtection="1">
      <alignment horizontal="center" vertical="center"/>
      <protection locked="0"/>
    </xf>
    <xf numFmtId="164" fontId="35" fillId="21" borderId="0" xfId="0" applyNumberFormat="1" applyFont="1" applyFill="1" applyAlignment="1" applyProtection="1">
      <alignment horizontal="center" vertical="center"/>
      <protection locked="0"/>
    </xf>
    <xf numFmtId="164" fontId="0" fillId="21" borderId="5" xfId="1" applyNumberFormat="1" applyFont="1" applyFill="1" applyBorder="1" applyAlignment="1" applyProtection="1">
      <alignment horizontal="center" vertical="center"/>
      <protection locked="0"/>
    </xf>
    <xf numFmtId="164" fontId="0" fillId="17" borderId="0" xfId="0" applyNumberFormat="1" applyFill="1" applyAlignment="1" applyProtection="1">
      <alignment horizontal="center" vertical="center"/>
      <protection locked="0"/>
    </xf>
    <xf numFmtId="164" fontId="0" fillId="17" borderId="5" xfId="0" applyNumberFormat="1" applyFill="1" applyBorder="1" applyAlignment="1" applyProtection="1">
      <alignment horizontal="center" vertical="center"/>
      <protection locked="0"/>
    </xf>
    <xf numFmtId="164" fontId="27" fillId="17" borderId="0" xfId="1" applyNumberFormat="1" applyFont="1" applyFill="1" applyAlignment="1" applyProtection="1">
      <alignment horizontal="center" vertical="center"/>
      <protection locked="0"/>
    </xf>
    <xf numFmtId="164" fontId="0" fillId="17" borderId="0" xfId="1" applyNumberFormat="1" applyFont="1" applyFill="1" applyAlignment="1" applyProtection="1">
      <alignment horizontal="center" vertical="center"/>
      <protection locked="0"/>
    </xf>
    <xf numFmtId="164" fontId="0" fillId="17" borderId="5" xfId="1" applyNumberFormat="1" applyFont="1" applyFill="1" applyBorder="1" applyAlignment="1" applyProtection="1">
      <alignment horizontal="center" vertical="center"/>
      <protection locked="0"/>
    </xf>
    <xf numFmtId="164" fontId="9" fillId="17" borderId="0" xfId="0" applyNumberFormat="1" applyFont="1" applyFill="1" applyAlignment="1" applyProtection="1">
      <alignment horizontal="center" vertical="center"/>
      <protection locked="0"/>
    </xf>
    <xf numFmtId="164" fontId="9" fillId="17" borderId="0" xfId="1" applyNumberFormat="1" applyFont="1" applyFill="1" applyAlignment="1" applyProtection="1">
      <alignment horizontal="center" vertical="center"/>
      <protection locked="0"/>
    </xf>
    <xf numFmtId="164" fontId="9" fillId="17" borderId="5" xfId="1" applyNumberFormat="1" applyFont="1" applyFill="1" applyBorder="1" applyAlignment="1" applyProtection="1">
      <alignment horizontal="center" vertical="center"/>
      <protection locked="0"/>
    </xf>
    <xf numFmtId="164" fontId="0" fillId="17" borderId="0" xfId="1" applyNumberFormat="1" applyFont="1" applyFill="1" applyBorder="1" applyAlignment="1" applyProtection="1">
      <alignment horizontal="center" vertical="center"/>
      <protection locked="0"/>
    </xf>
    <xf numFmtId="164" fontId="0" fillId="0" borderId="61" xfId="0" applyNumberFormat="1" applyBorder="1" applyAlignment="1" applyProtection="1">
      <alignment horizontal="center" vertical="center"/>
      <protection locked="0"/>
    </xf>
    <xf numFmtId="164" fontId="0" fillId="0" borderId="33" xfId="0" applyNumberFormat="1" applyBorder="1" applyAlignment="1" applyProtection="1">
      <alignment horizontal="center" vertical="center"/>
      <protection locked="0"/>
    </xf>
    <xf numFmtId="164" fontId="0" fillId="0" borderId="34" xfId="0" applyNumberFormat="1" applyBorder="1" applyAlignment="1" applyProtection="1">
      <alignment horizontal="center" vertical="center"/>
      <protection locked="0"/>
    </xf>
    <xf numFmtId="164" fontId="9" fillId="0" borderId="35" xfId="0" applyNumberFormat="1" applyFont="1" applyBorder="1" applyAlignment="1" applyProtection="1">
      <alignment horizontal="center" vertical="center"/>
      <protection locked="0"/>
    </xf>
    <xf numFmtId="0" fontId="9" fillId="22" borderId="0" xfId="0" applyFont="1" applyFill="1" applyAlignment="1" applyProtection="1">
      <alignment horizontal="center" vertical="center"/>
      <protection locked="0"/>
    </xf>
    <xf numFmtId="9" fontId="10" fillId="0" borderId="0" xfId="3" applyFont="1" applyFill="1" applyAlignment="1" applyProtection="1">
      <alignment horizontal="center" vertical="center"/>
      <protection locked="0"/>
    </xf>
    <xf numFmtId="164" fontId="21" fillId="0" borderId="0" xfId="0" applyNumberFormat="1" applyFont="1" applyAlignment="1" applyProtection="1">
      <alignment horizontal="center" vertical="center"/>
      <protection locked="0"/>
    </xf>
    <xf numFmtId="0" fontId="21" fillId="22" borderId="0" xfId="0" applyFont="1" applyFill="1" applyAlignment="1" applyProtection="1">
      <alignment horizontal="center" vertical="center"/>
      <protection locked="0"/>
    </xf>
    <xf numFmtId="164" fontId="71" fillId="21" borderId="0" xfId="0" applyNumberFormat="1" applyFont="1" applyFill="1" applyAlignment="1" applyProtection="1">
      <alignment horizontal="center" vertical="center"/>
      <protection locked="0"/>
    </xf>
    <xf numFmtId="164" fontId="49" fillId="21" borderId="0" xfId="1" applyNumberFormat="1" applyFont="1" applyFill="1" applyAlignment="1" applyProtection="1">
      <alignment horizontal="center" vertical="center"/>
      <protection locked="0"/>
    </xf>
    <xf numFmtId="164" fontId="49" fillId="21" borderId="5" xfId="1" applyNumberFormat="1" applyFont="1" applyFill="1" applyBorder="1" applyAlignment="1" applyProtection="1">
      <alignment horizontal="center" vertical="center"/>
      <protection locked="0"/>
    </xf>
    <xf numFmtId="164" fontId="49" fillId="21" borderId="0" xfId="1" applyNumberFormat="1" applyFont="1" applyFill="1" applyBorder="1" applyAlignment="1" applyProtection="1">
      <alignment horizontal="center" vertical="center"/>
      <protection locked="0"/>
    </xf>
    <xf numFmtId="164" fontId="0" fillId="0" borderId="36" xfId="0" applyNumberFormat="1" applyBorder="1" applyAlignment="1" applyProtection="1">
      <alignment horizontal="center" vertical="center"/>
      <protection locked="0"/>
    </xf>
    <xf numFmtId="164" fontId="0" fillId="0" borderId="37" xfId="0" applyNumberFormat="1" applyBorder="1" applyAlignment="1" applyProtection="1">
      <alignment horizontal="center" vertical="center"/>
      <protection locked="0"/>
    </xf>
    <xf numFmtId="164" fontId="0" fillId="0" borderId="38" xfId="0" applyNumberFormat="1" applyBorder="1" applyAlignment="1" applyProtection="1">
      <alignment horizontal="center" vertical="center"/>
      <protection locked="0"/>
    </xf>
    <xf numFmtId="164" fontId="0" fillId="0" borderId="39" xfId="0" applyNumberFormat="1" applyBorder="1" applyAlignment="1" applyProtection="1">
      <alignment horizontal="center" vertical="center"/>
      <protection locked="0"/>
    </xf>
    <xf numFmtId="164" fontId="9" fillId="0" borderId="38" xfId="0" applyNumberFormat="1" applyFont="1" applyBorder="1" applyAlignment="1" applyProtection="1">
      <alignment horizontal="center" vertical="center"/>
      <protection locked="0"/>
    </xf>
    <xf numFmtId="164" fontId="9" fillId="0" borderId="39" xfId="0" applyNumberFormat="1" applyFont="1" applyBorder="1" applyAlignment="1" applyProtection="1">
      <alignment horizontal="center" vertical="center"/>
      <protection locked="0"/>
    </xf>
    <xf numFmtId="164" fontId="0" fillId="0" borderId="40" xfId="0" applyNumberFormat="1" applyBorder="1" applyAlignment="1" applyProtection="1">
      <alignment horizontal="center" vertical="center"/>
      <protection locked="0"/>
    </xf>
    <xf numFmtId="164" fontId="0" fillId="0" borderId="41" xfId="0" applyNumberFormat="1" applyBorder="1" applyAlignment="1" applyProtection="1">
      <alignment horizontal="center" vertical="center"/>
      <protection locked="0"/>
    </xf>
    <xf numFmtId="164" fontId="9" fillId="0" borderId="40" xfId="0" applyNumberFormat="1" applyFont="1" applyBorder="1" applyAlignment="1" applyProtection="1">
      <alignment horizontal="center" vertical="center"/>
      <protection locked="0"/>
    </xf>
    <xf numFmtId="164" fontId="9" fillId="0" borderId="41" xfId="0" applyNumberFormat="1" applyFont="1" applyBorder="1" applyAlignment="1" applyProtection="1">
      <alignment horizontal="center" vertical="center"/>
      <protection locked="0"/>
    </xf>
    <xf numFmtId="164" fontId="9" fillId="22" borderId="5" xfId="1" applyNumberFormat="1" applyFont="1" applyFill="1" applyBorder="1" applyAlignment="1" applyProtection="1">
      <alignment horizontal="center" vertical="center"/>
      <protection locked="0"/>
    </xf>
    <xf numFmtId="0" fontId="8" fillId="22" borderId="0" xfId="0" applyFont="1" applyFill="1" applyAlignment="1" applyProtection="1">
      <alignment horizontal="center" vertical="center"/>
      <protection locked="0"/>
    </xf>
    <xf numFmtId="164" fontId="35" fillId="21" borderId="0" xfId="0" applyNumberFormat="1" applyFont="1" applyFill="1" applyAlignment="1" applyProtection="1">
      <alignment horizontal="left" wrapText="1"/>
      <protection locked="0"/>
    </xf>
    <xf numFmtId="164" fontId="0" fillId="21" borderId="0" xfId="1" applyNumberFormat="1" applyFont="1" applyFill="1" applyProtection="1">
      <protection locked="0"/>
    </xf>
    <xf numFmtId="164" fontId="15" fillId="21" borderId="0" xfId="0" applyNumberFormat="1" applyFont="1" applyFill="1" applyAlignment="1" applyProtection="1">
      <alignment horizontal="center" vertical="center" wrapText="1"/>
      <protection locked="0"/>
    </xf>
    <xf numFmtId="164" fontId="24" fillId="21" borderId="0" xfId="1" applyNumberFormat="1" applyFont="1" applyFill="1" applyProtection="1">
      <protection locked="0"/>
    </xf>
    <xf numFmtId="164" fontId="0" fillId="21" borderId="0" xfId="1" applyNumberFormat="1" applyFont="1" applyFill="1" applyBorder="1" applyProtection="1">
      <protection locked="0"/>
    </xf>
    <xf numFmtId="164" fontId="24" fillId="21" borderId="0" xfId="0" applyNumberFormat="1" applyFont="1" applyFill="1" applyAlignment="1" applyProtection="1">
      <alignment horizontal="left"/>
      <protection locked="0"/>
    </xf>
    <xf numFmtId="164" fontId="73" fillId="21" borderId="0" xfId="0" applyNumberFormat="1" applyFont="1" applyFill="1" applyAlignment="1" applyProtection="1">
      <alignment horizontal="center" vertical="center"/>
      <protection locked="0"/>
    </xf>
    <xf numFmtId="164" fontId="68" fillId="21" borderId="0" xfId="1" applyNumberFormat="1" applyFont="1" applyFill="1" applyAlignment="1" applyProtection="1">
      <alignment horizontal="center" vertical="center"/>
      <protection locked="0"/>
    </xf>
    <xf numFmtId="164" fontId="68" fillId="21" borderId="0" xfId="1" applyNumberFormat="1" applyFont="1" applyFill="1" applyBorder="1" applyAlignment="1" applyProtection="1">
      <alignment horizontal="center" vertical="center"/>
      <protection locked="0"/>
    </xf>
    <xf numFmtId="164" fontId="0" fillId="17" borderId="0" xfId="0" applyNumberFormat="1" applyFill="1" applyProtection="1">
      <protection locked="0"/>
    </xf>
    <xf numFmtId="164" fontId="9" fillId="17" borderId="0" xfId="1" applyNumberFormat="1" applyFont="1" applyFill="1" applyProtection="1">
      <protection locked="0"/>
    </xf>
    <xf numFmtId="164" fontId="3" fillId="17" borderId="0" xfId="1" applyNumberFormat="1" applyFont="1" applyFill="1" applyProtection="1">
      <protection locked="0"/>
    </xf>
    <xf numFmtId="164" fontId="3" fillId="17" borderId="0" xfId="1" applyNumberFormat="1" applyFont="1" applyFill="1" applyBorder="1" applyProtection="1">
      <protection locked="0"/>
    </xf>
    <xf numFmtId="164" fontId="0" fillId="17" borderId="0" xfId="1" applyNumberFormat="1" applyFont="1" applyFill="1" applyProtection="1">
      <protection locked="0"/>
    </xf>
    <xf numFmtId="164" fontId="0" fillId="17" borderId="2" xfId="0" applyNumberFormat="1" applyFill="1" applyBorder="1" applyProtection="1">
      <protection locked="0"/>
    </xf>
    <xf numFmtId="164" fontId="0" fillId="17" borderId="7" xfId="1" applyNumberFormat="1" applyFont="1" applyFill="1" applyBorder="1" applyProtection="1">
      <protection locked="0"/>
    </xf>
    <xf numFmtId="164" fontId="0" fillId="17" borderId="0" xfId="1" applyNumberFormat="1" applyFont="1" applyFill="1" applyBorder="1" applyProtection="1">
      <protection locked="0"/>
    </xf>
    <xf numFmtId="164" fontId="0" fillId="17" borderId="2" xfId="1" applyNumberFormat="1" applyFont="1" applyFill="1" applyBorder="1" applyProtection="1">
      <protection locked="0"/>
    </xf>
    <xf numFmtId="164" fontId="2" fillId="17" borderId="0" xfId="1" applyNumberFormat="1" applyFont="1" applyFill="1" applyProtection="1">
      <protection locked="0"/>
    </xf>
    <xf numFmtId="164" fontId="2" fillId="17" borderId="0" xfId="1" applyNumberFormat="1" applyFont="1" applyFill="1" applyBorder="1" applyProtection="1">
      <protection locked="0"/>
    </xf>
    <xf numFmtId="164" fontId="9" fillId="17" borderId="0" xfId="1" applyNumberFormat="1" applyFont="1" applyFill="1" applyBorder="1" applyProtection="1">
      <protection locked="0"/>
    </xf>
    <xf numFmtId="164" fontId="1" fillId="17" borderId="0" xfId="1" applyNumberFormat="1" applyFont="1" applyFill="1" applyProtection="1">
      <protection locked="0"/>
    </xf>
    <xf numFmtId="164" fontId="1" fillId="17" borderId="0" xfId="1" applyNumberFormat="1" applyFont="1" applyFill="1" applyBorder="1" applyProtection="1">
      <protection locked="0"/>
    </xf>
    <xf numFmtId="164" fontId="1" fillId="17" borderId="0" xfId="1" applyNumberFormat="1" applyFont="1" applyFill="1" applyAlignment="1" applyProtection="1">
      <alignment vertical="center"/>
      <protection locked="0"/>
    </xf>
    <xf numFmtId="164" fontId="0" fillId="17" borderId="0" xfId="1" applyNumberFormat="1" applyFont="1" applyFill="1" applyAlignment="1" applyProtection="1">
      <alignment vertical="center"/>
      <protection locked="0"/>
    </xf>
    <xf numFmtId="164" fontId="9" fillId="0" borderId="33" xfId="0" applyNumberFormat="1" applyFont="1" applyBorder="1" applyAlignment="1" applyProtection="1">
      <alignment horizontal="left"/>
      <protection locked="0"/>
    </xf>
    <xf numFmtId="164" fontId="0" fillId="0" borderId="34" xfId="0" applyNumberFormat="1" applyBorder="1" applyAlignment="1" applyProtection="1">
      <alignment horizontal="left"/>
      <protection locked="0"/>
    </xf>
    <xf numFmtId="164" fontId="9" fillId="0" borderId="35" xfId="0" applyNumberFormat="1" applyFont="1" applyBorder="1" applyAlignment="1" applyProtection="1">
      <alignment horizontal="left"/>
      <protection locked="0"/>
    </xf>
    <xf numFmtId="164" fontId="0" fillId="0" borderId="35" xfId="0" applyNumberFormat="1" applyBorder="1" applyAlignment="1" applyProtection="1">
      <alignment horizontal="left"/>
      <protection locked="0"/>
    </xf>
    <xf numFmtId="164" fontId="1" fillId="0" borderId="34" xfId="1" applyNumberFormat="1" applyFont="1" applyBorder="1" applyProtection="1">
      <protection locked="0"/>
    </xf>
    <xf numFmtId="164" fontId="9" fillId="0" borderId="33" xfId="1" applyNumberFormat="1" applyFont="1" applyBorder="1" applyProtection="1">
      <protection locked="0"/>
    </xf>
    <xf numFmtId="164" fontId="0" fillId="0" borderId="34" xfId="0" applyNumberFormat="1" applyBorder="1" applyAlignment="1" applyProtection="1">
      <alignment horizontal="left" indent="1"/>
      <protection locked="0"/>
    </xf>
    <xf numFmtId="164" fontId="2" fillId="0" borderId="34" xfId="1" applyNumberFormat="1" applyFont="1" applyBorder="1" applyAlignment="1" applyProtection="1">
      <alignment horizontal="left"/>
      <protection locked="0"/>
    </xf>
    <xf numFmtId="164" fontId="0" fillId="0" borderId="34" xfId="1" applyNumberFormat="1" applyFont="1" applyBorder="1" applyAlignment="1" applyProtection="1">
      <alignment horizontal="left"/>
      <protection locked="0"/>
    </xf>
    <xf numFmtId="164" fontId="28" fillId="0" borderId="34" xfId="0" applyNumberFormat="1" applyFont="1" applyBorder="1" applyAlignment="1" applyProtection="1">
      <alignment horizontal="left" indent="1"/>
      <protection locked="0"/>
    </xf>
    <xf numFmtId="164" fontId="9" fillId="0" borderId="34" xfId="0" applyNumberFormat="1" applyFont="1" applyBorder="1" applyAlignment="1" applyProtection="1">
      <alignment horizontal="left"/>
      <protection locked="0"/>
    </xf>
    <xf numFmtId="164" fontId="9" fillId="0" borderId="33" xfId="0" applyNumberFormat="1" applyFont="1" applyBorder="1" applyAlignment="1" applyProtection="1">
      <alignment horizontal="left" indent="1"/>
      <protection locked="0"/>
    </xf>
    <xf numFmtId="164" fontId="0" fillId="0" borderId="34" xfId="0" applyNumberFormat="1" applyBorder="1" applyAlignment="1" applyProtection="1">
      <alignment horizontal="left" indent="2"/>
      <protection locked="0"/>
    </xf>
    <xf numFmtId="164" fontId="0" fillId="0" borderId="35" xfId="0" applyNumberFormat="1" applyBorder="1" applyAlignment="1" applyProtection="1">
      <alignment horizontal="left" indent="1"/>
      <protection locked="0"/>
    </xf>
    <xf numFmtId="164" fontId="0" fillId="0" borderId="34" xfId="1" applyNumberFormat="1" applyFont="1" applyBorder="1" applyAlignment="1" applyProtection="1">
      <alignment horizontal="left" indent="2"/>
      <protection locked="0"/>
    </xf>
    <xf numFmtId="164" fontId="0" fillId="0" borderId="35" xfId="0" applyNumberFormat="1" applyBorder="1" applyAlignment="1" applyProtection="1">
      <alignment horizontal="left" indent="2"/>
      <protection locked="0"/>
    </xf>
    <xf numFmtId="164" fontId="9" fillId="5" borderId="35" xfId="0" applyNumberFormat="1" applyFont="1" applyFill="1" applyBorder="1" applyAlignment="1" applyProtection="1">
      <alignment horizontal="left"/>
      <protection locked="0"/>
    </xf>
    <xf numFmtId="164" fontId="9" fillId="5" borderId="0" xfId="0" applyNumberFormat="1" applyFont="1" applyFill="1" applyProtection="1">
      <protection locked="0"/>
    </xf>
    <xf numFmtId="164" fontId="68" fillId="0" borderId="0" xfId="1" applyNumberFormat="1" applyFont="1" applyFill="1" applyAlignment="1" applyProtection="1">
      <alignment horizontal="center" vertical="center"/>
      <protection locked="0"/>
    </xf>
    <xf numFmtId="164" fontId="0" fillId="0" borderId="39" xfId="0" applyNumberFormat="1" applyBorder="1" applyProtection="1">
      <protection locked="0"/>
    </xf>
    <xf numFmtId="178" fontId="9" fillId="6" borderId="0" xfId="1" applyNumberFormat="1" applyFont="1" applyFill="1" applyBorder="1" applyProtection="1">
      <protection locked="0"/>
    </xf>
    <xf numFmtId="164" fontId="9" fillId="0" borderId="39" xfId="1" applyNumberFormat="1" applyFont="1" applyFill="1" applyBorder="1" applyProtection="1">
      <protection locked="0"/>
    </xf>
    <xf numFmtId="164" fontId="14" fillId="17" borderId="0" xfId="0" applyNumberFormat="1" applyFont="1" applyFill="1" applyProtection="1">
      <protection locked="0"/>
    </xf>
    <xf numFmtId="0" fontId="0" fillId="0" borderId="20" xfId="0" applyBorder="1" applyAlignment="1" applyProtection="1">
      <alignment vertical="center"/>
      <protection locked="0"/>
    </xf>
    <xf numFmtId="164" fontId="0" fillId="21" borderId="20" xfId="0" applyNumberFormat="1" applyFill="1" applyBorder="1" applyProtection="1">
      <protection locked="0"/>
    </xf>
    <xf numFmtId="164" fontId="0" fillId="0" borderId="20" xfId="0" applyNumberFormat="1" applyBorder="1" applyProtection="1">
      <protection locked="0"/>
    </xf>
    <xf numFmtId="164" fontId="0" fillId="0" borderId="20" xfId="1" applyNumberFormat="1" applyFont="1" applyBorder="1" applyProtection="1">
      <protection locked="0"/>
    </xf>
    <xf numFmtId="164" fontId="0" fillId="21" borderId="20" xfId="1" applyNumberFormat="1" applyFont="1" applyFill="1" applyBorder="1" applyProtection="1">
      <protection locked="0"/>
    </xf>
    <xf numFmtId="17" fontId="9" fillId="0" borderId="20" xfId="0" applyNumberFormat="1" applyFont="1" applyBorder="1" applyProtection="1">
      <protection locked="0"/>
    </xf>
    <xf numFmtId="1" fontId="33" fillId="0" borderId="20" xfId="1" applyNumberFormat="1" applyFont="1" applyBorder="1" applyProtection="1">
      <protection locked="0"/>
    </xf>
    <xf numFmtId="164" fontId="9" fillId="6" borderId="20" xfId="1" applyNumberFormat="1" applyFont="1" applyFill="1" applyBorder="1" applyProtection="1">
      <protection locked="0"/>
    </xf>
    <xf numFmtId="164" fontId="9" fillId="0" borderId="20" xfId="1" applyNumberFormat="1" applyFont="1" applyBorder="1" applyProtection="1">
      <protection locked="0"/>
    </xf>
    <xf numFmtId="164" fontId="0" fillId="17" borderId="20" xfId="0" applyNumberFormat="1" applyFill="1" applyBorder="1" applyProtection="1">
      <protection locked="0"/>
    </xf>
    <xf numFmtId="164" fontId="3" fillId="17" borderId="20" xfId="1" applyNumberFormat="1" applyFont="1" applyFill="1" applyBorder="1" applyProtection="1">
      <protection locked="0"/>
    </xf>
    <xf numFmtId="164" fontId="0" fillId="17" borderId="72" xfId="0" applyNumberFormat="1" applyFill="1" applyBorder="1" applyProtection="1">
      <protection locked="0"/>
    </xf>
    <xf numFmtId="164" fontId="0" fillId="17" borderId="73" xfId="1" applyNumberFormat="1" applyFont="1" applyFill="1" applyBorder="1" applyProtection="1">
      <protection locked="0"/>
    </xf>
    <xf numFmtId="164" fontId="0" fillId="17" borderId="20" xfId="1" applyNumberFormat="1" applyFont="1" applyFill="1" applyBorder="1" applyProtection="1">
      <protection locked="0"/>
    </xf>
    <xf numFmtId="164" fontId="0" fillId="17" borderId="72" xfId="1" applyNumberFormat="1" applyFont="1" applyFill="1" applyBorder="1" applyProtection="1">
      <protection locked="0"/>
    </xf>
    <xf numFmtId="164" fontId="2" fillId="0" borderId="20" xfId="1" applyNumberFormat="1" applyFont="1" applyFill="1" applyBorder="1" applyProtection="1">
      <protection locked="0"/>
    </xf>
    <xf numFmtId="164" fontId="9" fillId="0" borderId="20" xfId="1" applyNumberFormat="1" applyFont="1" applyFill="1" applyBorder="1" applyProtection="1">
      <protection locked="0"/>
    </xf>
    <xf numFmtId="164" fontId="46" fillId="0" borderId="20" xfId="0" applyNumberFormat="1" applyFont="1" applyBorder="1" applyProtection="1">
      <protection locked="0"/>
    </xf>
    <xf numFmtId="164" fontId="68" fillId="21" borderId="20" xfId="1" applyNumberFormat="1" applyFont="1" applyFill="1" applyBorder="1" applyAlignment="1" applyProtection="1">
      <alignment horizontal="center" vertical="center"/>
      <protection locked="0"/>
    </xf>
    <xf numFmtId="164" fontId="2" fillId="17" borderId="20" xfId="1" applyNumberFormat="1" applyFont="1" applyFill="1" applyBorder="1" applyProtection="1">
      <protection locked="0"/>
    </xf>
    <xf numFmtId="164" fontId="9" fillId="17" borderId="20" xfId="1" applyNumberFormat="1" applyFont="1" applyFill="1" applyBorder="1" applyProtection="1">
      <protection locked="0"/>
    </xf>
    <xf numFmtId="164" fontId="1" fillId="17" borderId="20" xfId="1" applyNumberFormat="1" applyFont="1" applyFill="1" applyBorder="1" applyProtection="1">
      <protection locked="0"/>
    </xf>
    <xf numFmtId="164" fontId="0" fillId="2" borderId="20" xfId="0" applyNumberFormat="1" applyFill="1" applyBorder="1" applyProtection="1">
      <protection locked="0"/>
    </xf>
    <xf numFmtId="164" fontId="9" fillId="5" borderId="20" xfId="0" applyNumberFormat="1" applyFont="1" applyFill="1" applyBorder="1" applyProtection="1">
      <protection locked="0"/>
    </xf>
    <xf numFmtId="164" fontId="0" fillId="0" borderId="20" xfId="1" applyNumberFormat="1" applyFont="1" applyFill="1" applyBorder="1" applyProtection="1">
      <protection locked="0"/>
    </xf>
    <xf numFmtId="164" fontId="9" fillId="17" borderId="2" xfId="1" applyNumberFormat="1" applyFont="1" applyFill="1" applyBorder="1" applyProtection="1">
      <protection locked="0"/>
    </xf>
    <xf numFmtId="164" fontId="9" fillId="0" borderId="36" xfId="0" applyNumberFormat="1" applyFont="1" applyBorder="1" applyAlignment="1" applyProtection="1">
      <alignment horizontal="left"/>
      <protection locked="0"/>
    </xf>
    <xf numFmtId="164" fontId="9" fillId="0" borderId="37" xfId="0" applyNumberFormat="1" applyFont="1" applyBorder="1" applyProtection="1">
      <protection locked="0"/>
    </xf>
    <xf numFmtId="164" fontId="0" fillId="0" borderId="38" xfId="0" applyNumberFormat="1" applyBorder="1" applyAlignment="1" applyProtection="1">
      <alignment horizontal="left"/>
      <protection locked="0"/>
    </xf>
    <xf numFmtId="1" fontId="3" fillId="0" borderId="39" xfId="2" applyNumberFormat="1" applyFont="1" applyFill="1" applyBorder="1" applyProtection="1">
      <protection locked="0"/>
    </xf>
    <xf numFmtId="164" fontId="0" fillId="0" borderId="40" xfId="0" applyNumberFormat="1" applyBorder="1" applyAlignment="1" applyProtection="1">
      <alignment horizontal="left"/>
      <protection locked="0"/>
    </xf>
    <xf numFmtId="1" fontId="3" fillId="0" borderId="41" xfId="2" applyNumberFormat="1" applyFont="1" applyFill="1" applyBorder="1" applyProtection="1">
      <protection locked="0"/>
    </xf>
    <xf numFmtId="164" fontId="9" fillId="0" borderId="37" xfId="1" applyNumberFormat="1" applyFont="1" applyFill="1" applyBorder="1" applyProtection="1">
      <protection locked="0"/>
    </xf>
    <xf numFmtId="164" fontId="3" fillId="0" borderId="39" xfId="1" applyNumberFormat="1" applyFont="1" applyFill="1" applyBorder="1" applyProtection="1">
      <protection locked="0"/>
    </xf>
    <xf numFmtId="164" fontId="0" fillId="0" borderId="38" xfId="3" applyNumberFormat="1" applyFont="1" applyFill="1" applyBorder="1" applyAlignment="1" applyProtection="1">
      <alignment horizontal="left"/>
      <protection locked="0"/>
    </xf>
    <xf numFmtId="164" fontId="3" fillId="0" borderId="40" xfId="3" applyNumberFormat="1" applyFont="1" applyFill="1" applyBorder="1" applyAlignment="1" applyProtection="1">
      <alignment horizontal="left"/>
      <protection locked="0"/>
    </xf>
    <xf numFmtId="164" fontId="3" fillId="0" borderId="41" xfId="1" applyNumberFormat="1" applyFont="1" applyFill="1" applyBorder="1" applyProtection="1">
      <protection locked="0"/>
    </xf>
    <xf numFmtId="164" fontId="9" fillId="0" borderId="36" xfId="3" applyNumberFormat="1" applyFont="1" applyFill="1" applyBorder="1" applyAlignment="1" applyProtection="1">
      <alignment horizontal="left"/>
      <protection locked="0"/>
    </xf>
    <xf numFmtId="170" fontId="0" fillId="0" borderId="40" xfId="3" applyNumberFormat="1" applyFont="1" applyFill="1" applyBorder="1" applyAlignment="1" applyProtection="1">
      <alignment horizontal="left"/>
      <protection locked="0"/>
    </xf>
    <xf numFmtId="164" fontId="3" fillId="0" borderId="41" xfId="3" applyNumberFormat="1" applyFont="1" applyFill="1" applyBorder="1" applyProtection="1">
      <protection locked="0"/>
    </xf>
    <xf numFmtId="164" fontId="9" fillId="0" borderId="74" xfId="3" applyNumberFormat="1" applyFont="1" applyFill="1" applyBorder="1" applyAlignment="1" applyProtection="1">
      <alignment horizontal="left"/>
      <protection locked="0"/>
    </xf>
    <xf numFmtId="164" fontId="9" fillId="0" borderId="75" xfId="1" applyNumberFormat="1" applyFont="1" applyFill="1" applyBorder="1" applyProtection="1">
      <protection locked="0"/>
    </xf>
    <xf numFmtId="164" fontId="9" fillId="0" borderId="40" xfId="0" applyNumberFormat="1" applyFont="1" applyBorder="1" applyAlignment="1" applyProtection="1">
      <alignment horizontal="left"/>
      <protection locked="0"/>
    </xf>
    <xf numFmtId="164" fontId="9" fillId="0" borderId="41" xfId="1" applyNumberFormat="1" applyFont="1" applyFill="1" applyBorder="1" applyProtection="1">
      <protection locked="0"/>
    </xf>
    <xf numFmtId="164" fontId="9" fillId="0" borderId="36" xfId="0" applyNumberFormat="1" applyFont="1" applyBorder="1" applyProtection="1">
      <protection locked="0"/>
    </xf>
    <xf numFmtId="164" fontId="9" fillId="0" borderId="42" xfId="0" applyNumberFormat="1" applyFont="1" applyBorder="1" applyAlignment="1" applyProtection="1">
      <alignment horizontal="left"/>
      <protection locked="0"/>
    </xf>
    <xf numFmtId="164" fontId="3" fillId="0" borderId="38" xfId="1" applyNumberFormat="1" applyFont="1" applyFill="1" applyBorder="1" applyProtection="1">
      <protection locked="0"/>
    </xf>
    <xf numFmtId="164" fontId="3" fillId="0" borderId="40" xfId="2" applyNumberFormat="1" applyFont="1" applyFill="1" applyBorder="1" applyProtection="1">
      <protection locked="0"/>
    </xf>
    <xf numFmtId="164" fontId="0" fillId="0" borderId="43" xfId="0" applyNumberFormat="1" applyBorder="1" applyAlignment="1" applyProtection="1">
      <alignment horizontal="left"/>
      <protection locked="0"/>
    </xf>
    <xf numFmtId="164" fontId="3" fillId="0" borderId="41" xfId="2" applyNumberFormat="1" applyFont="1" applyFill="1" applyBorder="1" applyProtection="1">
      <protection locked="0"/>
    </xf>
    <xf numFmtId="164" fontId="9" fillId="0" borderId="39" xfId="0" applyNumberFormat="1" applyFont="1" applyBorder="1" applyProtection="1">
      <protection locked="0"/>
    </xf>
    <xf numFmtId="164" fontId="9" fillId="0" borderId="41" xfId="0" applyNumberFormat="1" applyFont="1" applyBorder="1" applyProtection="1">
      <protection locked="0"/>
    </xf>
    <xf numFmtId="0" fontId="9" fillId="0" borderId="36" xfId="0" applyFont="1" applyBorder="1" applyAlignment="1" applyProtection="1">
      <alignment horizontal="left"/>
      <protection locked="0"/>
    </xf>
    <xf numFmtId="164" fontId="19" fillId="0" borderId="36" xfId="0" applyNumberFormat="1" applyFont="1" applyBorder="1" applyAlignment="1" applyProtection="1">
      <alignment horizontal="left"/>
      <protection locked="0"/>
    </xf>
    <xf numFmtId="164" fontId="0" fillId="0" borderId="37" xfId="0" applyNumberFormat="1" applyBorder="1" applyProtection="1">
      <protection locked="0"/>
    </xf>
    <xf numFmtId="164" fontId="9" fillId="0" borderId="38" xfId="0" applyNumberFormat="1" applyFont="1" applyBorder="1" applyAlignment="1" applyProtection="1">
      <alignment horizontal="left"/>
      <protection locked="0"/>
    </xf>
    <xf numFmtId="164" fontId="0" fillId="0" borderId="41" xfId="0" applyNumberFormat="1" applyBorder="1" applyProtection="1">
      <protection locked="0"/>
    </xf>
    <xf numFmtId="164" fontId="9" fillId="0" borderId="36" xfId="1" applyNumberFormat="1" applyFont="1" applyFill="1" applyBorder="1" applyProtection="1">
      <protection locked="0"/>
    </xf>
    <xf numFmtId="164" fontId="0" fillId="0" borderId="37" xfId="1" applyNumberFormat="1" applyFont="1" applyFill="1" applyBorder="1" applyProtection="1">
      <protection locked="0"/>
    </xf>
    <xf numFmtId="164" fontId="0" fillId="0" borderId="39" xfId="1" applyNumberFormat="1" applyFont="1" applyFill="1" applyBorder="1" applyProtection="1">
      <protection locked="0"/>
    </xf>
    <xf numFmtId="164" fontId="2" fillId="0" borderId="38" xfId="1" applyNumberFormat="1" applyFont="1" applyFill="1" applyBorder="1" applyProtection="1">
      <protection locked="0"/>
    </xf>
    <xf numFmtId="164" fontId="0" fillId="0" borderId="38" xfId="1" applyNumberFormat="1" applyFont="1" applyFill="1" applyBorder="1" applyProtection="1">
      <protection locked="0"/>
    </xf>
    <xf numFmtId="164" fontId="9" fillId="0" borderId="40" xfId="1" applyNumberFormat="1" applyFont="1" applyFill="1" applyBorder="1" applyProtection="1">
      <protection locked="0"/>
    </xf>
    <xf numFmtId="164" fontId="54" fillId="6" borderId="0" xfId="1" applyNumberFormat="1" applyFont="1" applyFill="1" applyBorder="1" applyProtection="1">
      <protection locked="0"/>
    </xf>
    <xf numFmtId="177" fontId="46" fillId="0" borderId="0" xfId="1" applyNumberFormat="1" applyFont="1" applyBorder="1" applyProtection="1">
      <protection locked="0"/>
    </xf>
    <xf numFmtId="17" fontId="9" fillId="0" borderId="0" xfId="1" applyNumberFormat="1" applyFont="1" applyFill="1" applyBorder="1" applyProtection="1">
      <protection locked="0"/>
    </xf>
    <xf numFmtId="1" fontId="33" fillId="0" borderId="0" xfId="1" applyNumberFormat="1" applyFont="1" applyFill="1" applyBorder="1" applyProtection="1">
      <protection locked="0"/>
    </xf>
    <xf numFmtId="17" fontId="19" fillId="0" borderId="20" xfId="0" applyNumberFormat="1" applyFont="1" applyBorder="1" applyProtection="1">
      <protection locked="0"/>
    </xf>
    <xf numFmtId="164" fontId="9" fillId="17" borderId="72" xfId="1" applyNumberFormat="1" applyFont="1" applyFill="1" applyBorder="1" applyProtection="1">
      <protection locked="0"/>
    </xf>
    <xf numFmtId="164" fontId="0" fillId="2" borderId="20" xfId="1" applyNumberFormat="1" applyFont="1" applyFill="1" applyBorder="1" applyProtection="1">
      <protection locked="0"/>
    </xf>
    <xf numFmtId="164" fontId="54" fillId="6" borderId="20" xfId="1" applyNumberFormat="1" applyFont="1" applyFill="1" applyBorder="1" applyProtection="1">
      <protection locked="0"/>
    </xf>
    <xf numFmtId="177" fontId="46" fillId="0" borderId="20" xfId="1" applyNumberFormat="1" applyFont="1" applyFill="1" applyBorder="1" applyProtection="1">
      <protection locked="0"/>
    </xf>
    <xf numFmtId="17" fontId="9" fillId="0" borderId="20" xfId="1" applyNumberFormat="1" applyFont="1" applyFill="1" applyBorder="1" applyProtection="1">
      <protection locked="0"/>
    </xf>
    <xf numFmtId="1" fontId="33" fillId="0" borderId="20" xfId="1" applyNumberFormat="1" applyFont="1" applyFill="1" applyBorder="1" applyProtection="1">
      <protection locked="0"/>
    </xf>
    <xf numFmtId="164" fontId="0" fillId="0" borderId="62" xfId="0" applyNumberFormat="1" applyBorder="1" applyProtection="1">
      <protection locked="0"/>
    </xf>
    <xf numFmtId="17" fontId="19" fillId="0" borderId="62" xfId="0" applyNumberFormat="1" applyFont="1" applyBorder="1" applyProtection="1">
      <protection locked="0"/>
    </xf>
    <xf numFmtId="164" fontId="0" fillId="0" borderId="62" xfId="1" applyNumberFormat="1" applyFont="1" applyFill="1" applyBorder="1" applyProtection="1">
      <protection locked="0"/>
    </xf>
    <xf numFmtId="164" fontId="0" fillId="17" borderId="62" xfId="0" applyNumberFormat="1" applyFill="1" applyBorder="1" applyProtection="1">
      <protection locked="0"/>
    </xf>
    <xf numFmtId="164" fontId="9" fillId="17" borderId="76" xfId="1" applyNumberFormat="1" applyFont="1" applyFill="1" applyBorder="1" applyProtection="1">
      <protection locked="0"/>
    </xf>
    <xf numFmtId="164" fontId="0" fillId="2" borderId="62" xfId="1" applyNumberFormat="1" applyFont="1" applyFill="1" applyBorder="1" applyProtection="1">
      <protection locked="0"/>
    </xf>
    <xf numFmtId="164" fontId="0" fillId="17" borderId="62" xfId="1" applyNumberFormat="1" applyFont="1" applyFill="1" applyBorder="1" applyProtection="1">
      <protection locked="0"/>
    </xf>
    <xf numFmtId="164" fontId="9" fillId="17" borderId="62" xfId="1" applyNumberFormat="1" applyFont="1" applyFill="1" applyBorder="1" applyProtection="1">
      <protection locked="0"/>
    </xf>
    <xf numFmtId="164" fontId="54" fillId="6" borderId="62" xfId="1" applyNumberFormat="1" applyFont="1" applyFill="1" applyBorder="1" applyProtection="1">
      <protection locked="0"/>
    </xf>
    <xf numFmtId="177" fontId="46" fillId="0" borderId="62" xfId="1" applyNumberFormat="1" applyFont="1" applyFill="1" applyBorder="1" applyProtection="1">
      <protection locked="0"/>
    </xf>
    <xf numFmtId="17" fontId="9" fillId="0" borderId="62" xfId="1" applyNumberFormat="1" applyFont="1" applyFill="1" applyBorder="1" applyProtection="1">
      <protection locked="0"/>
    </xf>
    <xf numFmtId="1" fontId="33" fillId="0" borderId="62" xfId="1" applyNumberFormat="1" applyFont="1" applyFill="1" applyBorder="1" applyProtection="1">
      <protection locked="0"/>
    </xf>
    <xf numFmtId="164" fontId="3" fillId="17" borderId="62" xfId="1" applyNumberFormat="1" applyFont="1" applyFill="1" applyBorder="1" applyProtection="1">
      <protection locked="0"/>
    </xf>
    <xf numFmtId="164" fontId="0" fillId="21" borderId="62" xfId="1" applyNumberFormat="1" applyFont="1" applyFill="1" applyBorder="1" applyProtection="1">
      <protection locked="0"/>
    </xf>
    <xf numFmtId="164" fontId="54" fillId="0" borderId="0" xfId="2" applyNumberFormat="1" applyFont="1" applyFill="1" applyProtection="1">
      <protection locked="0"/>
    </xf>
    <xf numFmtId="168" fontId="54" fillId="0" borderId="0" xfId="2" applyNumberFormat="1" applyFont="1" applyFill="1" applyProtection="1">
      <protection locked="0"/>
    </xf>
    <xf numFmtId="177" fontId="0" fillId="0" borderId="0" xfId="1" applyNumberFormat="1" applyFont="1" applyFill="1" applyProtection="1">
      <protection locked="0"/>
    </xf>
    <xf numFmtId="44" fontId="28" fillId="2" borderId="0" xfId="0" applyNumberFormat="1" applyFont="1" applyFill="1" applyProtection="1">
      <protection locked="0"/>
    </xf>
    <xf numFmtId="164" fontId="0" fillId="21" borderId="0" xfId="0" applyNumberFormat="1" applyFill="1" applyAlignment="1" applyProtection="1">
      <alignment horizontal="left" vertical="top"/>
      <protection locked="0"/>
    </xf>
    <xf numFmtId="164" fontId="35" fillId="21" borderId="0" xfId="0" applyNumberFormat="1" applyFont="1" applyFill="1" applyAlignment="1" applyProtection="1">
      <alignment horizontal="left" vertical="top"/>
      <protection locked="0"/>
    </xf>
    <xf numFmtId="164" fontId="0" fillId="21" borderId="0" xfId="0" applyNumberFormat="1" applyFill="1" applyAlignment="1" applyProtection="1">
      <alignment horizontal="left" vertical="top" wrapText="1"/>
      <protection locked="0"/>
    </xf>
    <xf numFmtId="164" fontId="15" fillId="21" borderId="0" xfId="0" applyNumberFormat="1" applyFont="1" applyFill="1" applyAlignment="1" applyProtection="1">
      <alignment horizontal="left" vertical="top"/>
      <protection locked="0"/>
    </xf>
    <xf numFmtId="164" fontId="9" fillId="3" borderId="0" xfId="0" applyNumberFormat="1" applyFont="1" applyFill="1" applyAlignment="1" applyProtection="1">
      <alignment horizontal="center" vertical="center"/>
      <protection locked="0"/>
    </xf>
    <xf numFmtId="8" fontId="51" fillId="0" borderId="0" xfId="86" applyNumberFormat="1" applyFill="1" applyBorder="1" applyAlignment="1" applyProtection="1">
      <alignment vertical="center"/>
      <protection locked="0"/>
    </xf>
    <xf numFmtId="8" fontId="9" fillId="0" borderId="77" xfId="1" applyNumberFormat="1" applyFont="1" applyBorder="1" applyProtection="1">
      <protection locked="0"/>
    </xf>
    <xf numFmtId="8" fontId="9" fillId="21" borderId="78" xfId="1" applyNumberFormat="1" applyFont="1" applyFill="1" applyBorder="1" applyProtection="1">
      <protection locked="0"/>
    </xf>
    <xf numFmtId="8" fontId="9" fillId="0" borderId="78" xfId="1" applyNumberFormat="1" applyFont="1" applyBorder="1" applyProtection="1">
      <protection locked="0"/>
    </xf>
    <xf numFmtId="0" fontId="14" fillId="17" borderId="78" xfId="1" applyNumberFormat="1" applyFont="1" applyFill="1" applyBorder="1" applyProtection="1">
      <protection locked="0"/>
    </xf>
    <xf numFmtId="173" fontId="0" fillId="17" borderId="78" xfId="1" applyNumberFormat="1" applyFont="1" applyFill="1" applyBorder="1" applyProtection="1">
      <protection locked="0"/>
    </xf>
    <xf numFmtId="173" fontId="0" fillId="0" borderId="78" xfId="1" applyNumberFormat="1" applyFont="1" applyFill="1" applyBorder="1" applyProtection="1">
      <protection locked="0"/>
    </xf>
    <xf numFmtId="173" fontId="9" fillId="5" borderId="78" xfId="0" applyNumberFormat="1" applyFont="1" applyFill="1" applyBorder="1" applyProtection="1">
      <protection locked="0"/>
    </xf>
    <xf numFmtId="6" fontId="9" fillId="5" borderId="78" xfId="0" applyNumberFormat="1" applyFont="1" applyFill="1" applyBorder="1" applyProtection="1">
      <protection locked="0"/>
    </xf>
    <xf numFmtId="6" fontId="9" fillId="0" borderId="78" xfId="0" applyNumberFormat="1" applyFont="1" applyBorder="1" applyProtection="1">
      <protection locked="0"/>
    </xf>
    <xf numFmtId="0" fontId="14" fillId="17" borderId="78" xfId="1" applyNumberFormat="1" applyFont="1" applyFill="1" applyBorder="1" applyAlignment="1" applyProtection="1">
      <alignment horizontal="center" vertical="center"/>
      <protection locked="0"/>
    </xf>
    <xf numFmtId="173" fontId="0" fillId="17" borderId="78" xfId="1" applyNumberFormat="1" applyFont="1" applyFill="1" applyBorder="1" applyAlignment="1" applyProtection="1">
      <alignment horizontal="center" vertical="center"/>
      <protection locked="0"/>
    </xf>
    <xf numFmtId="173" fontId="0" fillId="0" borderId="78" xfId="1" applyNumberFormat="1" applyFont="1" applyFill="1" applyBorder="1" applyAlignment="1" applyProtection="1">
      <alignment horizontal="center" vertical="center"/>
      <protection locked="0"/>
    </xf>
    <xf numFmtId="6" fontId="54" fillId="21" borderId="78" xfId="0" applyNumberFormat="1" applyFont="1" applyFill="1" applyBorder="1" applyProtection="1">
      <protection locked="0"/>
    </xf>
    <xf numFmtId="9" fontId="10" fillId="21" borderId="79" xfId="3" applyFont="1" applyFill="1" applyBorder="1" applyProtection="1">
      <protection locked="0"/>
    </xf>
    <xf numFmtId="0" fontId="9" fillId="17" borderId="42" xfId="1" applyNumberFormat="1" applyFont="1" applyFill="1" applyBorder="1" applyAlignment="1" applyProtection="1">
      <alignment horizontal="center" vertical="center"/>
      <protection locked="0"/>
    </xf>
    <xf numFmtId="0" fontId="0" fillId="17" borderId="42" xfId="3" applyNumberFormat="1" applyFont="1" applyFill="1" applyBorder="1" applyAlignment="1" applyProtection="1">
      <alignment horizontal="center" vertical="center"/>
      <protection locked="0"/>
    </xf>
    <xf numFmtId="0" fontId="0" fillId="17" borderId="37" xfId="1" applyNumberFormat="1" applyFont="1" applyFill="1" applyBorder="1" applyAlignment="1" applyProtection="1">
      <alignment horizontal="center" vertical="center"/>
      <protection locked="0"/>
    </xf>
    <xf numFmtId="8" fontId="0" fillId="17" borderId="0" xfId="1" applyNumberFormat="1" applyFont="1" applyFill="1" applyBorder="1" applyAlignment="1" applyProtection="1">
      <alignment horizontal="center" vertical="center"/>
      <protection locked="0"/>
    </xf>
    <xf numFmtId="0" fontId="0" fillId="17" borderId="0" xfId="3" applyNumberFormat="1" applyFont="1" applyFill="1" applyBorder="1" applyAlignment="1" applyProtection="1">
      <alignment horizontal="center" vertical="center"/>
      <protection locked="0"/>
    </xf>
    <xf numFmtId="8" fontId="0" fillId="17" borderId="39" xfId="1" applyNumberFormat="1" applyFont="1" applyFill="1" applyBorder="1" applyAlignment="1" applyProtection="1">
      <alignment horizontal="center" vertical="center"/>
      <protection locked="0"/>
    </xf>
    <xf numFmtId="8" fontId="10" fillId="17" borderId="0" xfId="1" applyNumberFormat="1" applyFont="1" applyFill="1" applyBorder="1" applyAlignment="1" applyProtection="1">
      <alignment horizontal="center" vertical="center"/>
      <protection locked="0"/>
    </xf>
    <xf numFmtId="9" fontId="0" fillId="17" borderId="0" xfId="3" applyFont="1" applyFill="1" applyBorder="1" applyAlignment="1" applyProtection="1">
      <alignment horizontal="center" vertical="center"/>
      <protection locked="0"/>
    </xf>
    <xf numFmtId="0" fontId="9" fillId="17" borderId="0" xfId="1" applyNumberFormat="1" applyFont="1" applyFill="1" applyBorder="1" applyAlignment="1" applyProtection="1">
      <alignment horizontal="center" vertical="center"/>
      <protection locked="0"/>
    </xf>
    <xf numFmtId="0" fontId="0" fillId="17" borderId="39" xfId="1" applyNumberFormat="1" applyFont="1" applyFill="1" applyBorder="1" applyAlignment="1" applyProtection="1">
      <alignment horizontal="center" vertical="center"/>
      <protection locked="0"/>
    </xf>
    <xf numFmtId="8" fontId="10" fillId="17" borderId="43" xfId="1" applyNumberFormat="1" applyFont="1" applyFill="1" applyBorder="1" applyAlignment="1" applyProtection="1">
      <alignment horizontal="center" vertical="center"/>
      <protection locked="0"/>
    </xf>
    <xf numFmtId="9" fontId="0" fillId="17" borderId="43" xfId="3" applyFont="1" applyFill="1" applyBorder="1" applyAlignment="1" applyProtection="1">
      <alignment horizontal="center" vertical="center"/>
      <protection locked="0"/>
    </xf>
    <xf numFmtId="8" fontId="0" fillId="17" borderId="41" xfId="1" applyNumberFormat="1" applyFont="1" applyFill="1" applyBorder="1" applyAlignment="1" applyProtection="1">
      <alignment horizontal="center" vertical="center"/>
      <protection locked="0"/>
    </xf>
    <xf numFmtId="17" fontId="0" fillId="0" borderId="0" xfId="0" applyNumberFormat="1" applyAlignment="1" applyProtection="1">
      <alignment horizontal="center" vertical="center" wrapText="1"/>
      <protection locked="0"/>
    </xf>
    <xf numFmtId="164" fontId="0" fillId="0" borderId="0" xfId="3" applyNumberFormat="1" applyFont="1" applyAlignment="1" applyProtection="1">
      <alignment horizontal="center" vertical="center"/>
      <protection locked="0"/>
    </xf>
    <xf numFmtId="49" fontId="0" fillId="0" borderId="0" xfId="0" applyNumberFormat="1" applyAlignment="1" applyProtection="1">
      <alignment horizontal="center" vertical="center"/>
      <protection locked="0"/>
    </xf>
    <xf numFmtId="49" fontId="28" fillId="0" borderId="0" xfId="1" applyNumberFormat="1" applyFont="1" applyAlignment="1" applyProtection="1">
      <alignment horizontal="center" vertical="center"/>
      <protection locked="0"/>
    </xf>
    <xf numFmtId="49" fontId="0" fillId="0" borderId="0" xfId="3" applyNumberFormat="1" applyFont="1" applyAlignment="1" applyProtection="1">
      <alignment horizontal="center" vertical="center"/>
      <protection locked="0"/>
    </xf>
    <xf numFmtId="164" fontId="28" fillId="0" borderId="0" xfId="1" applyNumberFormat="1" applyFont="1" applyAlignment="1" applyProtection="1">
      <alignment horizontal="center" vertical="center"/>
      <protection locked="0"/>
    </xf>
    <xf numFmtId="12" fontId="0" fillId="0" borderId="0" xfId="0" applyNumberFormat="1" applyAlignment="1" applyProtection="1">
      <alignment horizontal="center" vertical="center"/>
      <protection locked="0"/>
    </xf>
    <xf numFmtId="9" fontId="0" fillId="0" borderId="0" xfId="0" applyNumberFormat="1" applyAlignment="1" applyProtection="1">
      <alignment horizontal="center" vertical="center"/>
      <protection locked="0"/>
    </xf>
    <xf numFmtId="171" fontId="0" fillId="0" borderId="0" xfId="0" applyNumberFormat="1" applyAlignment="1" applyProtection="1">
      <alignment horizontal="center" vertical="center"/>
      <protection locked="0"/>
    </xf>
    <xf numFmtId="0" fontId="0" fillId="23" borderId="0" xfId="0" applyFill="1"/>
    <xf numFmtId="0" fontId="0" fillId="23" borderId="21" xfId="0" applyFill="1" applyBorder="1"/>
    <xf numFmtId="15" fontId="0" fillId="0" borderId="0" xfId="0" applyNumberFormat="1" applyProtection="1">
      <protection locked="0"/>
    </xf>
    <xf numFmtId="179" fontId="0" fillId="0" borderId="0" xfId="0" applyNumberFormat="1" applyProtection="1">
      <protection locked="0"/>
    </xf>
    <xf numFmtId="15" fontId="0" fillId="0" borderId="0" xfId="0" applyNumberFormat="1" applyAlignment="1" applyProtection="1">
      <alignment horizontal="center" vertical="center" wrapText="1"/>
      <protection locked="0"/>
    </xf>
    <xf numFmtId="15" fontId="0" fillId="0" borderId="0" xfId="0" applyNumberFormat="1" applyAlignment="1" applyProtection="1">
      <alignment horizontal="center" vertical="center"/>
      <protection locked="0"/>
    </xf>
    <xf numFmtId="179" fontId="0" fillId="0" borderId="0" xfId="0" applyNumberFormat="1" applyAlignment="1" applyProtection="1">
      <alignment horizontal="center" vertical="center"/>
      <protection locked="0"/>
    </xf>
    <xf numFmtId="174" fontId="0" fillId="0" borderId="0" xfId="2" applyNumberFormat="1" applyFont="1" applyAlignment="1" applyProtection="1">
      <alignment horizontal="center" vertical="center" wrapText="1"/>
      <protection locked="0"/>
    </xf>
    <xf numFmtId="178" fontId="0" fillId="0" borderId="0" xfId="0" applyNumberFormat="1" applyAlignment="1" applyProtection="1">
      <alignment horizontal="center" vertical="center" wrapText="1"/>
      <protection locked="0"/>
    </xf>
    <xf numFmtId="174" fontId="0" fillId="0" borderId="0" xfId="2" applyNumberFormat="1" applyFont="1" applyAlignment="1" applyProtection="1">
      <alignment horizontal="center" vertical="center"/>
      <protection locked="0"/>
    </xf>
    <xf numFmtId="177" fontId="0" fillId="0" borderId="0" xfId="2" applyNumberFormat="1" applyFont="1" applyAlignment="1" applyProtection="1">
      <alignment horizontal="center" vertical="center"/>
      <protection locked="0"/>
    </xf>
    <xf numFmtId="180" fontId="0" fillId="0" borderId="0" xfId="0" applyNumberFormat="1" applyAlignment="1" applyProtection="1">
      <alignment horizontal="center" vertical="center"/>
      <protection locked="0"/>
    </xf>
    <xf numFmtId="177" fontId="0" fillId="0" borderId="0" xfId="0" applyNumberFormat="1" applyAlignment="1" applyProtection="1">
      <alignment horizontal="center" vertical="center"/>
      <protection locked="0"/>
    </xf>
    <xf numFmtId="164" fontId="0" fillId="19" borderId="0" xfId="0" applyNumberFormat="1" applyFill="1" applyProtection="1">
      <protection locked="0"/>
    </xf>
    <xf numFmtId="164" fontId="15" fillId="19" borderId="0" xfId="0" applyNumberFormat="1" applyFont="1" applyFill="1" applyAlignment="1" applyProtection="1">
      <alignment horizontal="left"/>
      <protection locked="0"/>
    </xf>
    <xf numFmtId="164" fontId="0" fillId="19" borderId="4" xfId="0" applyNumberFormat="1" applyFill="1" applyBorder="1" applyProtection="1">
      <protection locked="0"/>
    </xf>
    <xf numFmtId="164" fontId="35" fillId="19" borderId="0" xfId="0" applyNumberFormat="1" applyFont="1" applyFill="1" applyAlignment="1" applyProtection="1">
      <alignment horizontal="left"/>
      <protection locked="0"/>
    </xf>
    <xf numFmtId="164" fontId="0" fillId="19" borderId="0" xfId="0" applyNumberFormat="1" applyFill="1" applyAlignment="1" applyProtection="1">
      <alignment horizontal="right"/>
      <protection locked="0"/>
    </xf>
    <xf numFmtId="49" fontId="0" fillId="19" borderId="0" xfId="0" applyNumberFormat="1" applyFill="1" applyProtection="1">
      <protection locked="0"/>
    </xf>
    <xf numFmtId="164" fontId="0" fillId="19" borderId="5" xfId="0" applyNumberFormat="1" applyFill="1" applyBorder="1" applyProtection="1">
      <protection locked="0"/>
    </xf>
    <xf numFmtId="1" fontId="0" fillId="5" borderId="0" xfId="0" applyNumberFormat="1" applyFill="1" applyProtection="1">
      <protection locked="0"/>
    </xf>
    <xf numFmtId="1" fontId="17" fillId="5" borderId="0" xfId="0" applyNumberFormat="1" applyFont="1" applyFill="1" applyAlignment="1" applyProtection="1">
      <alignment horizontal="left"/>
      <protection locked="0"/>
    </xf>
    <xf numFmtId="1" fontId="19" fillId="5" borderId="0" xfId="0" applyNumberFormat="1" applyFont="1" applyFill="1" applyAlignment="1" applyProtection="1">
      <alignment horizontal="right"/>
      <protection locked="0"/>
    </xf>
    <xf numFmtId="1" fontId="23" fillId="5" borderId="0" xfId="0" applyNumberFormat="1" applyFont="1" applyFill="1" applyProtection="1">
      <protection locked="0"/>
    </xf>
    <xf numFmtId="17" fontId="23" fillId="5" borderId="0" xfId="0" applyNumberFormat="1" applyFont="1" applyFill="1" applyProtection="1">
      <protection locked="0"/>
    </xf>
    <xf numFmtId="164" fontId="0" fillId="21" borderId="4" xfId="0" applyNumberFormat="1" applyFill="1" applyBorder="1" applyProtection="1">
      <protection locked="0"/>
    </xf>
    <xf numFmtId="164" fontId="19" fillId="17" borderId="0" xfId="0" applyNumberFormat="1" applyFont="1" applyFill="1" applyAlignment="1" applyProtection="1">
      <alignment horizontal="left"/>
      <protection locked="0"/>
    </xf>
    <xf numFmtId="164" fontId="19" fillId="17" borderId="0" xfId="0" applyNumberFormat="1" applyFont="1" applyFill="1" applyProtection="1">
      <protection locked="0"/>
    </xf>
    <xf numFmtId="164" fontId="14" fillId="17" borderId="0" xfId="0" applyNumberFormat="1" applyFont="1" applyFill="1" applyAlignment="1" applyProtection="1">
      <alignment horizontal="left"/>
      <protection locked="0"/>
    </xf>
    <xf numFmtId="164" fontId="42" fillId="17" borderId="0" xfId="0" applyNumberFormat="1" applyFont="1" applyFill="1" applyProtection="1">
      <protection locked="0"/>
    </xf>
    <xf numFmtId="164" fontId="9" fillId="17" borderId="0" xfId="0" applyNumberFormat="1" applyFont="1" applyFill="1" applyProtection="1">
      <protection locked="0"/>
    </xf>
    <xf numFmtId="164" fontId="9" fillId="17" borderId="2" xfId="0" applyNumberFormat="1" applyFont="1" applyFill="1" applyBorder="1" applyProtection="1">
      <protection locked="0"/>
    </xf>
    <xf numFmtId="0" fontId="0" fillId="17" borderId="0" xfId="0" applyFill="1" applyProtection="1">
      <protection locked="0"/>
    </xf>
    <xf numFmtId="0" fontId="9" fillId="17" borderId="0" xfId="0" applyFont="1" applyFill="1" applyProtection="1">
      <protection locked="0"/>
    </xf>
    <xf numFmtId="9" fontId="28" fillId="17" borderId="0" xfId="3" applyFont="1" applyFill="1" applyBorder="1" applyProtection="1">
      <protection locked="0"/>
    </xf>
    <xf numFmtId="9" fontId="0" fillId="17" borderId="0" xfId="3" applyFont="1" applyFill="1" applyBorder="1" applyProtection="1">
      <protection locked="0"/>
    </xf>
    <xf numFmtId="171" fontId="0" fillId="17" borderId="0" xfId="0" applyNumberFormat="1" applyFill="1" applyProtection="1">
      <protection locked="0"/>
    </xf>
    <xf numFmtId="1" fontId="28" fillId="17" borderId="0" xfId="0" applyNumberFormat="1" applyFont="1" applyFill="1" applyProtection="1">
      <protection locked="0"/>
    </xf>
    <xf numFmtId="171" fontId="28" fillId="17" borderId="0" xfId="0" applyNumberFormat="1" applyFont="1" applyFill="1" applyProtection="1">
      <protection locked="0"/>
    </xf>
    <xf numFmtId="1" fontId="0" fillId="17" borderId="0" xfId="2" applyNumberFormat="1" applyFont="1" applyFill="1" applyAlignment="1" applyProtection="1">
      <alignment horizontal="center" vertical="center"/>
      <protection locked="0"/>
    </xf>
    <xf numFmtId="1" fontId="0" fillId="17" borderId="0" xfId="0" applyNumberFormat="1" applyFill="1" applyAlignment="1" applyProtection="1">
      <alignment horizontal="center" vertical="center"/>
      <protection locked="0"/>
    </xf>
    <xf numFmtId="1" fontId="28" fillId="17" borderId="0" xfId="0" applyNumberFormat="1" applyFont="1" applyFill="1" applyAlignment="1" applyProtection="1">
      <alignment horizontal="center" vertical="center"/>
      <protection locked="0"/>
    </xf>
    <xf numFmtId="177" fontId="28" fillId="17" borderId="0" xfId="0" applyNumberFormat="1" applyFont="1" applyFill="1" applyProtection="1">
      <protection locked="0"/>
    </xf>
    <xf numFmtId="2" fontId="28" fillId="17" borderId="0" xfId="0" applyNumberFormat="1" applyFont="1" applyFill="1" applyProtection="1">
      <protection locked="0"/>
    </xf>
    <xf numFmtId="165" fontId="0" fillId="17" borderId="0" xfId="0" applyNumberFormat="1" applyFill="1" applyProtection="1">
      <protection locked="0"/>
    </xf>
    <xf numFmtId="0" fontId="74" fillId="3" borderId="0" xfId="0" applyFont="1" applyFill="1"/>
    <xf numFmtId="0" fontId="9" fillId="3" borderId="0" xfId="0" applyFont="1" applyFill="1" applyAlignment="1">
      <alignment horizontal="center"/>
    </xf>
    <xf numFmtId="0" fontId="0" fillId="3" borderId="0" xfId="0" applyFill="1" applyAlignment="1">
      <alignment horizontal="center" wrapText="1"/>
    </xf>
    <xf numFmtId="0" fontId="32" fillId="21" borderId="0" xfId="0" applyFont="1" applyFill="1" applyAlignment="1" applyProtection="1">
      <alignment horizontal="center" vertical="center"/>
      <protection locked="0"/>
    </xf>
    <xf numFmtId="0" fontId="0" fillId="18" borderId="0" xfId="0" applyFill="1" applyAlignment="1" applyProtection="1">
      <alignment horizontal="center"/>
      <protection locked="0"/>
    </xf>
    <xf numFmtId="8" fontId="51" fillId="9" borderId="63" xfId="86" applyNumberFormat="1" applyBorder="1" applyAlignment="1" applyProtection="1">
      <alignment horizontal="center" vertical="center"/>
      <protection locked="0"/>
    </xf>
    <xf numFmtId="8" fontId="51" fillId="9" borderId="65" xfId="86" applyNumberFormat="1" applyBorder="1" applyAlignment="1" applyProtection="1">
      <alignment horizontal="center" vertical="center"/>
      <protection locked="0"/>
    </xf>
    <xf numFmtId="8" fontId="51" fillId="9" borderId="64" xfId="86" applyNumberFormat="1" applyBorder="1" applyAlignment="1" applyProtection="1">
      <alignment horizontal="center" vertical="center"/>
      <protection locked="0"/>
    </xf>
    <xf numFmtId="8" fontId="51" fillId="9" borderId="66" xfId="86" applyNumberFormat="1" applyBorder="1" applyAlignment="1" applyProtection="1">
      <alignment horizontal="center" vertical="center"/>
      <protection locked="0"/>
    </xf>
    <xf numFmtId="8" fontId="51" fillId="9" borderId="77" xfId="86" applyNumberFormat="1" applyBorder="1" applyAlignment="1" applyProtection="1">
      <alignment horizontal="center" vertical="center"/>
      <protection locked="0"/>
    </xf>
    <xf numFmtId="8" fontId="51" fillId="9" borderId="78" xfId="86" applyNumberFormat="1" applyBorder="1" applyAlignment="1" applyProtection="1">
      <alignment horizontal="center" vertical="center"/>
      <protection locked="0"/>
    </xf>
    <xf numFmtId="8" fontId="51" fillId="12" borderId="64" xfId="86" applyNumberFormat="1" applyFill="1" applyBorder="1" applyAlignment="1" applyProtection="1">
      <alignment horizontal="center" vertical="center"/>
      <protection locked="0"/>
    </xf>
    <xf numFmtId="8" fontId="51" fillId="12" borderId="66" xfId="86" applyNumberFormat="1" applyFill="1" applyBorder="1" applyAlignment="1" applyProtection="1">
      <alignment horizontal="center" vertical="center"/>
      <protection locked="0"/>
    </xf>
    <xf numFmtId="0" fontId="32" fillId="5" borderId="0" xfId="0" applyFont="1" applyFill="1" applyAlignment="1" applyProtection="1">
      <alignment horizontal="center" vertical="center"/>
      <protection locked="0"/>
    </xf>
    <xf numFmtId="0" fontId="47" fillId="5" borderId="0" xfId="0" applyFont="1" applyFill="1" applyAlignment="1" applyProtection="1">
      <alignment horizontal="center" vertical="center" wrapText="1"/>
      <protection locked="0"/>
    </xf>
    <xf numFmtId="0" fontId="32" fillId="21" borderId="0" xfId="0" applyFont="1" applyFill="1" applyAlignment="1" applyProtection="1">
      <alignment horizontal="center" vertical="center" wrapText="1"/>
      <protection locked="0"/>
    </xf>
    <xf numFmtId="0" fontId="0" fillId="18" borderId="5" xfId="0" applyFill="1" applyBorder="1" applyAlignment="1" applyProtection="1">
      <alignment horizontal="center"/>
      <protection locked="0"/>
    </xf>
    <xf numFmtId="8" fontId="51" fillId="9" borderId="79" xfId="86" applyNumberFormat="1" applyBorder="1" applyAlignment="1" applyProtection="1">
      <alignment horizontal="center" vertical="center"/>
      <protection locked="0"/>
    </xf>
    <xf numFmtId="0" fontId="35" fillId="21" borderId="0" xfId="87" applyFont="1" applyFill="1" applyAlignment="1">
      <alignment horizontal="center" vertical="center"/>
      <protection locked="0"/>
    </xf>
    <xf numFmtId="8" fontId="57" fillId="0" borderId="36" xfId="1" applyNumberFormat="1" applyFont="1" applyBorder="1" applyAlignment="1" applyProtection="1">
      <alignment horizontal="center" vertical="center"/>
      <protection locked="0"/>
    </xf>
    <xf numFmtId="8" fontId="57" fillId="0" borderId="38" xfId="1" applyNumberFormat="1" applyFont="1" applyBorder="1" applyAlignment="1" applyProtection="1">
      <alignment horizontal="center" vertical="center"/>
      <protection locked="0"/>
    </xf>
    <xf numFmtId="8" fontId="57" fillId="0" borderId="40" xfId="1" applyNumberFormat="1" applyFont="1" applyBorder="1" applyAlignment="1" applyProtection="1">
      <alignment horizontal="center" vertical="center"/>
      <protection locked="0"/>
    </xf>
    <xf numFmtId="8" fontId="57" fillId="0" borderId="33" xfId="1" applyNumberFormat="1" applyFont="1" applyBorder="1" applyAlignment="1" applyProtection="1">
      <alignment horizontal="center" vertical="center"/>
      <protection locked="0"/>
    </xf>
    <xf numFmtId="8" fontId="57" fillId="0" borderId="34" xfId="1" applyNumberFormat="1" applyFont="1" applyBorder="1" applyAlignment="1" applyProtection="1">
      <alignment horizontal="center" vertical="center"/>
      <protection locked="0"/>
    </xf>
    <xf numFmtId="8" fontId="57" fillId="0" borderId="35" xfId="1" applyNumberFormat="1" applyFont="1" applyBorder="1" applyAlignment="1" applyProtection="1">
      <alignment horizontal="center" vertical="center"/>
      <protection locked="0"/>
    </xf>
    <xf numFmtId="8" fontId="51" fillId="9" borderId="63" xfId="86" applyNumberFormat="1" applyBorder="1" applyAlignment="1" applyProtection="1">
      <alignment horizontal="center" vertical="center" wrapText="1"/>
      <protection locked="0"/>
    </xf>
    <xf numFmtId="8" fontId="51" fillId="9" borderId="65" xfId="86" applyNumberFormat="1" applyBorder="1" applyAlignment="1" applyProtection="1">
      <alignment horizontal="center" vertical="center" wrapText="1"/>
      <protection locked="0"/>
    </xf>
    <xf numFmtId="8" fontId="51" fillId="9" borderId="64" xfId="86" applyNumberFormat="1" applyBorder="1" applyAlignment="1" applyProtection="1">
      <alignment horizontal="center" vertical="center" wrapText="1"/>
      <protection locked="0"/>
    </xf>
    <xf numFmtId="8" fontId="51" fillId="9" borderId="66" xfId="86" applyNumberFormat="1" applyBorder="1" applyAlignment="1" applyProtection="1">
      <alignment horizontal="center" vertical="center" wrapText="1"/>
      <protection locked="0"/>
    </xf>
    <xf numFmtId="0" fontId="9" fillId="0" borderId="0" xfId="0" applyFont="1" applyAlignment="1" applyProtection="1">
      <alignment horizontal="center" vertical="center"/>
      <protection locked="0"/>
    </xf>
    <xf numFmtId="0" fontId="8" fillId="0" borderId="0" xfId="0" applyFont="1" applyAlignment="1">
      <alignment horizontal="center"/>
    </xf>
    <xf numFmtId="0" fontId="8" fillId="0" borderId="0" xfId="0" applyFont="1" applyAlignment="1">
      <alignment horizontal="center" vertical="center"/>
    </xf>
    <xf numFmtId="0" fontId="21" fillId="0" borderId="0" xfId="0" applyFont="1" applyAlignment="1">
      <alignment horizontal="center"/>
    </xf>
    <xf numFmtId="0" fontId="0" fillId="18" borderId="62" xfId="0" applyFill="1" applyBorder="1" applyAlignment="1">
      <alignment horizontal="center" wrapText="1"/>
    </xf>
    <xf numFmtId="0" fontId="0" fillId="18" borderId="0" xfId="0" applyFill="1" applyAlignment="1">
      <alignment horizontal="center" wrapText="1"/>
    </xf>
    <xf numFmtId="0" fontId="0" fillId="18" borderId="20" xfId="0" applyFill="1" applyBorder="1" applyAlignment="1">
      <alignment horizontal="center" wrapText="1"/>
    </xf>
    <xf numFmtId="0" fontId="21" fillId="3" borderId="0" xfId="0" applyFont="1" applyFill="1" applyAlignment="1">
      <alignment horizontal="center"/>
    </xf>
    <xf numFmtId="164" fontId="15" fillId="14" borderId="55" xfId="0" applyNumberFormat="1" applyFont="1" applyFill="1" applyBorder="1" applyAlignment="1" applyProtection="1">
      <alignment horizontal="center" vertical="center" wrapText="1"/>
      <protection locked="0"/>
    </xf>
    <xf numFmtId="164" fontId="8" fillId="14" borderId="49" xfId="1" applyNumberFormat="1" applyFont="1" applyFill="1" applyBorder="1" applyAlignment="1" applyProtection="1">
      <alignment horizontal="center" vertical="center" wrapText="1"/>
      <protection locked="0"/>
    </xf>
    <xf numFmtId="164" fontId="8" fillId="14" borderId="50" xfId="1" applyNumberFormat="1" applyFont="1" applyFill="1" applyBorder="1" applyAlignment="1" applyProtection="1">
      <alignment horizontal="center" vertical="center" wrapText="1"/>
      <protection locked="0"/>
    </xf>
    <xf numFmtId="164" fontId="8" fillId="14" borderId="51" xfId="1" applyNumberFormat="1" applyFont="1" applyFill="1" applyBorder="1" applyAlignment="1" applyProtection="1">
      <alignment horizontal="center" vertical="center" wrapText="1"/>
      <protection locked="0"/>
    </xf>
    <xf numFmtId="164" fontId="8" fillId="14" borderId="49" xfId="3" applyNumberFormat="1" applyFont="1" applyFill="1" applyBorder="1" applyAlignment="1" applyProtection="1">
      <alignment horizontal="center" vertical="center" wrapText="1"/>
      <protection locked="0"/>
    </xf>
    <xf numFmtId="164" fontId="8" fillId="14" borderId="50" xfId="3" applyNumberFormat="1" applyFont="1" applyFill="1" applyBorder="1" applyAlignment="1" applyProtection="1">
      <alignment horizontal="center" vertical="center" wrapText="1"/>
      <protection locked="0"/>
    </xf>
    <xf numFmtId="164" fontId="8" fillId="14" borderId="51" xfId="3" applyNumberFormat="1" applyFont="1" applyFill="1" applyBorder="1" applyAlignment="1" applyProtection="1">
      <alignment horizontal="center" vertical="center" wrapText="1"/>
      <protection locked="0"/>
    </xf>
    <xf numFmtId="170" fontId="8" fillId="14" borderId="49" xfId="3" applyNumberFormat="1" applyFont="1" applyFill="1" applyBorder="1" applyAlignment="1" applyProtection="1">
      <alignment horizontal="center" vertical="center" wrapText="1"/>
      <protection locked="0"/>
    </xf>
    <xf numFmtId="170" fontId="8" fillId="14" borderId="50" xfId="3" applyNumberFormat="1" applyFont="1" applyFill="1" applyBorder="1" applyAlignment="1" applyProtection="1">
      <alignment horizontal="center" vertical="center" wrapText="1"/>
      <protection locked="0"/>
    </xf>
    <xf numFmtId="170" fontId="8" fillId="14" borderId="51" xfId="3" applyNumberFormat="1" applyFont="1" applyFill="1" applyBorder="1" applyAlignment="1" applyProtection="1">
      <alignment horizontal="center" vertical="center" wrapText="1"/>
      <protection locked="0"/>
    </xf>
    <xf numFmtId="164" fontId="69" fillId="3" borderId="0" xfId="1" applyNumberFormat="1" applyFont="1" applyFill="1" applyBorder="1" applyAlignment="1" applyProtection="1">
      <alignment horizontal="center" vertical="center" wrapText="1"/>
      <protection locked="0"/>
    </xf>
    <xf numFmtId="164" fontId="9" fillId="5" borderId="52" xfId="0" applyNumberFormat="1" applyFont="1" applyFill="1" applyBorder="1" applyAlignment="1" applyProtection="1">
      <alignment horizontal="center" vertical="center" wrapText="1"/>
      <protection locked="0"/>
    </xf>
    <xf numFmtId="164" fontId="9" fillId="5" borderId="0" xfId="0" applyNumberFormat="1" applyFont="1" applyFill="1" applyAlignment="1" applyProtection="1">
      <alignment horizontal="center" vertical="center" wrapText="1"/>
      <protection locked="0"/>
    </xf>
    <xf numFmtId="164" fontId="17" fillId="14" borderId="55" xfId="1" applyNumberFormat="1" applyFont="1" applyFill="1" applyBorder="1" applyAlignment="1" applyProtection="1">
      <alignment horizontal="center" vertical="center" wrapText="1"/>
      <protection locked="0"/>
    </xf>
    <xf numFmtId="164" fontId="0" fillId="0" borderId="52" xfId="0" applyNumberFormat="1" applyBorder="1" applyAlignment="1" applyProtection="1">
      <alignment horizontal="center" vertical="center" wrapText="1"/>
      <protection locked="0"/>
    </xf>
    <xf numFmtId="164" fontId="0" fillId="0" borderId="0" xfId="0" applyNumberFormat="1" applyAlignment="1" applyProtection="1">
      <alignment horizontal="center" vertical="center" wrapText="1"/>
      <protection locked="0"/>
    </xf>
    <xf numFmtId="164" fontId="0" fillId="0" borderId="54" xfId="0" applyNumberFormat="1" applyBorder="1" applyAlignment="1" applyProtection="1">
      <alignment horizontal="center" vertical="center" wrapText="1"/>
      <protection locked="0"/>
    </xf>
    <xf numFmtId="164" fontId="0" fillId="0" borderId="55" xfId="0" applyNumberFormat="1" applyBorder="1" applyAlignment="1" applyProtection="1">
      <alignment horizontal="center" vertical="center" wrapText="1"/>
      <protection locked="0"/>
    </xf>
    <xf numFmtId="164" fontId="57" fillId="13" borderId="55" xfId="0" applyNumberFormat="1" applyFont="1" applyFill="1" applyBorder="1" applyAlignment="1" applyProtection="1">
      <alignment horizontal="center" vertical="center" wrapText="1"/>
      <protection locked="0"/>
    </xf>
    <xf numFmtId="170" fontId="8" fillId="13" borderId="49" xfId="3" applyNumberFormat="1" applyFont="1" applyFill="1" applyBorder="1" applyAlignment="1" applyProtection="1">
      <alignment horizontal="center" vertical="center" wrapText="1"/>
      <protection locked="0"/>
    </xf>
    <xf numFmtId="170" fontId="8" fillId="13" borderId="50" xfId="3" applyNumberFormat="1" applyFont="1" applyFill="1" applyBorder="1" applyAlignment="1" applyProtection="1">
      <alignment horizontal="center" vertical="center" wrapText="1"/>
      <protection locked="0"/>
    </xf>
    <xf numFmtId="170" fontId="8" fillId="13" borderId="51" xfId="3" applyNumberFormat="1" applyFont="1" applyFill="1" applyBorder="1" applyAlignment="1" applyProtection="1">
      <alignment horizontal="center" vertical="center" wrapText="1"/>
      <protection locked="0"/>
    </xf>
    <xf numFmtId="164" fontId="8" fillId="13" borderId="49" xfId="1" applyNumberFormat="1" applyFont="1" applyFill="1" applyBorder="1" applyAlignment="1" applyProtection="1">
      <alignment horizontal="center" vertical="center" wrapText="1"/>
      <protection locked="0"/>
    </xf>
    <xf numFmtId="164" fontId="8" fillId="13" borderId="50" xfId="1" applyNumberFormat="1" applyFont="1" applyFill="1" applyBorder="1" applyAlignment="1" applyProtection="1">
      <alignment horizontal="center" vertical="center" wrapText="1"/>
      <protection locked="0"/>
    </xf>
    <xf numFmtId="164" fontId="8" fillId="13" borderId="51" xfId="1" applyNumberFormat="1" applyFont="1" applyFill="1" applyBorder="1" applyAlignment="1" applyProtection="1">
      <alignment horizontal="center" vertical="center" wrapText="1"/>
      <protection locked="0"/>
    </xf>
    <xf numFmtId="164" fontId="8" fillId="13" borderId="46" xfId="1" applyNumberFormat="1" applyFont="1" applyFill="1" applyBorder="1" applyAlignment="1" applyProtection="1">
      <alignment horizontal="center" vertical="center" wrapText="1"/>
      <protection locked="0"/>
    </xf>
    <xf numFmtId="164" fontId="8" fillId="13" borderId="47" xfId="1" applyNumberFormat="1" applyFont="1" applyFill="1" applyBorder="1" applyAlignment="1" applyProtection="1">
      <alignment horizontal="center" vertical="center" wrapText="1"/>
      <protection locked="0"/>
    </xf>
    <xf numFmtId="164" fontId="8" fillId="13" borderId="48" xfId="1" applyNumberFormat="1" applyFont="1" applyFill="1" applyBorder="1" applyAlignment="1" applyProtection="1">
      <alignment horizontal="center" vertical="center" wrapText="1"/>
      <protection locked="0"/>
    </xf>
    <xf numFmtId="164" fontId="8" fillId="13" borderId="49" xfId="3" applyNumberFormat="1" applyFont="1" applyFill="1" applyBorder="1" applyAlignment="1" applyProtection="1">
      <alignment horizontal="center" vertical="center" wrapText="1"/>
      <protection locked="0"/>
    </xf>
    <xf numFmtId="164" fontId="8" fillId="13" borderId="50" xfId="3" applyNumberFormat="1" applyFont="1" applyFill="1" applyBorder="1" applyAlignment="1" applyProtection="1">
      <alignment horizontal="center" vertical="center" wrapText="1"/>
      <protection locked="0"/>
    </xf>
    <xf numFmtId="164" fontId="8" fillId="13" borderId="51" xfId="3" applyNumberFormat="1" applyFont="1" applyFill="1" applyBorder="1" applyAlignment="1" applyProtection="1">
      <alignment horizontal="center" vertical="center" wrapText="1"/>
      <protection locked="0"/>
    </xf>
    <xf numFmtId="164" fontId="17" fillId="13" borderId="46" xfId="1" applyNumberFormat="1" applyFont="1" applyFill="1" applyBorder="1" applyAlignment="1" applyProtection="1">
      <alignment horizontal="center" vertical="center" wrapText="1"/>
      <protection locked="0"/>
    </xf>
    <xf numFmtId="164" fontId="17" fillId="13" borderId="47" xfId="1" applyNumberFormat="1" applyFont="1" applyFill="1" applyBorder="1" applyAlignment="1" applyProtection="1">
      <alignment horizontal="center" vertical="center" wrapText="1"/>
      <protection locked="0"/>
    </xf>
    <xf numFmtId="164" fontId="17" fillId="13" borderId="48" xfId="1" applyNumberFormat="1" applyFont="1" applyFill="1" applyBorder="1" applyAlignment="1" applyProtection="1">
      <alignment horizontal="center" vertical="center" wrapText="1"/>
      <protection locked="0"/>
    </xf>
    <xf numFmtId="164" fontId="8" fillId="5" borderId="52" xfId="1" applyNumberFormat="1" applyFont="1" applyFill="1" applyBorder="1" applyAlignment="1" applyProtection="1">
      <alignment horizontal="center" vertical="center"/>
      <protection locked="0"/>
    </xf>
    <xf numFmtId="164" fontId="8" fillId="5" borderId="0" xfId="1" applyNumberFormat="1" applyFont="1" applyFill="1" applyBorder="1" applyAlignment="1" applyProtection="1">
      <alignment horizontal="center" vertical="center"/>
      <protection locked="0"/>
    </xf>
    <xf numFmtId="164" fontId="8" fillId="5" borderId="53" xfId="1" applyNumberFormat="1" applyFont="1" applyFill="1" applyBorder="1" applyAlignment="1" applyProtection="1">
      <alignment horizontal="center" vertical="center"/>
      <protection locked="0"/>
    </xf>
    <xf numFmtId="164" fontId="9" fillId="5" borderId="52" xfId="1" applyNumberFormat="1" applyFont="1" applyFill="1" applyBorder="1" applyAlignment="1" applyProtection="1">
      <alignment horizontal="center" vertical="center"/>
      <protection locked="0"/>
    </xf>
    <xf numFmtId="164" fontId="9" fillId="5" borderId="0" xfId="1" applyNumberFormat="1" applyFont="1" applyFill="1" applyBorder="1" applyAlignment="1" applyProtection="1">
      <alignment horizontal="center" vertical="center"/>
      <protection locked="0"/>
    </xf>
    <xf numFmtId="164" fontId="9" fillId="5" borderId="53" xfId="1" applyNumberFormat="1" applyFont="1" applyFill="1" applyBorder="1" applyAlignment="1" applyProtection="1">
      <alignment horizontal="center" vertical="center"/>
      <protection locked="0"/>
    </xf>
    <xf numFmtId="164" fontId="9" fillId="5" borderId="52" xfId="1" applyNumberFormat="1" applyFont="1" applyFill="1" applyBorder="1" applyAlignment="1" applyProtection="1">
      <alignment horizontal="center" vertical="center" wrapText="1"/>
      <protection locked="0"/>
    </xf>
    <xf numFmtId="164" fontId="9" fillId="5" borderId="0" xfId="1" applyNumberFormat="1" applyFont="1" applyFill="1" applyBorder="1" applyAlignment="1" applyProtection="1">
      <alignment horizontal="center" vertical="center" wrapText="1"/>
      <protection locked="0"/>
    </xf>
    <xf numFmtId="164" fontId="9" fillId="5" borderId="53" xfId="1" applyNumberFormat="1" applyFont="1" applyFill="1" applyBorder="1" applyAlignment="1" applyProtection="1">
      <alignment horizontal="center" vertical="center" wrapText="1"/>
      <protection locked="0"/>
    </xf>
    <xf numFmtId="0" fontId="0" fillId="18" borderId="62" xfId="0" applyFill="1" applyBorder="1" applyAlignment="1" applyProtection="1">
      <alignment horizontal="center"/>
      <protection locked="0"/>
    </xf>
    <xf numFmtId="0" fontId="0" fillId="18" borderId="20" xfId="0" applyFill="1" applyBorder="1" applyAlignment="1" applyProtection="1">
      <alignment horizontal="center"/>
      <protection locked="0"/>
    </xf>
    <xf numFmtId="164" fontId="9" fillId="5" borderId="70" xfId="1" applyNumberFormat="1" applyFont="1" applyFill="1" applyBorder="1" applyAlignment="1" applyProtection="1">
      <alignment horizontal="center" vertical="center"/>
      <protection locked="0"/>
    </xf>
    <xf numFmtId="164" fontId="9" fillId="5" borderId="57" xfId="1" applyNumberFormat="1" applyFont="1" applyFill="1" applyBorder="1" applyAlignment="1" applyProtection="1">
      <alignment horizontal="center" vertical="center"/>
      <protection locked="0"/>
    </xf>
    <xf numFmtId="164" fontId="9" fillId="5" borderId="71" xfId="1" applyNumberFormat="1" applyFont="1" applyFill="1" applyBorder="1" applyAlignment="1" applyProtection="1">
      <alignment horizontal="center" vertical="center"/>
      <protection locked="0"/>
    </xf>
    <xf numFmtId="164" fontId="8" fillId="21" borderId="49" xfId="3" applyNumberFormat="1" applyFont="1" applyFill="1" applyBorder="1" applyAlignment="1" applyProtection="1">
      <alignment horizontal="center" vertical="center" wrapText="1"/>
      <protection locked="0"/>
    </xf>
    <xf numFmtId="164" fontId="8" fillId="21" borderId="50" xfId="3" applyNumberFormat="1" applyFont="1" applyFill="1" applyBorder="1" applyAlignment="1" applyProtection="1">
      <alignment horizontal="center" vertical="center" wrapText="1"/>
      <protection locked="0"/>
    </xf>
    <xf numFmtId="164" fontId="8" fillId="21" borderId="51" xfId="3" applyNumberFormat="1" applyFont="1" applyFill="1" applyBorder="1" applyAlignment="1" applyProtection="1">
      <alignment horizontal="center" vertical="center" wrapText="1"/>
      <protection locked="0"/>
    </xf>
    <xf numFmtId="164" fontId="8" fillId="21" borderId="49" xfId="1" applyNumberFormat="1" applyFont="1" applyFill="1" applyBorder="1" applyAlignment="1" applyProtection="1">
      <alignment horizontal="center" vertical="center" wrapText="1"/>
      <protection locked="0"/>
    </xf>
    <xf numFmtId="164" fontId="8" fillId="21" borderId="50" xfId="1" applyNumberFormat="1" applyFont="1" applyFill="1" applyBorder="1" applyAlignment="1" applyProtection="1">
      <alignment horizontal="center" vertical="center" wrapText="1"/>
      <protection locked="0"/>
    </xf>
    <xf numFmtId="164" fontId="8" fillId="21" borderId="51" xfId="1" applyNumberFormat="1" applyFont="1" applyFill="1" applyBorder="1" applyAlignment="1" applyProtection="1">
      <alignment horizontal="center" vertical="center" wrapText="1"/>
      <protection locked="0"/>
    </xf>
    <xf numFmtId="164" fontId="9" fillId="5" borderId="49" xfId="3" applyNumberFormat="1" applyFont="1" applyFill="1" applyBorder="1" applyAlignment="1" applyProtection="1">
      <alignment horizontal="center" vertical="center" wrapText="1"/>
      <protection locked="0"/>
    </xf>
    <xf numFmtId="164" fontId="9" fillId="5" borderId="50" xfId="3" applyNumberFormat="1" applyFont="1" applyFill="1" applyBorder="1" applyAlignment="1" applyProtection="1">
      <alignment horizontal="center" vertical="center" wrapText="1"/>
      <protection locked="0"/>
    </xf>
    <xf numFmtId="164" fontId="9" fillId="5" borderId="51" xfId="3" applyNumberFormat="1" applyFont="1" applyFill="1" applyBorder="1" applyAlignment="1" applyProtection="1">
      <alignment horizontal="center" vertical="center" wrapText="1"/>
      <protection locked="0"/>
    </xf>
    <xf numFmtId="164" fontId="0" fillId="0" borderId="52" xfId="3" applyNumberFormat="1" applyFont="1" applyBorder="1" applyAlignment="1" applyProtection="1">
      <alignment horizontal="center" vertical="center" wrapText="1"/>
      <protection locked="0"/>
    </xf>
    <xf numFmtId="164" fontId="0" fillId="0" borderId="0" xfId="3" applyNumberFormat="1" applyFont="1" applyBorder="1" applyAlignment="1" applyProtection="1">
      <alignment horizontal="center" vertical="center" wrapText="1"/>
      <protection locked="0"/>
    </xf>
    <xf numFmtId="170" fontId="0" fillId="0" borderId="52" xfId="3" applyNumberFormat="1" applyFont="1" applyBorder="1" applyAlignment="1" applyProtection="1">
      <alignment horizontal="center" vertical="center" wrapText="1"/>
      <protection locked="0"/>
    </xf>
    <xf numFmtId="170" fontId="0" fillId="0" borderId="0" xfId="3" applyNumberFormat="1" applyFont="1" applyBorder="1" applyAlignment="1" applyProtection="1">
      <alignment horizontal="center" vertical="center" wrapText="1"/>
      <protection locked="0"/>
    </xf>
    <xf numFmtId="164" fontId="0" fillId="0" borderId="54" xfId="3" applyNumberFormat="1" applyFont="1" applyBorder="1" applyAlignment="1" applyProtection="1">
      <alignment horizontal="center" vertical="center" wrapText="1"/>
      <protection locked="0"/>
    </xf>
    <xf numFmtId="164" fontId="0" fillId="0" borderId="55" xfId="3" applyNumberFormat="1" applyFont="1" applyBorder="1" applyAlignment="1" applyProtection="1">
      <alignment horizontal="center" vertical="center" wrapText="1"/>
      <protection locked="0"/>
    </xf>
    <xf numFmtId="0" fontId="0" fillId="18" borderId="39" xfId="0" applyFill="1" applyBorder="1" applyAlignment="1" applyProtection="1">
      <alignment horizontal="center"/>
      <protection locked="0"/>
    </xf>
    <xf numFmtId="164" fontId="35" fillId="21" borderId="0" xfId="0" applyNumberFormat="1" applyFont="1" applyFill="1" applyAlignment="1" applyProtection="1">
      <alignment horizontal="center" vertical="center" wrapText="1"/>
      <protection locked="0"/>
    </xf>
    <xf numFmtId="164" fontId="0" fillId="0" borderId="6" xfId="0" applyNumberFormat="1" applyBorder="1" applyAlignment="1" applyProtection="1">
      <alignment horizontal="center" vertical="center" wrapText="1"/>
      <protection locked="0"/>
    </xf>
    <xf numFmtId="164" fontId="0" fillId="0" borderId="1" xfId="0" applyNumberFormat="1" applyBorder="1" applyAlignment="1" applyProtection="1">
      <alignment horizontal="center" vertical="center" wrapText="1"/>
      <protection locked="0"/>
    </xf>
    <xf numFmtId="164" fontId="0" fillId="0" borderId="2" xfId="0" applyNumberFormat="1" applyBorder="1" applyAlignment="1" applyProtection="1">
      <alignment horizontal="center" vertical="center" wrapText="1"/>
      <protection locked="0"/>
    </xf>
    <xf numFmtId="164" fontId="0" fillId="0" borderId="3" xfId="0" applyNumberFormat="1" applyBorder="1" applyAlignment="1" applyProtection="1">
      <alignment horizontal="center" vertical="center" wrapText="1"/>
      <protection locked="0"/>
    </xf>
    <xf numFmtId="164" fontId="0" fillId="0" borderId="58" xfId="0" applyNumberFormat="1" applyBorder="1" applyAlignment="1" applyProtection="1">
      <alignment horizontal="center" vertical="center" wrapText="1"/>
      <protection locked="0"/>
    </xf>
    <xf numFmtId="164" fontId="0" fillId="0" borderId="59" xfId="0" applyNumberFormat="1" applyBorder="1" applyAlignment="1" applyProtection="1">
      <alignment horizontal="center" vertical="center" wrapText="1"/>
      <protection locked="0"/>
    </xf>
    <xf numFmtId="164" fontId="0" fillId="0" borderId="60" xfId="0" applyNumberFormat="1" applyBorder="1" applyAlignment="1" applyProtection="1">
      <alignment horizontal="center" vertical="center" wrapText="1"/>
      <protection locked="0"/>
    </xf>
    <xf numFmtId="1" fontId="9" fillId="0" borderId="0" xfId="2" applyNumberFormat="1" applyFont="1" applyFill="1" applyAlignment="1" applyProtection="1">
      <alignment horizontal="center"/>
      <protection locked="0"/>
    </xf>
    <xf numFmtId="172" fontId="9" fillId="0" borderId="9" xfId="2" applyNumberFormat="1" applyFont="1" applyFill="1" applyBorder="1" applyAlignment="1" applyProtection="1">
      <alignment horizontal="center"/>
      <protection locked="0"/>
    </xf>
    <xf numFmtId="172" fontId="9" fillId="0" borderId="10" xfId="2" applyNumberFormat="1" applyFont="1" applyFill="1" applyBorder="1" applyAlignment="1" applyProtection="1">
      <alignment horizontal="center"/>
      <protection locked="0"/>
    </xf>
    <xf numFmtId="0" fontId="49" fillId="2" borderId="0" xfId="0" applyFont="1" applyFill="1"/>
    <xf numFmtId="0" fontId="0" fillId="2" borderId="0" xfId="0" applyFill="1"/>
  </cellXfs>
  <cellStyles count="88">
    <cellStyle name="Bad" xfId="86" builtinId="27"/>
    <cellStyle name="Comma" xfId="2" builtinId="3"/>
    <cellStyle name="Currency" xfId="1" builtinId="4"/>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Hyperlink" xfId="4" builtinId="8" hidden="1"/>
    <cellStyle name="Normal" xfId="0" builtinId="0"/>
    <cellStyle name="Percent" xfId="3" builtinId="5"/>
    <cellStyle name="Style 1" xfId="87" xr:uid="{88D5FCFA-F917-4D71-96E4-0529CC470E60}"/>
  </cellStyles>
  <dxfs count="28">
    <dxf>
      <alignment horizontal="center" vertical="center" textRotation="0" indent="0" justifyLastLine="0" shrinkToFit="0" readingOrder="0"/>
    </dxf>
    <dxf>
      <numFmt numFmtId="174" formatCode="_(* #,##0_);_(* \(#,##0\);_(* &quot;-&quot;??_);_(@_)"/>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164" formatCode="&quot;£&quot;#,##0_);[Red]\(&quot;£&quot;#,##0\)"/>
      <alignment horizontal="center" vertical="center" textRotation="0" wrapText="1" indent="0" justifyLastLine="0" shrinkToFit="0" readingOrder="0"/>
      <protection locked="0" hidden="0"/>
    </dxf>
    <dxf>
      <numFmt numFmtId="0" formatCode="General"/>
      <alignment horizontal="center" vertical="center" textRotation="0" indent="0" justifyLastLine="0" shrinkToFit="0" readingOrder="0"/>
    </dxf>
    <dxf>
      <numFmt numFmtId="20" formatCode="dd\-mmm\-yy"/>
      <alignment horizontal="center" vertical="center" textRotation="0" wrapText="1" indent="0" justifyLastLine="0" shrinkToFit="0" readingOrder="0"/>
      <protection locked="0" hidden="0"/>
    </dxf>
    <dxf>
      <numFmt numFmtId="13" formatCode="0%"/>
      <alignment horizontal="center" vertical="center" textRotation="0" wrapText="0" indent="0" justifyLastLine="0" shrinkToFit="0" readingOrder="0"/>
      <protection locked="0" hidden="0"/>
    </dxf>
    <dxf>
      <numFmt numFmtId="13" formatCode="0%"/>
      <alignment horizontal="center" vertical="center" textRotation="0" wrapText="0" indent="0" justifyLastLine="0" shrinkToFit="0" readingOrder="0"/>
      <protection locked="0" hidden="0"/>
    </dxf>
    <dxf>
      <numFmt numFmtId="13" formatCode="0%"/>
      <alignment horizontal="center" vertical="center" textRotation="0" wrapText="0" indent="0" justifyLastLine="0" shrinkToFit="0" readingOrder="0"/>
      <protection locked="0" hidden="0"/>
    </dxf>
    <dxf>
      <numFmt numFmtId="164" formatCode="&quot;£&quot;#,##0_);[Red]\(&quot;£&quot;#,##0\)"/>
      <alignment horizontal="center" vertical="center" textRotation="0" wrapText="0" indent="0" justifyLastLine="0" shrinkToFit="0" readingOrder="0"/>
      <protection locked="0" hidden="0"/>
    </dxf>
    <dxf>
      <numFmt numFmtId="0" formatCode="General"/>
      <alignment horizontal="center" vertical="center" textRotation="0" wrapText="0" indent="0" justifyLastLine="0" shrinkToFit="0" readingOrder="0"/>
      <protection locked="0" hidden="0"/>
    </dxf>
    <dxf>
      <numFmt numFmtId="17" formatCode="#\ ?/?"/>
      <alignment horizontal="center" vertical="center" textRotation="0" wrapText="0" indent="0" justifyLastLine="0" shrinkToFit="0" readingOrder="0"/>
      <protection locked="0" hidden="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center" textRotation="0" wrapText="0" indent="0" justifyLastLine="0" shrinkToFit="0" readingOrder="0"/>
      <protection locked="0" hidden="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center" textRotation="0" wrapText="0" indent="0" justifyLastLine="0" shrinkToFit="0" readingOrder="0"/>
      <protection locked="0" hidden="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center" textRotation="0" wrapText="0" indent="0" justifyLastLine="0" shrinkToFit="0" readingOrder="0"/>
      <protection locked="0" hidden="0"/>
    </dxf>
    <dxf>
      <font>
        <b val="0"/>
        <i val="0"/>
        <strike val="0"/>
        <condense val="0"/>
        <extend val="0"/>
        <outline val="0"/>
        <shadow val="0"/>
        <u val="none"/>
        <vertAlign val="baseline"/>
        <sz val="12"/>
        <color theme="1"/>
        <name val="Calibri"/>
        <family val="2"/>
        <scheme val="minor"/>
      </font>
      <numFmt numFmtId="30" formatCode="@"/>
      <alignment horizontal="center" vertical="center" textRotation="0" wrapText="0" indent="0" justifyLastLine="0" shrinkToFit="0" readingOrder="0"/>
      <protection locked="0" hidden="0"/>
    </dxf>
    <dxf>
      <font>
        <b val="0"/>
        <i val="0"/>
        <strike val="0"/>
        <condense val="0"/>
        <extend val="0"/>
        <outline val="0"/>
        <shadow val="0"/>
        <u val="none"/>
        <vertAlign val="baseline"/>
        <sz val="12"/>
        <color theme="1"/>
        <name val="Calibri"/>
        <family val="2"/>
        <scheme val="minor"/>
      </font>
      <numFmt numFmtId="30" formatCode="@"/>
      <alignment horizontal="center" vertical="center" textRotation="0" wrapText="0" indent="0" justifyLastLine="0" shrinkToFit="0" readingOrder="0"/>
      <protection locked="0" hidden="0"/>
    </dxf>
    <dxf>
      <font>
        <b val="0"/>
        <i val="0"/>
        <strike val="0"/>
        <condense val="0"/>
        <extend val="0"/>
        <outline val="0"/>
        <shadow val="0"/>
        <u val="none"/>
        <vertAlign val="baseline"/>
        <sz val="12"/>
        <color theme="1"/>
        <name val="Calibri"/>
        <family val="2"/>
        <scheme val="minor"/>
      </font>
      <numFmt numFmtId="30" formatCode="@"/>
      <alignment horizontal="center" vertical="center" textRotation="0" wrapText="0" indent="0" justifyLastLine="0" shrinkToFit="0" readingOrder="0"/>
      <protection locked="0" hidden="0"/>
    </dxf>
    <dxf>
      <numFmt numFmtId="164" formatCode="&quot;£&quot;#,##0_);[Red]\(&quot;£&quot;#,##0\)"/>
      <alignment horizontal="center" vertical="center" textRotation="0" wrapText="1" indent="0" justifyLastLine="0" shrinkToFit="0" readingOrder="0"/>
      <protection locked="0" hidden="0"/>
    </dxf>
    <dxf>
      <numFmt numFmtId="164" formatCode="&quot;£&quot;#,##0_);[Red]\(&quot;£&quot;#,##0\)"/>
      <alignment horizontal="center" vertical="center" textRotation="0" wrapText="1" indent="0" justifyLastLine="0" shrinkToFit="0" readingOrder="0"/>
      <protection locked="0" hidden="0"/>
    </dxf>
    <dxf>
      <numFmt numFmtId="164" formatCode="&quot;£&quot;#,##0_);[Red]\(&quot;£&quot;#,##0\)"/>
      <alignment horizontal="center" vertical="center" textRotation="0" wrapText="1" indent="0" justifyLastLine="0" shrinkToFit="0" readingOrder="0"/>
      <protection locked="0" hidden="0"/>
    </dxf>
    <dxf>
      <numFmt numFmtId="164" formatCode="&quot;£&quot;#,##0_);[Red]\(&quot;£&quot;#,##0\)"/>
      <alignment horizontal="center" vertical="center" textRotation="0" wrapText="1" indent="0" justifyLastLine="0" shrinkToFit="0" readingOrder="0"/>
      <protection locked="0" hidden="0"/>
    </dxf>
    <dxf>
      <alignment horizontal="center" vertical="center" textRotation="0" wrapText="1" indent="0" justifyLastLine="0" shrinkToFit="0" readingOrder="0"/>
      <protection locked="0" hidden="0"/>
    </dxf>
    <dxf>
      <numFmt numFmtId="22" formatCode="mmm\-yy"/>
      <alignment horizontal="center" vertical="center" textRotation="0" wrapText="1" indent="0" justifyLastLine="0" shrinkToFit="0" readingOrder="0"/>
      <protection locked="0" hidden="0"/>
    </dxf>
    <dxf>
      <fill>
        <patternFill patternType="solid">
          <fgColor theme="0"/>
          <bgColor rgb="FFFF7C80"/>
        </patternFill>
      </fill>
    </dxf>
    <dxf>
      <fill>
        <patternFill>
          <fgColor rgb="FFFF7861"/>
        </patternFill>
      </fill>
    </dxf>
    <dxf>
      <fill>
        <patternFill>
          <fgColor rgb="FFFF7861"/>
        </patternFill>
      </fill>
    </dxf>
  </dxfs>
  <tableStyles count="3" defaultTableStyle="TableStyleMedium9" defaultPivotStyle="PivotStyleMedium4">
    <tableStyle name="Table Style 1" pivot="0" count="1" xr9:uid="{5826D440-B383-42E7-BC1E-FA43FDD90F05}">
      <tableStyleElement type="wholeTable" dxfId="27"/>
    </tableStyle>
    <tableStyle name="Table Style 2" pivot="0" count="1" xr9:uid="{2C5B7D9D-FB95-4FB6-9E61-8D9A46C2EF83}">
      <tableStyleElement type="wholeTable" dxfId="26"/>
    </tableStyle>
    <tableStyle name="Table Style 3" pivot="0" count="1" xr9:uid="{1612429F-9CFB-460C-86DA-2EE1B4D9052C}">
      <tableStyleElement type="wholeTable" dxfId="25"/>
    </tableStyle>
  </tableStyles>
  <colors>
    <mruColors>
      <color rgb="FFFF15DE"/>
      <color rgb="FF2222FE"/>
      <color rgb="FFF57671"/>
      <color rgb="FFFF7861"/>
      <color rgb="FF0BA0EB"/>
      <color rgb="FF81F0FF"/>
      <color rgb="FFD200D2"/>
      <color rgb="FF1F13B9"/>
      <color rgb="FF2215D1"/>
      <color rgb="FF5928A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7286043975198051E-2"/>
          <c:y val="9.7266543404794667E-2"/>
          <c:w val="0.90542719228063895"/>
          <c:h val="0.8418972389147944"/>
        </c:manualLayout>
      </c:layout>
      <c:lineChart>
        <c:grouping val="standard"/>
        <c:varyColors val="0"/>
        <c:ser>
          <c:idx val="0"/>
          <c:order val="0"/>
          <c:tx>
            <c:strRef>
              <c:f>'Sales Forecast'!$D$43</c:f>
              <c:strCache>
                <c:ptCount val="1"/>
                <c:pt idx="0">
                  <c:v>Total Product Sales</c:v>
                </c:pt>
              </c:strCache>
            </c:strRef>
          </c:tx>
          <c:spPr>
            <a:ln w="28575" cap="rnd">
              <a:solidFill>
                <a:schemeClr val="accent1"/>
              </a:solidFill>
              <a:round/>
            </a:ln>
            <a:effectLst/>
          </c:spPr>
          <c:marker>
            <c:symbol val="none"/>
          </c:marker>
          <c:cat>
            <c:numRef>
              <c:f>'Sales Forecast'!$AC$22:$AN$22</c:f>
              <c:numCache>
                <c:formatCode>mmm\-yy</c:formatCode>
                <c:ptCount val="12"/>
                <c:pt idx="0">
                  <c:v>46023</c:v>
                </c:pt>
                <c:pt idx="1">
                  <c:v>46054</c:v>
                </c:pt>
                <c:pt idx="2">
                  <c:v>46082</c:v>
                </c:pt>
                <c:pt idx="3">
                  <c:v>46113</c:v>
                </c:pt>
                <c:pt idx="4">
                  <c:v>46143</c:v>
                </c:pt>
                <c:pt idx="5">
                  <c:v>46174</c:v>
                </c:pt>
                <c:pt idx="6">
                  <c:v>46204</c:v>
                </c:pt>
                <c:pt idx="7">
                  <c:v>46235</c:v>
                </c:pt>
                <c:pt idx="8">
                  <c:v>46266</c:v>
                </c:pt>
                <c:pt idx="9">
                  <c:v>46296</c:v>
                </c:pt>
                <c:pt idx="10">
                  <c:v>46327</c:v>
                </c:pt>
                <c:pt idx="11">
                  <c:v>46357.899999999994</c:v>
                </c:pt>
              </c:numCache>
            </c:numRef>
          </c:cat>
          <c:val>
            <c:numRef>
              <c:f>'Sales Forecast'!$E$43:$AN$43</c:f>
              <c:numCache>
                <c:formatCode>"£"#,##0;[Red]"£"#,##0</c:formatCode>
                <c:ptCount val="36"/>
                <c:pt idx="0">
                  <c:v>19700</c:v>
                </c:pt>
                <c:pt idx="1">
                  <c:v>21170</c:v>
                </c:pt>
                <c:pt idx="2">
                  <c:v>23840</c:v>
                </c:pt>
                <c:pt idx="3">
                  <c:v>26510</c:v>
                </c:pt>
                <c:pt idx="4">
                  <c:v>29380</c:v>
                </c:pt>
                <c:pt idx="5">
                  <c:v>32250</c:v>
                </c:pt>
                <c:pt idx="6">
                  <c:v>35820</c:v>
                </c:pt>
                <c:pt idx="7">
                  <c:v>34215.5</c:v>
                </c:pt>
                <c:pt idx="8">
                  <c:v>35820</c:v>
                </c:pt>
                <c:pt idx="9">
                  <c:v>39390</c:v>
                </c:pt>
                <c:pt idx="10">
                  <c:v>41444.6</c:v>
                </c:pt>
                <c:pt idx="11">
                  <c:v>44276</c:v>
                </c:pt>
                <c:pt idx="12">
                  <c:v>48162.8</c:v>
                </c:pt>
                <c:pt idx="13">
                  <c:v>52869.9</c:v>
                </c:pt>
                <c:pt idx="14">
                  <c:v>58195</c:v>
                </c:pt>
                <c:pt idx="15">
                  <c:v>64138.1</c:v>
                </c:pt>
                <c:pt idx="16">
                  <c:v>70905.2</c:v>
                </c:pt>
                <c:pt idx="17">
                  <c:v>79011.3</c:v>
                </c:pt>
                <c:pt idx="18">
                  <c:v>88353.4</c:v>
                </c:pt>
                <c:pt idx="19">
                  <c:v>81766.399999999994</c:v>
                </c:pt>
                <c:pt idx="20">
                  <c:v>100713.4</c:v>
                </c:pt>
                <c:pt idx="21">
                  <c:v>113351.5</c:v>
                </c:pt>
                <c:pt idx="22">
                  <c:v>127843.6</c:v>
                </c:pt>
                <c:pt idx="23">
                  <c:v>128072.3</c:v>
                </c:pt>
                <c:pt idx="24">
                  <c:v>133531.26</c:v>
                </c:pt>
                <c:pt idx="25">
                  <c:v>152883.31200000001</c:v>
                </c:pt>
                <c:pt idx="26">
                  <c:v>196020.948</c:v>
                </c:pt>
                <c:pt idx="27">
                  <c:v>198889.08600000001</c:v>
                </c:pt>
                <c:pt idx="28">
                  <c:v>229219.90800000002</c:v>
                </c:pt>
                <c:pt idx="29">
                  <c:v>287433.65399999998</c:v>
                </c:pt>
                <c:pt idx="30">
                  <c:v>331684.92599999998</c:v>
                </c:pt>
                <c:pt idx="31">
                  <c:v>342922.66889999999</c:v>
                </c:pt>
                <c:pt idx="32">
                  <c:v>329268.54599999997</c:v>
                </c:pt>
                <c:pt idx="33">
                  <c:v>377207.424</c:v>
                </c:pt>
                <c:pt idx="34">
                  <c:v>407499.16368</c:v>
                </c:pt>
                <c:pt idx="35">
                  <c:v>431782.94219999999</c:v>
                </c:pt>
              </c:numCache>
            </c:numRef>
          </c:val>
          <c:smooth val="0"/>
          <c:extLst>
            <c:ext xmlns:c16="http://schemas.microsoft.com/office/drawing/2014/chart" uri="{C3380CC4-5D6E-409C-BE32-E72D297353CC}">
              <c16:uniqueId val="{00000002-592C-4031-8F1E-0A9D72B66562}"/>
            </c:ext>
          </c:extLst>
        </c:ser>
        <c:dLbls>
          <c:showLegendKey val="0"/>
          <c:showVal val="0"/>
          <c:showCatName val="0"/>
          <c:showSerName val="0"/>
          <c:showPercent val="0"/>
          <c:showBubbleSize val="0"/>
        </c:dLbls>
        <c:smooth val="0"/>
        <c:axId val="492483584"/>
        <c:axId val="1386450319"/>
      </c:lineChart>
      <c:dateAx>
        <c:axId val="492483584"/>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450319"/>
        <c:crosses val="autoZero"/>
        <c:auto val="1"/>
        <c:lblOffset val="100"/>
        <c:baseTimeUnit val="months"/>
      </c:dateAx>
      <c:valAx>
        <c:axId val="13864503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290640875700103"/>
          <c:y val="0.21421167291781482"/>
          <c:w val="0.65452937529492317"/>
          <c:h val="0.58111160251584215"/>
        </c:manualLayout>
      </c:layout>
      <c:lineChart>
        <c:grouping val="standard"/>
        <c:varyColors val="0"/>
        <c:ser>
          <c:idx val="0"/>
          <c:order val="0"/>
          <c:tx>
            <c:strRef>
              <c:f>'Sales Forecast'!$B$72</c:f>
              <c:strCache>
                <c:ptCount val="1"/>
                <c:pt idx="0">
                  <c:v>Monthly Basic</c:v>
                </c:pt>
              </c:strCache>
            </c:strRef>
          </c:tx>
          <c:spPr>
            <a:ln w="38100" cap="rnd">
              <a:solidFill>
                <a:srgbClr val="2222FE"/>
              </a:solidFill>
              <a:round/>
            </a:ln>
            <a:effectLst/>
          </c:spPr>
          <c:marker>
            <c:symbol val="none"/>
          </c:marker>
          <c:cat>
            <c:numRef>
              <c:f>'Sales Forecast'!$E$69:$AN$69</c:f>
              <c:numCache>
                <c:formatCode>mmm\-yy</c:formatCode>
                <c:ptCount val="36"/>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c:v>45778</c:v>
                </c:pt>
                <c:pt idx="17">
                  <c:v>45809</c:v>
                </c:pt>
                <c:pt idx="18">
                  <c:v>45839</c:v>
                </c:pt>
                <c:pt idx="19">
                  <c:v>45870</c:v>
                </c:pt>
                <c:pt idx="20">
                  <c:v>45901</c:v>
                </c:pt>
                <c:pt idx="21">
                  <c:v>45931</c:v>
                </c:pt>
                <c:pt idx="22">
                  <c:v>45962</c:v>
                </c:pt>
                <c:pt idx="23">
                  <c:v>45992</c:v>
                </c:pt>
                <c:pt idx="24">
                  <c:v>46023</c:v>
                </c:pt>
                <c:pt idx="25">
                  <c:v>46054</c:v>
                </c:pt>
                <c:pt idx="26">
                  <c:v>46082</c:v>
                </c:pt>
                <c:pt idx="27">
                  <c:v>46113</c:v>
                </c:pt>
                <c:pt idx="28">
                  <c:v>46143</c:v>
                </c:pt>
                <c:pt idx="29">
                  <c:v>46174</c:v>
                </c:pt>
                <c:pt idx="30">
                  <c:v>46204</c:v>
                </c:pt>
                <c:pt idx="31">
                  <c:v>46235</c:v>
                </c:pt>
                <c:pt idx="32">
                  <c:v>46266</c:v>
                </c:pt>
                <c:pt idx="33">
                  <c:v>46296</c:v>
                </c:pt>
                <c:pt idx="34">
                  <c:v>46327</c:v>
                </c:pt>
                <c:pt idx="35">
                  <c:v>46357.899999999994</c:v>
                </c:pt>
              </c:numCache>
            </c:numRef>
          </c:cat>
          <c:val>
            <c:numRef>
              <c:f>'Sales Forecast'!$E$76:$AN$76</c:f>
              <c:numCache>
                <c:formatCode>_("£"* #,##0_);_("£"* \(#,##0\);_("£"* "-"??_);_(@_)</c:formatCode>
                <c:ptCount val="36"/>
                <c:pt idx="0">
                  <c:v>198</c:v>
                </c:pt>
                <c:pt idx="1">
                  <c:v>216</c:v>
                </c:pt>
                <c:pt idx="2">
                  <c:v>216</c:v>
                </c:pt>
                <c:pt idx="3">
                  <c:v>234</c:v>
                </c:pt>
                <c:pt idx="4">
                  <c:v>252</c:v>
                </c:pt>
                <c:pt idx="5">
                  <c:v>270</c:v>
                </c:pt>
                <c:pt idx="6">
                  <c:v>288</c:v>
                </c:pt>
                <c:pt idx="7">
                  <c:v>414</c:v>
                </c:pt>
                <c:pt idx="8">
                  <c:v>540</c:v>
                </c:pt>
                <c:pt idx="9">
                  <c:v>738</c:v>
                </c:pt>
                <c:pt idx="10">
                  <c:v>846</c:v>
                </c:pt>
                <c:pt idx="11">
                  <c:v>990</c:v>
                </c:pt>
                <c:pt idx="12">
                  <c:v>1206</c:v>
                </c:pt>
                <c:pt idx="13">
                  <c:v>1476</c:v>
                </c:pt>
                <c:pt idx="14">
                  <c:v>1746</c:v>
                </c:pt>
                <c:pt idx="15">
                  <c:v>2034</c:v>
                </c:pt>
                <c:pt idx="16">
                  <c:v>2214</c:v>
                </c:pt>
                <c:pt idx="17">
                  <c:v>2448</c:v>
                </c:pt>
                <c:pt idx="18">
                  <c:v>2682</c:v>
                </c:pt>
                <c:pt idx="19">
                  <c:v>2952</c:v>
                </c:pt>
                <c:pt idx="20">
                  <c:v>3186</c:v>
                </c:pt>
                <c:pt idx="21">
                  <c:v>3456</c:v>
                </c:pt>
                <c:pt idx="22">
                  <c:v>3744</c:v>
                </c:pt>
                <c:pt idx="23">
                  <c:v>3654</c:v>
                </c:pt>
                <c:pt idx="24">
                  <c:v>4158</c:v>
                </c:pt>
                <c:pt idx="25">
                  <c:v>4572</c:v>
                </c:pt>
                <c:pt idx="26">
                  <c:v>5040</c:v>
                </c:pt>
                <c:pt idx="27">
                  <c:v>5400</c:v>
                </c:pt>
                <c:pt idx="28">
                  <c:v>5832</c:v>
                </c:pt>
                <c:pt idx="29">
                  <c:v>6264</c:v>
                </c:pt>
                <c:pt idx="30">
                  <c:v>6696</c:v>
                </c:pt>
                <c:pt idx="31">
                  <c:v>6894</c:v>
                </c:pt>
                <c:pt idx="32">
                  <c:v>7074</c:v>
                </c:pt>
                <c:pt idx="33">
                  <c:v>7236</c:v>
                </c:pt>
                <c:pt idx="34">
                  <c:v>7434</c:v>
                </c:pt>
                <c:pt idx="35">
                  <c:v>7560</c:v>
                </c:pt>
              </c:numCache>
            </c:numRef>
          </c:val>
          <c:smooth val="0"/>
          <c:extLst>
            <c:ext xmlns:c16="http://schemas.microsoft.com/office/drawing/2014/chart" uri="{C3380CC4-5D6E-409C-BE32-E72D297353CC}">
              <c16:uniqueId val="{00000001-8CD9-43C8-830D-F98BF77E1BD9}"/>
            </c:ext>
          </c:extLst>
        </c:ser>
        <c:ser>
          <c:idx val="1"/>
          <c:order val="1"/>
          <c:tx>
            <c:strRef>
              <c:f>'Sales Forecast'!$B$80</c:f>
              <c:strCache>
                <c:ptCount val="1"/>
                <c:pt idx="0">
                  <c:v>Monthly Premium </c:v>
                </c:pt>
              </c:strCache>
            </c:strRef>
          </c:tx>
          <c:spPr>
            <a:ln w="38100" cap="rnd">
              <a:solidFill>
                <a:srgbClr val="FF15DE"/>
              </a:solidFill>
              <a:round/>
            </a:ln>
            <a:effectLst/>
          </c:spPr>
          <c:marker>
            <c:symbol val="none"/>
          </c:marker>
          <c:val>
            <c:numRef>
              <c:f>'Sales Forecast'!$E$84:$AN$84</c:f>
              <c:numCache>
                <c:formatCode>_("£"* #,##0_);_("£"* \(#,##0\);_("£"* "-"??_);_(@_)</c:formatCode>
                <c:ptCount val="36"/>
                <c:pt idx="0">
                  <c:v>364</c:v>
                </c:pt>
                <c:pt idx="1">
                  <c:v>252</c:v>
                </c:pt>
                <c:pt idx="2">
                  <c:v>234</c:v>
                </c:pt>
                <c:pt idx="3">
                  <c:v>180</c:v>
                </c:pt>
                <c:pt idx="4">
                  <c:v>198</c:v>
                </c:pt>
                <c:pt idx="5">
                  <c:v>198</c:v>
                </c:pt>
                <c:pt idx="6">
                  <c:v>234</c:v>
                </c:pt>
                <c:pt idx="7">
                  <c:v>270</c:v>
                </c:pt>
                <c:pt idx="8">
                  <c:v>468</c:v>
                </c:pt>
                <c:pt idx="9">
                  <c:v>522</c:v>
                </c:pt>
                <c:pt idx="10">
                  <c:v>540</c:v>
                </c:pt>
                <c:pt idx="11">
                  <c:v>666</c:v>
                </c:pt>
                <c:pt idx="12">
                  <c:v>828</c:v>
                </c:pt>
                <c:pt idx="13">
                  <c:v>918</c:v>
                </c:pt>
                <c:pt idx="14">
                  <c:v>918</c:v>
                </c:pt>
                <c:pt idx="15">
                  <c:v>918</c:v>
                </c:pt>
                <c:pt idx="16">
                  <c:v>1026</c:v>
                </c:pt>
                <c:pt idx="17">
                  <c:v>1224</c:v>
                </c:pt>
                <c:pt idx="18">
                  <c:v>1260</c:v>
                </c:pt>
                <c:pt idx="19">
                  <c:v>1350</c:v>
                </c:pt>
                <c:pt idx="20">
                  <c:v>1422</c:v>
                </c:pt>
                <c:pt idx="21">
                  <c:v>1494</c:v>
                </c:pt>
                <c:pt idx="22">
                  <c:v>1836</c:v>
                </c:pt>
                <c:pt idx="23">
                  <c:v>1890</c:v>
                </c:pt>
                <c:pt idx="24">
                  <c:v>1944</c:v>
                </c:pt>
                <c:pt idx="25">
                  <c:v>2088</c:v>
                </c:pt>
                <c:pt idx="26">
                  <c:v>2178</c:v>
                </c:pt>
                <c:pt idx="27">
                  <c:v>2268</c:v>
                </c:pt>
                <c:pt idx="28">
                  <c:v>2358</c:v>
                </c:pt>
                <c:pt idx="29">
                  <c:v>2448</c:v>
                </c:pt>
                <c:pt idx="30">
                  <c:v>2574</c:v>
                </c:pt>
                <c:pt idx="31">
                  <c:v>2664</c:v>
                </c:pt>
                <c:pt idx="32">
                  <c:v>3456</c:v>
                </c:pt>
                <c:pt idx="33">
                  <c:v>3348</c:v>
                </c:pt>
                <c:pt idx="34">
                  <c:v>3294</c:v>
                </c:pt>
                <c:pt idx="35">
                  <c:v>3258</c:v>
                </c:pt>
              </c:numCache>
            </c:numRef>
          </c:val>
          <c:smooth val="0"/>
          <c:extLst>
            <c:ext xmlns:c16="http://schemas.microsoft.com/office/drawing/2014/chart" uri="{C3380CC4-5D6E-409C-BE32-E72D297353CC}">
              <c16:uniqueId val="{00000002-8CD9-43C8-830D-F98BF77E1BD9}"/>
            </c:ext>
          </c:extLst>
        </c:ser>
        <c:ser>
          <c:idx val="2"/>
          <c:order val="2"/>
          <c:tx>
            <c:strRef>
              <c:f>'Sales Forecast'!$B$88</c:f>
              <c:strCache>
                <c:ptCount val="1"/>
                <c:pt idx="0">
                  <c:v>Monthly Premium +</c:v>
                </c:pt>
              </c:strCache>
            </c:strRef>
          </c:tx>
          <c:spPr>
            <a:ln w="38100" cap="rnd">
              <a:solidFill>
                <a:schemeClr val="accent4"/>
              </a:solidFill>
              <a:round/>
            </a:ln>
            <a:effectLst/>
          </c:spPr>
          <c:marker>
            <c:symbol val="none"/>
          </c:marker>
          <c:val>
            <c:numRef>
              <c:f>'Sales Forecast'!$E$92:$AN$92</c:f>
              <c:numCache>
                <c:formatCode>_("£"* #,##0_);_("£"* \(#,##0\);_("£"* "-"??_);_(@_)</c:formatCode>
                <c:ptCount val="36"/>
                <c:pt idx="0">
                  <c:v>560</c:v>
                </c:pt>
                <c:pt idx="1">
                  <c:v>2520</c:v>
                </c:pt>
                <c:pt idx="2">
                  <c:v>5680</c:v>
                </c:pt>
                <c:pt idx="3">
                  <c:v>5840</c:v>
                </c:pt>
                <c:pt idx="4">
                  <c:v>7720</c:v>
                </c:pt>
                <c:pt idx="5">
                  <c:v>7760</c:v>
                </c:pt>
                <c:pt idx="6">
                  <c:v>9000</c:v>
                </c:pt>
                <c:pt idx="7">
                  <c:v>9680</c:v>
                </c:pt>
                <c:pt idx="8">
                  <c:v>9960</c:v>
                </c:pt>
                <c:pt idx="9">
                  <c:v>10400</c:v>
                </c:pt>
                <c:pt idx="10">
                  <c:v>11080</c:v>
                </c:pt>
                <c:pt idx="11">
                  <c:v>11480</c:v>
                </c:pt>
                <c:pt idx="12">
                  <c:v>11960</c:v>
                </c:pt>
                <c:pt idx="13">
                  <c:v>12360</c:v>
                </c:pt>
                <c:pt idx="14">
                  <c:v>12760</c:v>
                </c:pt>
                <c:pt idx="15">
                  <c:v>13200</c:v>
                </c:pt>
                <c:pt idx="16">
                  <c:v>13800</c:v>
                </c:pt>
                <c:pt idx="17">
                  <c:v>14480</c:v>
                </c:pt>
                <c:pt idx="18">
                  <c:v>15160</c:v>
                </c:pt>
                <c:pt idx="19">
                  <c:v>15120</c:v>
                </c:pt>
                <c:pt idx="20">
                  <c:v>16720</c:v>
                </c:pt>
                <c:pt idx="21">
                  <c:v>19680</c:v>
                </c:pt>
                <c:pt idx="22">
                  <c:v>20320</c:v>
                </c:pt>
                <c:pt idx="23">
                  <c:v>20240</c:v>
                </c:pt>
                <c:pt idx="24">
                  <c:v>20280</c:v>
                </c:pt>
                <c:pt idx="25">
                  <c:v>20200</c:v>
                </c:pt>
                <c:pt idx="26">
                  <c:v>20200</c:v>
                </c:pt>
                <c:pt idx="27">
                  <c:v>20320</c:v>
                </c:pt>
                <c:pt idx="28">
                  <c:v>21000</c:v>
                </c:pt>
                <c:pt idx="29">
                  <c:v>21160</c:v>
                </c:pt>
                <c:pt idx="30">
                  <c:v>22520</c:v>
                </c:pt>
                <c:pt idx="31">
                  <c:v>22400</c:v>
                </c:pt>
                <c:pt idx="32">
                  <c:v>22480</c:v>
                </c:pt>
                <c:pt idx="33">
                  <c:v>22480</c:v>
                </c:pt>
                <c:pt idx="34">
                  <c:v>22400</c:v>
                </c:pt>
                <c:pt idx="35">
                  <c:v>23000</c:v>
                </c:pt>
              </c:numCache>
            </c:numRef>
          </c:val>
          <c:smooth val="0"/>
          <c:extLst>
            <c:ext xmlns:c16="http://schemas.microsoft.com/office/drawing/2014/chart" uri="{C3380CC4-5D6E-409C-BE32-E72D297353CC}">
              <c16:uniqueId val="{00000003-8CD9-43C8-830D-F98BF77E1BD9}"/>
            </c:ext>
          </c:extLst>
        </c:ser>
        <c:dLbls>
          <c:showLegendKey val="0"/>
          <c:showVal val="0"/>
          <c:showCatName val="0"/>
          <c:showSerName val="0"/>
          <c:showPercent val="0"/>
          <c:showBubbleSize val="0"/>
        </c:dLbls>
        <c:marker val="1"/>
        <c:smooth val="0"/>
        <c:axId val="545700608"/>
        <c:axId val="138956959"/>
      </c:lineChart>
      <c:lineChart>
        <c:grouping val="standard"/>
        <c:varyColors val="0"/>
        <c:ser>
          <c:idx val="3"/>
          <c:order val="3"/>
          <c:tx>
            <c:strRef>
              <c:f>'Sales Forecast'!$B$96</c:f>
              <c:strCache>
                <c:ptCount val="1"/>
                <c:pt idx="0">
                  <c:v>Annual Premium +</c:v>
                </c:pt>
              </c:strCache>
            </c:strRef>
          </c:tx>
          <c:spPr>
            <a:ln w="38100" cap="rnd">
              <a:solidFill>
                <a:srgbClr val="FF0000"/>
              </a:solidFill>
              <a:round/>
            </a:ln>
            <a:effectLst/>
          </c:spPr>
          <c:marker>
            <c:symbol val="none"/>
          </c:marker>
          <c:val>
            <c:numRef>
              <c:f>'Sales Forecast'!$E$100:$AN$100</c:f>
              <c:numCache>
                <c:formatCode>_("£"* #,##0_);_("£"* \(#,##0\);_("£"* "-"??_);_(@_)</c:formatCode>
                <c:ptCount val="36"/>
                <c:pt idx="0">
                  <c:v>4950</c:v>
                </c:pt>
                <c:pt idx="1">
                  <c:v>5400</c:v>
                </c:pt>
                <c:pt idx="2">
                  <c:v>6300</c:v>
                </c:pt>
                <c:pt idx="3">
                  <c:v>5400</c:v>
                </c:pt>
                <c:pt idx="4">
                  <c:v>7200</c:v>
                </c:pt>
                <c:pt idx="5">
                  <c:v>9000</c:v>
                </c:pt>
                <c:pt idx="6">
                  <c:v>9900</c:v>
                </c:pt>
                <c:pt idx="7">
                  <c:v>12150</c:v>
                </c:pt>
                <c:pt idx="8">
                  <c:v>13050</c:v>
                </c:pt>
                <c:pt idx="9">
                  <c:v>13500</c:v>
                </c:pt>
                <c:pt idx="10">
                  <c:v>16200</c:v>
                </c:pt>
                <c:pt idx="11">
                  <c:v>19350</c:v>
                </c:pt>
                <c:pt idx="12">
                  <c:v>41400</c:v>
                </c:pt>
                <c:pt idx="13">
                  <c:v>62550</c:v>
                </c:pt>
                <c:pt idx="14">
                  <c:v>92700</c:v>
                </c:pt>
                <c:pt idx="15">
                  <c:v>118350</c:v>
                </c:pt>
                <c:pt idx="16">
                  <c:v>126450</c:v>
                </c:pt>
                <c:pt idx="17">
                  <c:v>134550</c:v>
                </c:pt>
                <c:pt idx="18">
                  <c:v>140850</c:v>
                </c:pt>
                <c:pt idx="19">
                  <c:v>148050</c:v>
                </c:pt>
                <c:pt idx="20">
                  <c:v>155250</c:v>
                </c:pt>
                <c:pt idx="21">
                  <c:v>160650</c:v>
                </c:pt>
                <c:pt idx="22">
                  <c:v>167850</c:v>
                </c:pt>
                <c:pt idx="23">
                  <c:v>166050</c:v>
                </c:pt>
                <c:pt idx="24">
                  <c:v>177300</c:v>
                </c:pt>
                <c:pt idx="25">
                  <c:v>188550</c:v>
                </c:pt>
                <c:pt idx="26">
                  <c:v>199350</c:v>
                </c:pt>
                <c:pt idx="27">
                  <c:v>208350</c:v>
                </c:pt>
                <c:pt idx="28">
                  <c:v>217350</c:v>
                </c:pt>
                <c:pt idx="29">
                  <c:v>226350</c:v>
                </c:pt>
                <c:pt idx="30">
                  <c:v>235800</c:v>
                </c:pt>
                <c:pt idx="31">
                  <c:v>240300</c:v>
                </c:pt>
                <c:pt idx="32">
                  <c:v>244800</c:v>
                </c:pt>
                <c:pt idx="33">
                  <c:v>249300</c:v>
                </c:pt>
                <c:pt idx="34">
                  <c:v>253800</c:v>
                </c:pt>
                <c:pt idx="35">
                  <c:v>265050</c:v>
                </c:pt>
              </c:numCache>
            </c:numRef>
          </c:val>
          <c:smooth val="0"/>
          <c:extLst>
            <c:ext xmlns:c16="http://schemas.microsoft.com/office/drawing/2014/chart" uri="{C3380CC4-5D6E-409C-BE32-E72D297353CC}">
              <c16:uniqueId val="{00000004-8CD9-43C8-830D-F98BF77E1BD9}"/>
            </c:ext>
          </c:extLst>
        </c:ser>
        <c:dLbls>
          <c:showLegendKey val="0"/>
          <c:showVal val="0"/>
          <c:showCatName val="0"/>
          <c:showSerName val="0"/>
          <c:showPercent val="0"/>
          <c:showBubbleSize val="0"/>
        </c:dLbls>
        <c:marker val="1"/>
        <c:smooth val="0"/>
        <c:axId val="2119810991"/>
        <c:axId val="90623135"/>
      </c:lineChart>
      <c:dateAx>
        <c:axId val="545700608"/>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38956959"/>
        <c:crosses val="autoZero"/>
        <c:auto val="1"/>
        <c:lblOffset val="100"/>
        <c:baseTimeUnit val="months"/>
      </c:dateAx>
      <c:valAx>
        <c:axId val="1389569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GB"/>
                  <a:t>Monthly Subcription Sales</a:t>
                </a:r>
              </a:p>
            </c:rich>
          </c:tx>
          <c:layout>
            <c:manualLayout>
              <c:xMode val="edge"/>
              <c:yMode val="edge"/>
              <c:x val="2.905974135475475E-2"/>
              <c:y val="0.34101522716965504"/>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545700608"/>
        <c:crosses val="autoZero"/>
        <c:crossBetween val="between"/>
      </c:valAx>
      <c:valAx>
        <c:axId val="90623135"/>
        <c:scaling>
          <c:orientation val="minMax"/>
        </c:scaling>
        <c:delete val="0"/>
        <c:axPos val="r"/>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GB"/>
                  <a:t>Annual Subscription sales</a:t>
                </a:r>
              </a:p>
            </c:rich>
          </c:tx>
          <c:layout>
            <c:manualLayout>
              <c:xMode val="edge"/>
              <c:yMode val="edge"/>
              <c:x val="0.95965261558144643"/>
              <c:y val="0.29189418518155902"/>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2119810991"/>
        <c:crosses val="max"/>
        <c:crossBetween val="between"/>
      </c:valAx>
      <c:catAx>
        <c:axId val="2119810991"/>
        <c:scaling>
          <c:orientation val="minMax"/>
        </c:scaling>
        <c:delete val="1"/>
        <c:axPos val="b"/>
        <c:majorTickMark val="out"/>
        <c:minorTickMark val="none"/>
        <c:tickLblPos val="nextTo"/>
        <c:crossAx val="90623135"/>
        <c:crosses val="autoZero"/>
        <c:auto val="1"/>
        <c:lblAlgn val="ctr"/>
        <c:lblOffset val="100"/>
        <c:noMultiLvlLbl val="0"/>
      </c:catAx>
      <c:spPr>
        <a:noFill/>
        <a:ln>
          <a:noFill/>
        </a:ln>
        <a:effectLst/>
      </c:spPr>
    </c:plotArea>
    <c:legend>
      <c:legendPos val="t"/>
      <c:layout>
        <c:manualLayout>
          <c:xMode val="edge"/>
          <c:yMode val="edge"/>
          <c:x val="5.7504552076709757E-2"/>
          <c:y val="4.1102090843480557E-2"/>
          <c:w val="0.79717071409207874"/>
          <c:h val="5.6506341046929399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b="1"/>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624817159272911"/>
          <c:y val="0.14758720014990459"/>
          <c:w val="0.73144923137795359"/>
          <c:h val="0.64436435974058659"/>
        </c:manualLayout>
      </c:layout>
      <c:lineChart>
        <c:grouping val="standard"/>
        <c:varyColors val="0"/>
        <c:ser>
          <c:idx val="0"/>
          <c:order val="0"/>
          <c:tx>
            <c:strRef>
              <c:f>'Sales Forecast'!$A$28:$A$41</c:f>
              <c:strCache>
                <c:ptCount val="1"/>
                <c:pt idx="0">
                  <c:v>ECOMMERCE</c:v>
                </c:pt>
              </c:strCache>
            </c:strRef>
          </c:tx>
          <c:spPr>
            <a:ln w="38100" cap="rnd">
              <a:solidFill>
                <a:srgbClr val="FF15DE"/>
              </a:solidFill>
              <a:round/>
            </a:ln>
            <a:effectLst/>
          </c:spPr>
          <c:marker>
            <c:symbol val="none"/>
          </c:marker>
          <c:cat>
            <c:numRef>
              <c:f>'Sales Forecast'!$E$22:$AN$22</c:f>
              <c:numCache>
                <c:formatCode>mmm\-yy</c:formatCode>
                <c:ptCount val="36"/>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c:v>45778</c:v>
                </c:pt>
                <c:pt idx="17">
                  <c:v>45809</c:v>
                </c:pt>
                <c:pt idx="18">
                  <c:v>45839</c:v>
                </c:pt>
                <c:pt idx="19">
                  <c:v>45870</c:v>
                </c:pt>
                <c:pt idx="20">
                  <c:v>45901</c:v>
                </c:pt>
                <c:pt idx="21">
                  <c:v>45931</c:v>
                </c:pt>
                <c:pt idx="22">
                  <c:v>45962</c:v>
                </c:pt>
                <c:pt idx="23">
                  <c:v>45992</c:v>
                </c:pt>
                <c:pt idx="24">
                  <c:v>46023</c:v>
                </c:pt>
                <c:pt idx="25">
                  <c:v>46054</c:v>
                </c:pt>
                <c:pt idx="26">
                  <c:v>46082</c:v>
                </c:pt>
                <c:pt idx="27">
                  <c:v>46113</c:v>
                </c:pt>
                <c:pt idx="28">
                  <c:v>46143</c:v>
                </c:pt>
                <c:pt idx="29">
                  <c:v>46174</c:v>
                </c:pt>
                <c:pt idx="30">
                  <c:v>46204</c:v>
                </c:pt>
                <c:pt idx="31">
                  <c:v>46235</c:v>
                </c:pt>
                <c:pt idx="32">
                  <c:v>46266</c:v>
                </c:pt>
                <c:pt idx="33">
                  <c:v>46296</c:v>
                </c:pt>
                <c:pt idx="34">
                  <c:v>46327</c:v>
                </c:pt>
                <c:pt idx="35">
                  <c:v>46357.899999999994</c:v>
                </c:pt>
              </c:numCache>
            </c:numRef>
          </c:cat>
          <c:val>
            <c:numRef>
              <c:f>'Sales Forecast'!$E$43:$AN$43</c:f>
              <c:numCache>
                <c:formatCode>"£"#,##0;[Red]"£"#,##0</c:formatCode>
                <c:ptCount val="36"/>
                <c:pt idx="0">
                  <c:v>19700</c:v>
                </c:pt>
                <c:pt idx="1">
                  <c:v>21170</c:v>
                </c:pt>
                <c:pt idx="2">
                  <c:v>23840</c:v>
                </c:pt>
                <c:pt idx="3">
                  <c:v>26510</c:v>
                </c:pt>
                <c:pt idx="4">
                  <c:v>29380</c:v>
                </c:pt>
                <c:pt idx="5">
                  <c:v>32250</c:v>
                </c:pt>
                <c:pt idx="6">
                  <c:v>35820</c:v>
                </c:pt>
                <c:pt idx="7">
                  <c:v>34215.5</c:v>
                </c:pt>
                <c:pt idx="8">
                  <c:v>35820</c:v>
                </c:pt>
                <c:pt idx="9">
                  <c:v>39390</c:v>
                </c:pt>
                <c:pt idx="10">
                  <c:v>41444.6</c:v>
                </c:pt>
                <c:pt idx="11">
                  <c:v>44276</c:v>
                </c:pt>
                <c:pt idx="12">
                  <c:v>48162.8</c:v>
                </c:pt>
                <c:pt idx="13">
                  <c:v>52869.9</c:v>
                </c:pt>
                <c:pt idx="14">
                  <c:v>58195</c:v>
                </c:pt>
                <c:pt idx="15">
                  <c:v>64138.1</c:v>
                </c:pt>
                <c:pt idx="16">
                  <c:v>70905.2</c:v>
                </c:pt>
                <c:pt idx="17">
                  <c:v>79011.3</c:v>
                </c:pt>
                <c:pt idx="18">
                  <c:v>88353.4</c:v>
                </c:pt>
                <c:pt idx="19">
                  <c:v>81766.399999999994</c:v>
                </c:pt>
                <c:pt idx="20">
                  <c:v>100713.4</c:v>
                </c:pt>
                <c:pt idx="21">
                  <c:v>113351.5</c:v>
                </c:pt>
                <c:pt idx="22">
                  <c:v>127843.6</c:v>
                </c:pt>
                <c:pt idx="23">
                  <c:v>128072.3</c:v>
                </c:pt>
                <c:pt idx="24">
                  <c:v>133531.26</c:v>
                </c:pt>
                <c:pt idx="25">
                  <c:v>152883.31200000001</c:v>
                </c:pt>
                <c:pt idx="26">
                  <c:v>196020.948</c:v>
                </c:pt>
                <c:pt idx="27">
                  <c:v>198889.08600000001</c:v>
                </c:pt>
                <c:pt idx="28">
                  <c:v>229219.90800000002</c:v>
                </c:pt>
                <c:pt idx="29">
                  <c:v>287433.65399999998</c:v>
                </c:pt>
                <c:pt idx="30">
                  <c:v>331684.92599999998</c:v>
                </c:pt>
                <c:pt idx="31">
                  <c:v>342922.66889999999</c:v>
                </c:pt>
                <c:pt idx="32">
                  <c:v>329268.54599999997</c:v>
                </c:pt>
                <c:pt idx="33">
                  <c:v>377207.424</c:v>
                </c:pt>
                <c:pt idx="34">
                  <c:v>407499.16368</c:v>
                </c:pt>
                <c:pt idx="35">
                  <c:v>431782.94219999999</c:v>
                </c:pt>
              </c:numCache>
            </c:numRef>
          </c:val>
          <c:smooth val="0"/>
          <c:extLst>
            <c:ext xmlns:c16="http://schemas.microsoft.com/office/drawing/2014/chart" uri="{C3380CC4-5D6E-409C-BE32-E72D297353CC}">
              <c16:uniqueId val="{00000000-6EA6-423A-ACDD-2C298D58FE05}"/>
            </c:ext>
          </c:extLst>
        </c:ser>
        <c:ser>
          <c:idx val="1"/>
          <c:order val="1"/>
          <c:tx>
            <c:strRef>
              <c:f>'Sales Forecast'!$A$46:$A$59</c:f>
              <c:strCache>
                <c:ptCount val="1"/>
                <c:pt idx="0">
                  <c:v>STORE</c:v>
                </c:pt>
              </c:strCache>
            </c:strRef>
          </c:tx>
          <c:spPr>
            <a:ln w="38100" cap="rnd">
              <a:solidFill>
                <a:srgbClr val="2222FE"/>
              </a:solidFill>
              <a:round/>
            </a:ln>
            <a:effectLst/>
          </c:spPr>
          <c:marker>
            <c:symbol val="none"/>
          </c:marker>
          <c:val>
            <c:numRef>
              <c:f>'Sales Forecast'!$E$61:$AN$61</c:f>
              <c:numCache>
                <c:formatCode>"£"#,##0;[Red]"£"#,##0</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34669.800000000003</c:v>
                </c:pt>
                <c:pt idx="25">
                  <c:v>40553.160000000003</c:v>
                </c:pt>
                <c:pt idx="26">
                  <c:v>47424.084000000003</c:v>
                </c:pt>
                <c:pt idx="27">
                  <c:v>55986.474000000002</c:v>
                </c:pt>
                <c:pt idx="28">
                  <c:v>65925.149999999994</c:v>
                </c:pt>
                <c:pt idx="29">
                  <c:v>77029.991999999998</c:v>
                </c:pt>
                <c:pt idx="30">
                  <c:v>77622.530400000003</c:v>
                </c:pt>
                <c:pt idx="31">
                  <c:v>87865.355100000001</c:v>
                </c:pt>
                <c:pt idx="32">
                  <c:v>116196.36</c:v>
                </c:pt>
                <c:pt idx="33">
                  <c:v>136977.228</c:v>
                </c:pt>
                <c:pt idx="34">
                  <c:v>154298.04996</c:v>
                </c:pt>
                <c:pt idx="35">
                  <c:v>169604.66160000002</c:v>
                </c:pt>
              </c:numCache>
            </c:numRef>
          </c:val>
          <c:smooth val="0"/>
          <c:extLst>
            <c:ext xmlns:c16="http://schemas.microsoft.com/office/drawing/2014/chart" uri="{C3380CC4-5D6E-409C-BE32-E72D297353CC}">
              <c16:uniqueId val="{00000002-6EA6-423A-ACDD-2C298D58FE05}"/>
            </c:ext>
          </c:extLst>
        </c:ser>
        <c:dLbls>
          <c:showLegendKey val="0"/>
          <c:showVal val="0"/>
          <c:showCatName val="0"/>
          <c:showSerName val="0"/>
          <c:showPercent val="0"/>
          <c:showBubbleSize val="0"/>
        </c:dLbls>
        <c:smooth val="0"/>
        <c:axId val="545637968"/>
        <c:axId val="138955519"/>
      </c:lineChart>
      <c:dateAx>
        <c:axId val="545637968"/>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38955519"/>
        <c:crosses val="autoZero"/>
        <c:auto val="1"/>
        <c:lblOffset val="100"/>
        <c:baseTimeUnit val="months"/>
        <c:majorUnit val="2"/>
        <c:majorTimeUnit val="months"/>
      </c:dateAx>
      <c:valAx>
        <c:axId val="1389555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GB"/>
                  <a:t>Montly Sales</a:t>
                </a:r>
              </a:p>
            </c:rich>
          </c:tx>
          <c:layout>
            <c:manualLayout>
              <c:xMode val="edge"/>
              <c:yMode val="edge"/>
              <c:x val="2.7416544092067719E-2"/>
              <c:y val="0.36069579275686142"/>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quot;£&quot;#,##0;[Red]&quot;£&quot;#,##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545637968"/>
        <c:crosses val="autoZero"/>
        <c:crossBetween val="between"/>
      </c:valAx>
      <c:spPr>
        <a:noFill/>
        <a:ln>
          <a:noFill/>
        </a:ln>
        <a:effectLst/>
      </c:spPr>
    </c:plotArea>
    <c:legend>
      <c:legendPos val="t"/>
      <c:layout>
        <c:manualLayout>
          <c:xMode val="edge"/>
          <c:yMode val="edge"/>
          <c:x val="0.35182477718324467"/>
          <c:y val="4.0999524196920892E-2"/>
          <c:w val="0.25988278054278058"/>
          <c:h val="4.656332130820935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b="1"/>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Monthly Cash Flow Forecast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Closing Bank Account</c:v>
          </c:tx>
          <c:spPr>
            <a:ln w="34925" cap="rnd">
              <a:solidFill>
                <a:schemeClr val="accent1"/>
              </a:solidFill>
              <a:round/>
            </a:ln>
            <a:effectLst>
              <a:outerShdw blurRad="40000" dist="23000" dir="5400000" rotWithShape="0">
                <a:srgbClr val="000000">
                  <a:alpha val="35000"/>
                </a:srgbClr>
              </a:outerShdw>
            </a:effectLst>
          </c:spPr>
          <c:marker>
            <c:symbol val="none"/>
          </c:marker>
          <c:dLbls>
            <c:delete val="1"/>
          </c:dLbls>
          <c:cat>
            <c:numRef>
              <c:f>'Cash Flow'!$D$7:$AM$7</c:f>
              <c:numCache>
                <c:formatCode>mmm\-yy</c:formatCode>
                <c:ptCount val="36"/>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c:v>45778</c:v>
                </c:pt>
                <c:pt idx="17">
                  <c:v>45809</c:v>
                </c:pt>
                <c:pt idx="18">
                  <c:v>45839</c:v>
                </c:pt>
                <c:pt idx="19">
                  <c:v>45870</c:v>
                </c:pt>
                <c:pt idx="20">
                  <c:v>45901</c:v>
                </c:pt>
                <c:pt idx="21">
                  <c:v>45931</c:v>
                </c:pt>
                <c:pt idx="22">
                  <c:v>45962</c:v>
                </c:pt>
                <c:pt idx="23">
                  <c:v>45992</c:v>
                </c:pt>
                <c:pt idx="24">
                  <c:v>46023</c:v>
                </c:pt>
                <c:pt idx="25">
                  <c:v>46054</c:v>
                </c:pt>
                <c:pt idx="26">
                  <c:v>46082</c:v>
                </c:pt>
                <c:pt idx="27">
                  <c:v>46113</c:v>
                </c:pt>
                <c:pt idx="28">
                  <c:v>46143</c:v>
                </c:pt>
                <c:pt idx="29">
                  <c:v>46174</c:v>
                </c:pt>
                <c:pt idx="30">
                  <c:v>46204</c:v>
                </c:pt>
                <c:pt idx="31">
                  <c:v>46235</c:v>
                </c:pt>
                <c:pt idx="32">
                  <c:v>46266</c:v>
                </c:pt>
                <c:pt idx="33">
                  <c:v>46296</c:v>
                </c:pt>
                <c:pt idx="34">
                  <c:v>46327</c:v>
                </c:pt>
                <c:pt idx="35">
                  <c:v>46357</c:v>
                </c:pt>
              </c:numCache>
            </c:numRef>
          </c:cat>
          <c:val>
            <c:numRef>
              <c:f>'Cash Flow'!$D$60:$AM$60</c:f>
              <c:numCache>
                <c:formatCode>"£"#,##0_);[Red]\("£"#,##0\)</c:formatCode>
                <c:ptCount val="36"/>
                <c:pt idx="0" formatCode="&quot;£&quot;#,##0.0_);[Red]\(&quot;£&quot;#,##0.0\)">
                  <c:v>686556.88317799452</c:v>
                </c:pt>
                <c:pt idx="1">
                  <c:v>660513.76635598904</c:v>
                </c:pt>
                <c:pt idx="2">
                  <c:v>562633.24953398353</c:v>
                </c:pt>
                <c:pt idx="3">
                  <c:v>548137.73271197802</c:v>
                </c:pt>
                <c:pt idx="4">
                  <c:v>530286.0558899726</c:v>
                </c:pt>
                <c:pt idx="5">
                  <c:v>507221.71906796715</c:v>
                </c:pt>
                <c:pt idx="6">
                  <c:v>485928.48224596167</c:v>
                </c:pt>
                <c:pt idx="7">
                  <c:v>483194.88542395621</c:v>
                </c:pt>
                <c:pt idx="8">
                  <c:v>457141.44360195071</c:v>
                </c:pt>
                <c:pt idx="9">
                  <c:v>453821.64677994529</c:v>
                </c:pt>
                <c:pt idx="10">
                  <c:v>467286.48995793983</c:v>
                </c:pt>
                <c:pt idx="11">
                  <c:v>432590.72613593435</c:v>
                </c:pt>
                <c:pt idx="12">
                  <c:v>353900.2566472622</c:v>
                </c:pt>
                <c:pt idx="13">
                  <c:v>395359.15875859006</c:v>
                </c:pt>
                <c:pt idx="14">
                  <c:v>353462.29566991789</c:v>
                </c:pt>
                <c:pt idx="15">
                  <c:v>346872.77018124581</c:v>
                </c:pt>
                <c:pt idx="16">
                  <c:v>374412.95869257365</c:v>
                </c:pt>
                <c:pt idx="17">
                  <c:v>366988.36000390153</c:v>
                </c:pt>
                <c:pt idx="18">
                  <c:v>435087.49371522944</c:v>
                </c:pt>
                <c:pt idx="19">
                  <c:v>519869.55542655732</c:v>
                </c:pt>
                <c:pt idx="20">
                  <c:v>533606.54283788521</c:v>
                </c:pt>
                <c:pt idx="21">
                  <c:v>638520.16454921314</c:v>
                </c:pt>
                <c:pt idx="22">
                  <c:v>762001.56866054097</c:v>
                </c:pt>
                <c:pt idx="23">
                  <c:v>805183.14053186879</c:v>
                </c:pt>
                <c:pt idx="24">
                  <c:v>540355.75194986328</c:v>
                </c:pt>
                <c:pt idx="25">
                  <c:v>674337.10233585781</c:v>
                </c:pt>
                <c:pt idx="26">
                  <c:v>832903.52119785245</c:v>
                </c:pt>
                <c:pt idx="27">
                  <c:v>623924.27714384696</c:v>
                </c:pt>
                <c:pt idx="28">
                  <c:v>785233.41057784157</c:v>
                </c:pt>
                <c:pt idx="29">
                  <c:v>880486.13689983613</c:v>
                </c:pt>
                <c:pt idx="30">
                  <c:v>1061455.1969978306</c:v>
                </c:pt>
                <c:pt idx="31">
                  <c:v>1295990.4072718252</c:v>
                </c:pt>
                <c:pt idx="32">
                  <c:v>1183615.5708035713</c:v>
                </c:pt>
                <c:pt idx="33">
                  <c:v>1636289.5964695658</c:v>
                </c:pt>
                <c:pt idx="34">
                  <c:v>2072356.5508635603</c:v>
                </c:pt>
                <c:pt idx="35">
                  <c:v>1976997.923359755</c:v>
                </c:pt>
              </c:numCache>
            </c:numRef>
          </c:val>
          <c:smooth val="0"/>
          <c:extLst>
            <c:ext xmlns:c16="http://schemas.microsoft.com/office/drawing/2014/chart" uri="{C3380CC4-5D6E-409C-BE32-E72D297353CC}">
              <c16:uniqueId val="{00000000-9A35-4347-B092-EF1B233C71B9}"/>
            </c:ext>
          </c:extLst>
        </c:ser>
        <c:dLbls>
          <c:dLblPos val="ctr"/>
          <c:showLegendKey val="0"/>
          <c:showVal val="1"/>
          <c:showCatName val="0"/>
          <c:showSerName val="0"/>
          <c:showPercent val="0"/>
          <c:showBubbleSize val="0"/>
        </c:dLbls>
        <c:smooth val="0"/>
        <c:axId val="-581496432"/>
        <c:axId val="-581493680"/>
      </c:lineChart>
      <c:dateAx>
        <c:axId val="-581496432"/>
        <c:scaling>
          <c:orientation val="minMax"/>
        </c:scaling>
        <c:delete val="0"/>
        <c:axPos val="b"/>
        <c:numFmt formatCode="mmm\-yy"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93680"/>
        <c:crosses val="autoZero"/>
        <c:auto val="1"/>
        <c:lblOffset val="100"/>
        <c:baseTimeUnit val="months"/>
      </c:dateAx>
      <c:valAx>
        <c:axId val="-5814936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_);[Red]\(&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96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65000"/>
        </a:schemeClr>
      </a:solidFill>
      <a:round/>
    </a:ln>
    <a:effectLst/>
  </c:spPr>
  <c:txPr>
    <a:bodyPr/>
    <a:lstStyle/>
    <a:p>
      <a:pPr>
        <a:defRPr/>
      </a:pPr>
      <a:endParaRPr lang="en-US"/>
    </a:p>
  </c:tx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3554594598440687E-2"/>
          <c:y val="7.759724176194345E-2"/>
          <c:w val="0.97514990990285877"/>
          <c:h val="0.88351145753210469"/>
        </c:manualLayout>
      </c:layout>
      <c:barChart>
        <c:barDir val="col"/>
        <c:grouping val="clustered"/>
        <c:varyColors val="0"/>
        <c:ser>
          <c:idx val="0"/>
          <c:order val="0"/>
          <c:tx>
            <c:v>Sales</c:v>
          </c:tx>
          <c:spPr>
            <a:solidFill>
              <a:schemeClr val="tx2">
                <a:lumMod val="60000"/>
                <a:lumOff val="40000"/>
              </a:schemeClr>
            </a:solidFill>
            <a:ln>
              <a:solidFill>
                <a:schemeClr val="tx2">
                  <a:lumMod val="40000"/>
                  <a:lumOff val="60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'Ratio Analysis and Graphs'!$E$8:$G$8</c:f>
              <c:numCache>
                <c:formatCode>0</c:formatCode>
                <c:ptCount val="3"/>
                <c:pt idx="0">
                  <c:v>2024</c:v>
                </c:pt>
                <c:pt idx="1">
                  <c:v>2025</c:v>
                </c:pt>
                <c:pt idx="2">
                  <c:v>2026</c:v>
                </c:pt>
              </c:numCache>
            </c:numRef>
          </c:cat>
          <c:val>
            <c:numRef>
              <c:f>'Ratio Analysis and Graphs'!$E$11:$G$11</c:f>
              <c:numCache>
                <c:formatCode>"£"#,##0_);[Red]\("£"#,##0\)</c:formatCode>
                <c:ptCount val="3"/>
                <c:pt idx="0">
                  <c:v>607224.1</c:v>
                </c:pt>
                <c:pt idx="1">
                  <c:v>2759764.9</c:v>
                </c:pt>
                <c:pt idx="2">
                  <c:v>7553274.6838400001</c:v>
                </c:pt>
              </c:numCache>
            </c:numRef>
          </c:val>
          <c:extLst>
            <c:ext xmlns:c16="http://schemas.microsoft.com/office/drawing/2014/chart" uri="{C3380CC4-5D6E-409C-BE32-E72D297353CC}">
              <c16:uniqueId val="{00000000-DA33-4626-9D6D-134D96B11494}"/>
            </c:ext>
          </c:extLst>
        </c:ser>
        <c:ser>
          <c:idx val="1"/>
          <c:order val="1"/>
          <c:tx>
            <c:v>Net Profit</c:v>
          </c:tx>
          <c:spPr>
            <a:solidFill>
              <a:srgbClr val="FF15DE"/>
            </a:solidFill>
            <a:ln>
              <a:solidFill>
                <a:srgbClr val="FF15DE"/>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'Ratio Analysis and Graphs'!$E$8:$G$8</c:f>
              <c:numCache>
                <c:formatCode>0</c:formatCode>
                <c:ptCount val="3"/>
                <c:pt idx="0">
                  <c:v>2024</c:v>
                </c:pt>
                <c:pt idx="1">
                  <c:v>2025</c:v>
                </c:pt>
                <c:pt idx="2">
                  <c:v>2026</c:v>
                </c:pt>
              </c:numCache>
            </c:numRef>
          </c:cat>
          <c:val>
            <c:numRef>
              <c:f>'Ratio Analysis and Graphs'!$E$35:$G$35</c:f>
              <c:numCache>
                <c:formatCode>"£"#,##0_);[Red]\("£"#,##0\)</c:formatCode>
                <c:ptCount val="3"/>
                <c:pt idx="0">
                  <c:v>-42554.676230409226</c:v>
                </c:pt>
                <c:pt idx="1">
                  <c:v>958593.2384056896</c:v>
                </c:pt>
                <c:pt idx="2">
                  <c:v>3150182.2569893142</c:v>
                </c:pt>
              </c:numCache>
            </c:numRef>
          </c:val>
          <c:extLst>
            <c:ext xmlns:c16="http://schemas.microsoft.com/office/drawing/2014/chart" uri="{C3380CC4-5D6E-409C-BE32-E72D297353CC}">
              <c16:uniqueId val="{00000001-DA33-4626-9D6D-134D96B11494}"/>
            </c:ext>
          </c:extLst>
        </c:ser>
        <c:dLbls>
          <c:showLegendKey val="0"/>
          <c:showVal val="1"/>
          <c:showCatName val="0"/>
          <c:showSerName val="0"/>
          <c:showPercent val="0"/>
          <c:showBubbleSize val="0"/>
        </c:dLbls>
        <c:gapWidth val="150"/>
        <c:overlap val="-25"/>
        <c:axId val="-581558880"/>
        <c:axId val="-581556560"/>
      </c:barChart>
      <c:catAx>
        <c:axId val="-581558880"/>
        <c:scaling>
          <c:orientation val="minMax"/>
        </c:scaling>
        <c:delete val="0"/>
        <c:axPos val="b"/>
        <c:numFmt formatCode="0"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crossAx val="-581556560"/>
        <c:crosses val="autoZero"/>
        <c:auto val="1"/>
        <c:lblAlgn val="ctr"/>
        <c:lblOffset val="100"/>
        <c:noMultiLvlLbl val="0"/>
      </c:catAx>
      <c:valAx>
        <c:axId val="-581556560"/>
        <c:scaling>
          <c:orientation val="minMax"/>
        </c:scaling>
        <c:delete val="1"/>
        <c:axPos val="l"/>
        <c:numFmt formatCode="&quot;£&quot;#,##0_);[Red]\(&quot;£&quot;#,##0\)" sourceLinked="1"/>
        <c:majorTickMark val="none"/>
        <c:minorTickMark val="none"/>
        <c:tickLblPos val="nextTo"/>
        <c:crossAx val="-581558880"/>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65000"/>
        </a:schemeClr>
      </a:solidFill>
      <a:round/>
    </a:ln>
    <a:effectLst/>
  </c:spPr>
  <c:txPr>
    <a:bodyPr/>
    <a:lstStyle/>
    <a:p>
      <a:pPr>
        <a:defRPr/>
      </a:pPr>
      <a:endParaRPr lang="en-US"/>
    </a:p>
  </c:tx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1">
                    <a:lumMod val="65000"/>
                    <a:lumOff val="35000"/>
                  </a:schemeClr>
                </a:solidFill>
                <a:latin typeface="+mn-lt"/>
                <a:ea typeface="+mn-ea"/>
                <a:cs typeface="+mn-cs"/>
              </a:defRPr>
            </a:pPr>
            <a:r>
              <a:rPr lang="en-US"/>
              <a:t>Monthly Sales &amp; Net Profit Forecast</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Sales</c:v>
          </c:tx>
          <c:spPr>
            <a:ln w="34925" cap="rnd">
              <a:solidFill>
                <a:srgbClr val="2222FE"/>
              </a:solidFill>
              <a:round/>
            </a:ln>
            <a:effectLst>
              <a:outerShdw blurRad="40000" dist="23000" dir="5400000" rotWithShape="0">
                <a:srgbClr val="000000">
                  <a:alpha val="35000"/>
                </a:srgbClr>
              </a:outerShdw>
            </a:effectLst>
          </c:spPr>
          <c:marker>
            <c:symbol val="none"/>
          </c:marker>
          <c:cat>
            <c:numRef>
              <c:f>'Profit &amp; Loss Ecommerce'!$D$91:$AM$91</c:f>
              <c:numCache>
                <c:formatCode>mmm\-yy</c:formatCode>
                <c:ptCount val="36"/>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c:v>45778</c:v>
                </c:pt>
                <c:pt idx="17">
                  <c:v>45809</c:v>
                </c:pt>
                <c:pt idx="18">
                  <c:v>45839</c:v>
                </c:pt>
                <c:pt idx="19">
                  <c:v>45870</c:v>
                </c:pt>
                <c:pt idx="20">
                  <c:v>45901</c:v>
                </c:pt>
                <c:pt idx="21">
                  <c:v>45931</c:v>
                </c:pt>
                <c:pt idx="22">
                  <c:v>45962</c:v>
                </c:pt>
                <c:pt idx="23">
                  <c:v>45992</c:v>
                </c:pt>
                <c:pt idx="24">
                  <c:v>46023</c:v>
                </c:pt>
                <c:pt idx="25">
                  <c:v>46054</c:v>
                </c:pt>
                <c:pt idx="26">
                  <c:v>46082</c:v>
                </c:pt>
                <c:pt idx="27">
                  <c:v>46113</c:v>
                </c:pt>
                <c:pt idx="28">
                  <c:v>46143</c:v>
                </c:pt>
                <c:pt idx="29">
                  <c:v>46174</c:v>
                </c:pt>
                <c:pt idx="30">
                  <c:v>46204</c:v>
                </c:pt>
                <c:pt idx="31">
                  <c:v>46235</c:v>
                </c:pt>
                <c:pt idx="32">
                  <c:v>46266</c:v>
                </c:pt>
                <c:pt idx="33">
                  <c:v>46296</c:v>
                </c:pt>
                <c:pt idx="34">
                  <c:v>46327</c:v>
                </c:pt>
                <c:pt idx="35">
                  <c:v>46357</c:v>
                </c:pt>
              </c:numCache>
            </c:numRef>
          </c:cat>
          <c:val>
            <c:numRef>
              <c:f>'Profit &amp; Loss Ecommerce'!$D$95:$AM$95</c:f>
              <c:numCache>
                <c:formatCode>"£"#,##0_);[Red]\("£"#,##0\)</c:formatCode>
                <c:ptCount val="36"/>
                <c:pt idx="0">
                  <c:v>25772</c:v>
                </c:pt>
                <c:pt idx="1">
                  <c:v>29558</c:v>
                </c:pt>
                <c:pt idx="2">
                  <c:v>36270</c:v>
                </c:pt>
                <c:pt idx="3">
                  <c:v>38164</c:v>
                </c:pt>
                <c:pt idx="4">
                  <c:v>44750</c:v>
                </c:pt>
                <c:pt idx="5">
                  <c:v>49478</c:v>
                </c:pt>
                <c:pt idx="6">
                  <c:v>55242</c:v>
                </c:pt>
                <c:pt idx="7">
                  <c:v>56729.5</c:v>
                </c:pt>
                <c:pt idx="8">
                  <c:v>59838</c:v>
                </c:pt>
                <c:pt idx="9">
                  <c:v>64550</c:v>
                </c:pt>
                <c:pt idx="10">
                  <c:v>70110.600000000006</c:v>
                </c:pt>
                <c:pt idx="11">
                  <c:v>76762</c:v>
                </c:pt>
                <c:pt idx="12">
                  <c:v>103556.8</c:v>
                </c:pt>
                <c:pt idx="13">
                  <c:v>130173.9</c:v>
                </c:pt>
                <c:pt idx="14">
                  <c:v>166319</c:v>
                </c:pt>
                <c:pt idx="15">
                  <c:v>198640.1</c:v>
                </c:pt>
                <c:pt idx="16">
                  <c:v>214395.2</c:v>
                </c:pt>
                <c:pt idx="17">
                  <c:v>231713.3</c:v>
                </c:pt>
                <c:pt idx="18">
                  <c:v>248305.4</c:v>
                </c:pt>
                <c:pt idx="19">
                  <c:v>249238.39999999999</c:v>
                </c:pt>
                <c:pt idx="20">
                  <c:v>277291.40000000002</c:v>
                </c:pt>
                <c:pt idx="21">
                  <c:v>298631.5</c:v>
                </c:pt>
                <c:pt idx="22">
                  <c:v>321593.59999999998</c:v>
                </c:pt>
                <c:pt idx="23">
                  <c:v>319906.3</c:v>
                </c:pt>
                <c:pt idx="24">
                  <c:v>337213.26</c:v>
                </c:pt>
                <c:pt idx="25">
                  <c:v>368293.31200000003</c:v>
                </c:pt>
                <c:pt idx="26">
                  <c:v>422788.94799999997</c:v>
                </c:pt>
                <c:pt idx="27">
                  <c:v>435227.08600000001</c:v>
                </c:pt>
                <c:pt idx="28">
                  <c:v>475759.90800000005</c:v>
                </c:pt>
                <c:pt idx="29">
                  <c:v>543655.65399999998</c:v>
                </c:pt>
                <c:pt idx="30">
                  <c:v>599274.92599999998</c:v>
                </c:pt>
                <c:pt idx="31">
                  <c:v>615180.66889999993</c:v>
                </c:pt>
                <c:pt idx="32">
                  <c:v>607078.54599999997</c:v>
                </c:pt>
                <c:pt idx="33">
                  <c:v>659571.424</c:v>
                </c:pt>
                <c:pt idx="34">
                  <c:v>694427.16368</c:v>
                </c:pt>
                <c:pt idx="35">
                  <c:v>730650.94219999993</c:v>
                </c:pt>
              </c:numCache>
            </c:numRef>
          </c:val>
          <c:smooth val="0"/>
          <c:extLst>
            <c:ext xmlns:c16="http://schemas.microsoft.com/office/drawing/2014/chart" uri="{C3380CC4-5D6E-409C-BE32-E72D297353CC}">
              <c16:uniqueId val="{00000000-6F96-48F5-A933-29065D311AEB}"/>
            </c:ext>
          </c:extLst>
        </c:ser>
        <c:ser>
          <c:idx val="1"/>
          <c:order val="1"/>
          <c:tx>
            <c:v>Net Profit</c:v>
          </c:tx>
          <c:spPr>
            <a:ln w="34925" cap="rnd">
              <a:solidFill>
                <a:srgbClr val="FF15DE"/>
              </a:solidFill>
              <a:round/>
            </a:ln>
            <a:effectLst>
              <a:outerShdw blurRad="40000" dist="23000" dir="5400000" rotWithShape="0">
                <a:srgbClr val="000000">
                  <a:alpha val="35000"/>
                </a:srgbClr>
              </a:outerShdw>
            </a:effectLst>
          </c:spPr>
          <c:marker>
            <c:symbol val="none"/>
          </c:marker>
          <c:cat>
            <c:numRef>
              <c:f>'Profit &amp; Loss Ecommerce'!$D$91:$AM$91</c:f>
              <c:numCache>
                <c:formatCode>mmm\-yy</c:formatCode>
                <c:ptCount val="36"/>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c:v>45778</c:v>
                </c:pt>
                <c:pt idx="17">
                  <c:v>45809</c:v>
                </c:pt>
                <c:pt idx="18">
                  <c:v>45839</c:v>
                </c:pt>
                <c:pt idx="19">
                  <c:v>45870</c:v>
                </c:pt>
                <c:pt idx="20">
                  <c:v>45901</c:v>
                </c:pt>
                <c:pt idx="21">
                  <c:v>45931</c:v>
                </c:pt>
                <c:pt idx="22">
                  <c:v>45962</c:v>
                </c:pt>
                <c:pt idx="23">
                  <c:v>45992</c:v>
                </c:pt>
                <c:pt idx="24">
                  <c:v>46023</c:v>
                </c:pt>
                <c:pt idx="25">
                  <c:v>46054</c:v>
                </c:pt>
                <c:pt idx="26">
                  <c:v>46082</c:v>
                </c:pt>
                <c:pt idx="27">
                  <c:v>46113</c:v>
                </c:pt>
                <c:pt idx="28">
                  <c:v>46143</c:v>
                </c:pt>
                <c:pt idx="29">
                  <c:v>46174</c:v>
                </c:pt>
                <c:pt idx="30">
                  <c:v>46204</c:v>
                </c:pt>
                <c:pt idx="31">
                  <c:v>46235</c:v>
                </c:pt>
                <c:pt idx="32">
                  <c:v>46266</c:v>
                </c:pt>
                <c:pt idx="33">
                  <c:v>46296</c:v>
                </c:pt>
                <c:pt idx="34">
                  <c:v>46327</c:v>
                </c:pt>
                <c:pt idx="35">
                  <c:v>46357</c:v>
                </c:pt>
              </c:numCache>
            </c:numRef>
          </c:cat>
          <c:val>
            <c:numRef>
              <c:f>'Profit &amp; Loss Ecommerce'!$D$116:$AM$116</c:f>
              <c:numCache>
                <c:formatCode>"£"#,##0_);[Red]\("£"#,##0\)</c:formatCode>
                <c:ptCount val="36"/>
                <c:pt idx="0">
                  <c:v>-17394.928571428569</c:v>
                </c:pt>
                <c:pt idx="1">
                  <c:v>-15460.294056892435</c:v>
                </c:pt>
                <c:pt idx="2">
                  <c:v>-11973.331898545737</c:v>
                </c:pt>
                <c:pt idx="3">
                  <c:v>-10260.241564539254</c:v>
                </c:pt>
                <c:pt idx="4">
                  <c:v>-6725.6225208077503</c:v>
                </c:pt>
                <c:pt idx="5">
                  <c:v>-3864.3742310606972</c:v>
                </c:pt>
                <c:pt idx="6">
                  <c:v>-368.19615677302909</c:v>
                </c:pt>
                <c:pt idx="7">
                  <c:v>-400.97275717582829</c:v>
                </c:pt>
                <c:pt idx="8">
                  <c:v>1408.2515107530232</c:v>
                </c:pt>
                <c:pt idx="9">
                  <c:v>4516.3221922982411</c:v>
                </c:pt>
                <c:pt idx="10">
                  <c:v>7236.7568350165748</c:v>
                </c:pt>
                <c:pt idx="11">
                  <c:v>10731.954988746231</c:v>
                </c:pt>
                <c:pt idx="12">
                  <c:v>18432.960491330698</c:v>
                </c:pt>
                <c:pt idx="13">
                  <c:v>30258.01532577119</c:v>
                </c:pt>
                <c:pt idx="14">
                  <c:v>45920.075334521847</c:v>
                </c:pt>
                <c:pt idx="15">
                  <c:v>60372.6410766423</c:v>
                </c:pt>
                <c:pt idx="16">
                  <c:v>68879.170113521584</c:v>
                </c:pt>
                <c:pt idx="17">
                  <c:v>78478.810008887885</c:v>
                </c:pt>
                <c:pt idx="18">
                  <c:v>88278.82832881817</c:v>
                </c:pt>
                <c:pt idx="19">
                  <c:v>86139.551941748199</c:v>
                </c:pt>
                <c:pt idx="20">
                  <c:v>103978.4165184821</c:v>
                </c:pt>
                <c:pt idx="21">
                  <c:v>116794.65953220238</c:v>
                </c:pt>
                <c:pt idx="22">
                  <c:v>130962.15425847983</c:v>
                </c:pt>
                <c:pt idx="23">
                  <c:v>130097.95547528347</c:v>
                </c:pt>
                <c:pt idx="24">
                  <c:v>116042.99269346659</c:v>
                </c:pt>
                <c:pt idx="25">
                  <c:v>134949.18937487234</c:v>
                </c:pt>
                <c:pt idx="26">
                  <c:v>171505.07231520055</c:v>
                </c:pt>
                <c:pt idx="27">
                  <c:v>177185.88976211354</c:v>
                </c:pt>
                <c:pt idx="28">
                  <c:v>203653.67504572196</c:v>
                </c:pt>
                <c:pt idx="29">
                  <c:v>250810.10103859543</c:v>
                </c:pt>
                <c:pt idx="30">
                  <c:v>288059.96975577256</c:v>
                </c:pt>
                <c:pt idx="31">
                  <c:v>298790.53244777123</c:v>
                </c:pt>
                <c:pt idx="32">
                  <c:v>290119.49639559904</c:v>
                </c:pt>
                <c:pt idx="33">
                  <c:v>327491.32678076369</c:v>
                </c:pt>
                <c:pt idx="34">
                  <c:v>351147.64373288315</c:v>
                </c:pt>
                <c:pt idx="35">
                  <c:v>373269.60544369649</c:v>
                </c:pt>
              </c:numCache>
            </c:numRef>
          </c:val>
          <c:smooth val="0"/>
          <c:extLst>
            <c:ext xmlns:c16="http://schemas.microsoft.com/office/drawing/2014/chart" uri="{C3380CC4-5D6E-409C-BE32-E72D297353CC}">
              <c16:uniqueId val="{00000001-6F96-48F5-A933-29065D311AEB}"/>
            </c:ext>
          </c:extLst>
        </c:ser>
        <c:dLbls>
          <c:showLegendKey val="0"/>
          <c:showVal val="0"/>
          <c:showCatName val="0"/>
          <c:showSerName val="0"/>
          <c:showPercent val="0"/>
          <c:showBubbleSize val="0"/>
        </c:dLbls>
        <c:smooth val="0"/>
        <c:axId val="-581525072"/>
        <c:axId val="-581522320"/>
      </c:lineChart>
      <c:dateAx>
        <c:axId val="-581525072"/>
        <c:scaling>
          <c:orientation val="minMax"/>
        </c:scaling>
        <c:delete val="0"/>
        <c:axPos val="b"/>
        <c:numFmt formatCode="mmm\-yy"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581522320"/>
        <c:crosses val="autoZero"/>
        <c:auto val="1"/>
        <c:lblOffset val="100"/>
        <c:baseTimeUnit val="months"/>
      </c:dateAx>
      <c:valAx>
        <c:axId val="-5815223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58152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65000"/>
        </a:schemeClr>
      </a:solidFill>
      <a:round/>
    </a:ln>
    <a:effectLst/>
  </c:spPr>
  <c:txPr>
    <a:bodyPr/>
    <a:lstStyle/>
    <a:p>
      <a:pPr>
        <a:defRPr sz="1200" b="1">
          <a:latin typeface="+mn-lt"/>
        </a:defRPr>
      </a:pPr>
      <a:endParaRPr lang="en-US"/>
    </a:p>
  </c:tx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2534725905855632"/>
          <c:y val="0.14779198418884376"/>
          <c:w val="0.59402172376402507"/>
          <c:h val="0.69598414143169496"/>
        </c:manualLayout>
      </c:layout>
      <c:barChart>
        <c:barDir val="col"/>
        <c:grouping val="clustered"/>
        <c:varyColors val="0"/>
        <c:ser>
          <c:idx val="0"/>
          <c:order val="0"/>
          <c:tx>
            <c:strRef>
              <c:f>'Ratio Analysis and Graphs'!$C$45</c:f>
              <c:strCache>
                <c:ptCount val="1"/>
                <c:pt idx="0">
                  <c:v>Operations</c:v>
                </c:pt>
              </c:strCache>
            </c:strRef>
          </c:tx>
          <c:spPr>
            <a:solidFill>
              <a:schemeClr val="accent1"/>
            </a:solidFill>
            <a:ln>
              <a:noFill/>
            </a:ln>
            <a:effectLst/>
          </c:spPr>
          <c:invertIfNegative val="0"/>
          <c:cat>
            <c:numRef>
              <c:f>'Ratio Analysis and Graphs'!$E$43:$G$43</c:f>
              <c:numCache>
                <c:formatCode>0</c:formatCode>
                <c:ptCount val="3"/>
                <c:pt idx="0">
                  <c:v>2024</c:v>
                </c:pt>
                <c:pt idx="1">
                  <c:v>2025</c:v>
                </c:pt>
                <c:pt idx="2">
                  <c:v>2026</c:v>
                </c:pt>
              </c:numCache>
            </c:numRef>
          </c:cat>
          <c:val>
            <c:numRef>
              <c:f>'Ratio Analysis and Graphs'!$E$45:$G$45</c:f>
              <c:numCache>
                <c:formatCode>"£"#,##0_);[Red]\("£"#,##0\)</c:formatCode>
                <c:ptCount val="3"/>
                <c:pt idx="0">
                  <c:v>-162331.6473732664</c:v>
                </c:pt>
                <c:pt idx="1">
                  <c:v>586124.81559426116</c:v>
                </c:pt>
                <c:pt idx="2">
                  <c:v>1762926.2640136653</c:v>
                </c:pt>
              </c:numCache>
            </c:numRef>
          </c:val>
          <c:extLst>
            <c:ext xmlns:c16="http://schemas.microsoft.com/office/drawing/2014/chart" uri="{C3380CC4-5D6E-409C-BE32-E72D297353CC}">
              <c16:uniqueId val="{00000001-0EB1-4617-8ED2-E2CBA446B1BD}"/>
            </c:ext>
          </c:extLst>
        </c:ser>
        <c:ser>
          <c:idx val="1"/>
          <c:order val="1"/>
          <c:tx>
            <c:strRef>
              <c:f>'Ratio Analysis and Graphs'!$C$46</c:f>
              <c:strCache>
                <c:ptCount val="1"/>
                <c:pt idx="0">
                  <c:v>Investments</c:v>
                </c:pt>
              </c:strCache>
            </c:strRef>
          </c:tx>
          <c:spPr>
            <a:solidFill>
              <a:schemeClr val="accent2"/>
            </a:solidFill>
            <a:ln>
              <a:noFill/>
            </a:ln>
            <a:effectLst/>
          </c:spPr>
          <c:invertIfNegative val="0"/>
          <c:val>
            <c:numRef>
              <c:f>'Ratio Analysis and Graphs'!$E$46:$G$46</c:f>
              <c:numCache>
                <c:formatCode>"£"#,##0_);[Red]\("£"#,##0\)</c:formatCode>
                <c:ptCount val="3"/>
                <c:pt idx="0">
                  <c:v>-49800</c:v>
                </c:pt>
                <c:pt idx="1">
                  <c:v>-97636</c:v>
                </c:pt>
                <c:pt idx="2">
                  <c:v>-455360</c:v>
                </c:pt>
              </c:numCache>
            </c:numRef>
          </c:val>
          <c:extLst>
            <c:ext xmlns:c16="http://schemas.microsoft.com/office/drawing/2014/chart" uri="{C3380CC4-5D6E-409C-BE32-E72D297353CC}">
              <c16:uniqueId val="{00000002-0EB1-4617-8ED2-E2CBA446B1BD}"/>
            </c:ext>
          </c:extLst>
        </c:ser>
        <c:ser>
          <c:idx val="2"/>
          <c:order val="2"/>
          <c:tx>
            <c:strRef>
              <c:f>'Ratio Analysis and Graphs'!$C$47</c:f>
              <c:strCache>
                <c:ptCount val="1"/>
                <c:pt idx="0">
                  <c:v>Financing</c:v>
                </c:pt>
              </c:strCache>
            </c:strRef>
          </c:tx>
          <c:spPr>
            <a:solidFill>
              <a:schemeClr val="accent3"/>
            </a:solidFill>
            <a:ln>
              <a:noFill/>
            </a:ln>
            <a:effectLst/>
          </c:spPr>
          <c:invertIfNegative val="0"/>
          <c:val>
            <c:numLit>
              <c:formatCode>General</c:formatCode>
              <c:ptCount val="1"/>
              <c:pt idx="0">
                <c:v>1</c:v>
              </c:pt>
            </c:numLit>
          </c:val>
          <c:extLst>
            <c:ext xmlns:c16="http://schemas.microsoft.com/office/drawing/2014/chart" uri="{C3380CC4-5D6E-409C-BE32-E72D297353CC}">
              <c16:uniqueId val="{00000003-0EB1-4617-8ED2-E2CBA446B1BD}"/>
            </c:ext>
          </c:extLst>
        </c:ser>
        <c:ser>
          <c:idx val="3"/>
          <c:order val="3"/>
          <c:tx>
            <c:strRef>
              <c:f>'Ratio Analysis and Graphs'!$C$47</c:f>
              <c:strCache>
                <c:ptCount val="1"/>
                <c:pt idx="0">
                  <c:v>Financing</c:v>
                </c:pt>
              </c:strCache>
            </c:strRef>
          </c:tx>
          <c:spPr>
            <a:solidFill>
              <a:schemeClr val="accent4"/>
            </a:solidFill>
            <a:ln>
              <a:noFill/>
            </a:ln>
            <a:effectLst/>
          </c:spPr>
          <c:invertIfNegative val="0"/>
          <c:val>
            <c:numRef>
              <c:f>'Ratio Analysis and Graphs'!$E$47:$G$47</c:f>
              <c:numCache>
                <c:formatCode>"£"#,##0_);[Red]\("£"#,##0\)</c:formatCode>
                <c:ptCount val="3"/>
                <c:pt idx="0">
                  <c:v>644722.37350920076</c:v>
                </c:pt>
                <c:pt idx="1">
                  <c:v>-115896.40119832674</c:v>
                </c:pt>
                <c:pt idx="2">
                  <c:v>-135751.4811857795</c:v>
                </c:pt>
              </c:numCache>
            </c:numRef>
          </c:val>
          <c:extLst>
            <c:ext xmlns:c16="http://schemas.microsoft.com/office/drawing/2014/chart" uri="{C3380CC4-5D6E-409C-BE32-E72D297353CC}">
              <c16:uniqueId val="{00000004-0EB1-4617-8ED2-E2CBA446B1BD}"/>
            </c:ext>
          </c:extLst>
        </c:ser>
        <c:dLbls>
          <c:showLegendKey val="0"/>
          <c:showVal val="0"/>
          <c:showCatName val="0"/>
          <c:showSerName val="0"/>
          <c:showPercent val="0"/>
          <c:showBubbleSize val="0"/>
        </c:dLbls>
        <c:gapWidth val="219"/>
        <c:axId val="817112288"/>
        <c:axId val="861541055"/>
      </c:barChart>
      <c:lineChart>
        <c:grouping val="standard"/>
        <c:varyColors val="0"/>
        <c:ser>
          <c:idx val="4"/>
          <c:order val="4"/>
          <c:tx>
            <c:strRef>
              <c:f>'Ratio Analysis and Graphs'!$C$48</c:f>
              <c:strCache>
                <c:ptCount val="1"/>
                <c:pt idx="0">
                  <c:v>Net Cash Flow</c:v>
                </c:pt>
              </c:strCache>
            </c:strRef>
          </c:tx>
          <c:spPr>
            <a:ln w="28575" cap="rnd">
              <a:solidFill>
                <a:schemeClr val="accent5"/>
              </a:solidFill>
              <a:round/>
            </a:ln>
            <a:effectLst/>
          </c:spPr>
          <c:marker>
            <c:symbol val="none"/>
          </c:marker>
          <c:val>
            <c:numRef>
              <c:f>'Ratio Analysis and Graphs'!$E$48:$G$48</c:f>
              <c:numCache>
                <c:formatCode>"£"#,##0_);[Red]\("£"#,##0\)</c:formatCode>
                <c:ptCount val="3"/>
                <c:pt idx="0">
                  <c:v>432590.72613593435</c:v>
                </c:pt>
                <c:pt idx="1">
                  <c:v>372592.41439593444</c:v>
                </c:pt>
                <c:pt idx="2">
                  <c:v>1171814.7828278858</c:v>
                </c:pt>
              </c:numCache>
            </c:numRef>
          </c:val>
          <c:smooth val="0"/>
          <c:extLst>
            <c:ext xmlns:c16="http://schemas.microsoft.com/office/drawing/2014/chart" uri="{C3380CC4-5D6E-409C-BE32-E72D297353CC}">
              <c16:uniqueId val="{00000005-0EB1-4617-8ED2-E2CBA446B1BD}"/>
            </c:ext>
          </c:extLst>
        </c:ser>
        <c:dLbls>
          <c:showLegendKey val="0"/>
          <c:showVal val="0"/>
          <c:showCatName val="0"/>
          <c:showSerName val="0"/>
          <c:showPercent val="0"/>
          <c:showBubbleSize val="0"/>
        </c:dLbls>
        <c:marker val="1"/>
        <c:smooth val="0"/>
        <c:axId val="824412000"/>
        <c:axId val="792760655"/>
      </c:lineChart>
      <c:dateAx>
        <c:axId val="817112288"/>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b"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861541055"/>
        <c:crosses val="autoZero"/>
        <c:auto val="0"/>
        <c:lblOffset val="100"/>
        <c:baseTimeUnit val="days"/>
      </c:dateAx>
      <c:valAx>
        <c:axId val="861541055"/>
        <c:scaling>
          <c:orientation val="minMax"/>
          <c:min val="-5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GB"/>
                  <a:t>Cash flow</a:t>
                </a:r>
                <a:r>
                  <a:rPr lang="en-GB" baseline="0"/>
                  <a:t>s </a:t>
                </a:r>
                <a:endParaRPr lang="en-GB"/>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817112288"/>
        <c:crosses val="autoZero"/>
        <c:crossBetween val="between"/>
      </c:valAx>
      <c:valAx>
        <c:axId val="792760655"/>
        <c:scaling>
          <c:orientation val="minMax"/>
        </c:scaling>
        <c:delete val="0"/>
        <c:axPos val="r"/>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a:t>Net  cash</a:t>
                </a:r>
                <a:r>
                  <a:rPr lang="en-US" baseline="0"/>
                  <a:t> flow</a:t>
                </a:r>
                <a:endParaRPr lang="en-US"/>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824412000"/>
        <c:crosses val="max"/>
        <c:crossBetween val="between"/>
      </c:valAx>
      <c:catAx>
        <c:axId val="824412000"/>
        <c:scaling>
          <c:orientation val="minMax"/>
        </c:scaling>
        <c:delete val="1"/>
        <c:axPos val="b"/>
        <c:majorTickMark val="out"/>
        <c:minorTickMark val="none"/>
        <c:tickLblPos val="nextTo"/>
        <c:crossAx val="792760655"/>
        <c:crosses val="autoZero"/>
        <c:auto val="1"/>
        <c:lblAlgn val="ctr"/>
        <c:lblOffset val="100"/>
        <c:noMultiLvlLbl val="0"/>
      </c:catAx>
      <c:spPr>
        <a:noFill/>
        <a:ln>
          <a:noFill/>
        </a:ln>
        <a:effectLst/>
      </c:spPr>
    </c:plotArea>
    <c:legend>
      <c:legendPos val="t"/>
      <c:legendEntry>
        <c:idx val="2"/>
        <c:delete val="1"/>
      </c:legendEntry>
      <c:layout>
        <c:manualLayout>
          <c:xMode val="edge"/>
          <c:yMode val="edge"/>
          <c:x val="0.16304115590509502"/>
          <c:y val="2.192630765583025E-2"/>
          <c:w val="0.68030014566856478"/>
          <c:h val="5.058199417875487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n-GB"/>
              <a:t>Funding Expenditure</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'Ratio Analysis and Graphs'!$H$213</c:f>
              <c:strCache>
                <c:ptCount val="1"/>
                <c:pt idx="0">
                  <c:v>Cost</c:v>
                </c:pt>
              </c:strCache>
            </c:strRef>
          </c:tx>
          <c:dPt>
            <c:idx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3-D9F1-41B8-9C6B-53274FD9D96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1-D9F1-41B8-9C6B-53274FD9D969}"/>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4-D9F1-41B8-9C6B-53274FD9D969}"/>
              </c:ext>
            </c:extLst>
          </c:dPt>
          <c:dPt>
            <c:idx val="3"/>
            <c:bubble3D val="0"/>
            <c:spPr>
              <a:solidFill>
                <a:srgbClr val="FF15DE"/>
              </a:solidFill>
              <a:ln w="19050">
                <a:solidFill>
                  <a:schemeClr val="lt1"/>
                </a:solidFill>
              </a:ln>
              <a:effectLst/>
            </c:spPr>
            <c:extLst>
              <c:ext xmlns:c16="http://schemas.microsoft.com/office/drawing/2014/chart" uri="{C3380CC4-5D6E-409C-BE32-E72D297353CC}">
                <c16:uniqueId val="{00000002-D9F1-41B8-9C6B-53274FD9D969}"/>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'Ratio Analysis and Graphs'!$G$214:$G$217</c:f>
              <c:strCache>
                <c:ptCount val="4"/>
                <c:pt idx="0">
                  <c:v>Marketing</c:v>
                </c:pt>
                <c:pt idx="1">
                  <c:v>Research and Developments</c:v>
                </c:pt>
                <c:pt idx="2">
                  <c:v>New Staff</c:v>
                </c:pt>
                <c:pt idx="3">
                  <c:v>More Acquisitions </c:v>
                </c:pt>
              </c:strCache>
            </c:strRef>
          </c:cat>
          <c:val>
            <c:numRef>
              <c:f>'Ratio Analysis and Graphs'!$H$214:$H$217</c:f>
              <c:numCache>
                <c:formatCode>"£"#,##0_);[Red]\("£"#,##0\)</c:formatCode>
                <c:ptCount val="4"/>
                <c:pt idx="0">
                  <c:v>135000</c:v>
                </c:pt>
                <c:pt idx="1">
                  <c:v>90000</c:v>
                </c:pt>
                <c:pt idx="2">
                  <c:v>45000</c:v>
                </c:pt>
                <c:pt idx="3">
                  <c:v>180000</c:v>
                </c:pt>
              </c:numCache>
            </c:numRef>
          </c:val>
          <c:extLst>
            <c:ext xmlns:c16="http://schemas.microsoft.com/office/drawing/2014/chart" uri="{C3380CC4-5D6E-409C-BE32-E72D297353CC}">
              <c16:uniqueId val="{00000000-D9F1-41B8-9C6B-53274FD9D96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Annual Sales &amp; Net Profit Forecast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1114209836197"/>
          <c:y val="0.182728549432947"/>
          <c:w val="0.89888579016380299"/>
          <c:h val="0.77001967589629605"/>
        </c:manualLayout>
      </c:layout>
      <c:barChart>
        <c:barDir val="col"/>
        <c:grouping val="clustered"/>
        <c:varyColors val="0"/>
        <c:ser>
          <c:idx val="0"/>
          <c:order val="0"/>
          <c:tx>
            <c:v>Sales</c:v>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'Ratio Analysis and Graphs'!$E$8:$G$8</c:f>
              <c:numCache>
                <c:formatCode>0</c:formatCode>
                <c:ptCount val="3"/>
                <c:pt idx="0">
                  <c:v>2024</c:v>
                </c:pt>
                <c:pt idx="1">
                  <c:v>2025</c:v>
                </c:pt>
                <c:pt idx="2">
                  <c:v>2026</c:v>
                </c:pt>
              </c:numCache>
            </c:numRef>
          </c:cat>
          <c:val>
            <c:numRef>
              <c:f>'Ratio Analysis and Graphs'!$E$11:$G$11</c:f>
              <c:numCache>
                <c:formatCode>"£"#,##0_);[Red]\("£"#,##0\)</c:formatCode>
                <c:ptCount val="3"/>
                <c:pt idx="0">
                  <c:v>607224.1</c:v>
                </c:pt>
                <c:pt idx="1">
                  <c:v>2759764.9</c:v>
                </c:pt>
                <c:pt idx="2">
                  <c:v>7553274.6838400001</c:v>
                </c:pt>
              </c:numCache>
            </c:numRef>
          </c:val>
          <c:extLst>
            <c:ext xmlns:c16="http://schemas.microsoft.com/office/drawing/2014/chart" uri="{C3380CC4-5D6E-409C-BE32-E72D297353CC}">
              <c16:uniqueId val="{00000000-2B38-1E40-9275-4E15DBE0C214}"/>
            </c:ext>
          </c:extLst>
        </c:ser>
        <c:ser>
          <c:idx val="1"/>
          <c:order val="1"/>
          <c:tx>
            <c:v>Net Profit</c:v>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numRef>
              <c:f>'Ratio Analysis and Graphs'!$E$8:$G$8</c:f>
              <c:numCache>
                <c:formatCode>0</c:formatCode>
                <c:ptCount val="3"/>
                <c:pt idx="0">
                  <c:v>2024</c:v>
                </c:pt>
                <c:pt idx="1">
                  <c:v>2025</c:v>
                </c:pt>
                <c:pt idx="2">
                  <c:v>2026</c:v>
                </c:pt>
              </c:numCache>
            </c:numRef>
          </c:cat>
          <c:val>
            <c:numRef>
              <c:f>'Ratio Analysis and Graphs'!$E$35:$G$35</c:f>
              <c:numCache>
                <c:formatCode>"£"#,##0_);[Red]\("£"#,##0\)</c:formatCode>
                <c:ptCount val="3"/>
                <c:pt idx="0">
                  <c:v>-42554.676230409226</c:v>
                </c:pt>
                <c:pt idx="1">
                  <c:v>958593.2384056896</c:v>
                </c:pt>
                <c:pt idx="2">
                  <c:v>3150182.2569893142</c:v>
                </c:pt>
              </c:numCache>
            </c:numRef>
          </c:val>
          <c:extLst>
            <c:ext xmlns:c16="http://schemas.microsoft.com/office/drawing/2014/chart" uri="{C3380CC4-5D6E-409C-BE32-E72D297353CC}">
              <c16:uniqueId val="{00000001-2B38-1E40-9275-4E15DBE0C214}"/>
            </c:ext>
          </c:extLst>
        </c:ser>
        <c:dLbls>
          <c:showLegendKey val="0"/>
          <c:showVal val="0"/>
          <c:showCatName val="0"/>
          <c:showSerName val="0"/>
          <c:showPercent val="0"/>
          <c:showBubbleSize val="0"/>
        </c:dLbls>
        <c:gapWidth val="100"/>
        <c:overlap val="-24"/>
        <c:axId val="-581558880"/>
        <c:axId val="-581556560"/>
      </c:barChart>
      <c:catAx>
        <c:axId val="-581558880"/>
        <c:scaling>
          <c:orientation val="minMax"/>
        </c:scaling>
        <c:delete val="0"/>
        <c:axPos val="b"/>
        <c:numFmt formatCode="0"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56560"/>
        <c:crosses val="autoZero"/>
        <c:auto val="1"/>
        <c:lblAlgn val="ctr"/>
        <c:lblOffset val="100"/>
        <c:noMultiLvlLbl val="0"/>
      </c:catAx>
      <c:valAx>
        <c:axId val="-5815565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58880"/>
        <c:crosses val="autoZero"/>
        <c:crossBetween val="between"/>
      </c:valAx>
      <c:spPr>
        <a:noFill/>
        <a:ln>
          <a:noFill/>
        </a:ln>
        <a:effectLst/>
      </c:spPr>
    </c:plotArea>
    <c:legend>
      <c:legendPos val="b"/>
      <c:legendEntry>
        <c:idx val="0"/>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65000"/>
        </a:schemeClr>
      </a:solidFill>
      <a:round/>
    </a:ln>
    <a:effectLst/>
  </c:spPr>
  <c:txPr>
    <a:bodyPr/>
    <a:lstStyle/>
    <a:p>
      <a:pPr>
        <a:defRPr/>
      </a:pPr>
      <a:endParaRPr lang="en-US"/>
    </a:p>
  </c:txPr>
  <c:printSettings>
    <c:headerFooter/>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Monthly Sales &amp; Net Profit Forecast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Sales</c:v>
          </c:tx>
          <c:spPr>
            <a:ln w="34925" cap="rnd">
              <a:solidFill>
                <a:schemeClr val="accent1"/>
              </a:solidFill>
              <a:round/>
            </a:ln>
            <a:effectLst>
              <a:outerShdw blurRad="40000" dist="23000" dir="5400000" rotWithShape="0">
                <a:srgbClr val="000000">
                  <a:alpha val="35000"/>
                </a:srgbClr>
              </a:outerShdw>
            </a:effectLst>
          </c:spPr>
          <c:marker>
            <c:symbol val="none"/>
          </c:marker>
          <c:cat>
            <c:numRef>
              <c:f>'Profit &amp; Loss Ecommerce'!$D$91:$AM$91</c:f>
              <c:numCache>
                <c:formatCode>mmm\-yy</c:formatCode>
                <c:ptCount val="36"/>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c:v>45778</c:v>
                </c:pt>
                <c:pt idx="17">
                  <c:v>45809</c:v>
                </c:pt>
                <c:pt idx="18">
                  <c:v>45839</c:v>
                </c:pt>
                <c:pt idx="19">
                  <c:v>45870</c:v>
                </c:pt>
                <c:pt idx="20">
                  <c:v>45901</c:v>
                </c:pt>
                <c:pt idx="21">
                  <c:v>45931</c:v>
                </c:pt>
                <c:pt idx="22">
                  <c:v>45962</c:v>
                </c:pt>
                <c:pt idx="23">
                  <c:v>45992</c:v>
                </c:pt>
                <c:pt idx="24">
                  <c:v>46023</c:v>
                </c:pt>
                <c:pt idx="25">
                  <c:v>46054</c:v>
                </c:pt>
                <c:pt idx="26">
                  <c:v>46082</c:v>
                </c:pt>
                <c:pt idx="27">
                  <c:v>46113</c:v>
                </c:pt>
                <c:pt idx="28">
                  <c:v>46143</c:v>
                </c:pt>
                <c:pt idx="29">
                  <c:v>46174</c:v>
                </c:pt>
                <c:pt idx="30">
                  <c:v>46204</c:v>
                </c:pt>
                <c:pt idx="31">
                  <c:v>46235</c:v>
                </c:pt>
                <c:pt idx="32">
                  <c:v>46266</c:v>
                </c:pt>
                <c:pt idx="33">
                  <c:v>46296</c:v>
                </c:pt>
                <c:pt idx="34">
                  <c:v>46327</c:v>
                </c:pt>
                <c:pt idx="35">
                  <c:v>46357</c:v>
                </c:pt>
              </c:numCache>
            </c:numRef>
          </c:cat>
          <c:val>
            <c:numRef>
              <c:f>'Profit &amp; Loss Ecommerce'!$D$95:$AM$95</c:f>
              <c:numCache>
                <c:formatCode>"£"#,##0_);[Red]\("£"#,##0\)</c:formatCode>
                <c:ptCount val="36"/>
                <c:pt idx="0">
                  <c:v>25772</c:v>
                </c:pt>
                <c:pt idx="1">
                  <c:v>29558</c:v>
                </c:pt>
                <c:pt idx="2">
                  <c:v>36270</c:v>
                </c:pt>
                <c:pt idx="3">
                  <c:v>38164</c:v>
                </c:pt>
                <c:pt idx="4">
                  <c:v>44750</c:v>
                </c:pt>
                <c:pt idx="5">
                  <c:v>49478</c:v>
                </c:pt>
                <c:pt idx="6">
                  <c:v>55242</c:v>
                </c:pt>
                <c:pt idx="7">
                  <c:v>56729.5</c:v>
                </c:pt>
                <c:pt idx="8">
                  <c:v>59838</c:v>
                </c:pt>
                <c:pt idx="9">
                  <c:v>64550</c:v>
                </c:pt>
                <c:pt idx="10">
                  <c:v>70110.600000000006</c:v>
                </c:pt>
                <c:pt idx="11">
                  <c:v>76762</c:v>
                </c:pt>
                <c:pt idx="12">
                  <c:v>103556.8</c:v>
                </c:pt>
                <c:pt idx="13">
                  <c:v>130173.9</c:v>
                </c:pt>
                <c:pt idx="14">
                  <c:v>166319</c:v>
                </c:pt>
                <c:pt idx="15">
                  <c:v>198640.1</c:v>
                </c:pt>
                <c:pt idx="16">
                  <c:v>214395.2</c:v>
                </c:pt>
                <c:pt idx="17">
                  <c:v>231713.3</c:v>
                </c:pt>
                <c:pt idx="18">
                  <c:v>248305.4</c:v>
                </c:pt>
                <c:pt idx="19">
                  <c:v>249238.39999999999</c:v>
                </c:pt>
                <c:pt idx="20">
                  <c:v>277291.40000000002</c:v>
                </c:pt>
                <c:pt idx="21">
                  <c:v>298631.5</c:v>
                </c:pt>
                <c:pt idx="22">
                  <c:v>321593.59999999998</c:v>
                </c:pt>
                <c:pt idx="23">
                  <c:v>319906.3</c:v>
                </c:pt>
                <c:pt idx="24">
                  <c:v>337213.26</c:v>
                </c:pt>
                <c:pt idx="25">
                  <c:v>368293.31200000003</c:v>
                </c:pt>
                <c:pt idx="26">
                  <c:v>422788.94799999997</c:v>
                </c:pt>
                <c:pt idx="27">
                  <c:v>435227.08600000001</c:v>
                </c:pt>
                <c:pt idx="28">
                  <c:v>475759.90800000005</c:v>
                </c:pt>
                <c:pt idx="29">
                  <c:v>543655.65399999998</c:v>
                </c:pt>
                <c:pt idx="30">
                  <c:v>599274.92599999998</c:v>
                </c:pt>
                <c:pt idx="31">
                  <c:v>615180.66889999993</c:v>
                </c:pt>
                <c:pt idx="32">
                  <c:v>607078.54599999997</c:v>
                </c:pt>
                <c:pt idx="33">
                  <c:v>659571.424</c:v>
                </c:pt>
                <c:pt idx="34">
                  <c:v>694427.16368</c:v>
                </c:pt>
                <c:pt idx="35">
                  <c:v>730650.94219999993</c:v>
                </c:pt>
              </c:numCache>
            </c:numRef>
          </c:val>
          <c:smooth val="0"/>
          <c:extLst>
            <c:ext xmlns:c16="http://schemas.microsoft.com/office/drawing/2014/chart" uri="{C3380CC4-5D6E-409C-BE32-E72D297353CC}">
              <c16:uniqueId val="{00000000-2298-3745-B30D-107713B7233C}"/>
            </c:ext>
          </c:extLst>
        </c:ser>
        <c:ser>
          <c:idx val="1"/>
          <c:order val="1"/>
          <c:tx>
            <c:v>Net Profit</c:v>
          </c:tx>
          <c:spPr>
            <a:ln w="34925" cap="rnd">
              <a:solidFill>
                <a:schemeClr val="accent2"/>
              </a:solidFill>
              <a:round/>
            </a:ln>
            <a:effectLst>
              <a:outerShdw blurRad="40000" dist="23000" dir="5400000" rotWithShape="0">
                <a:srgbClr val="000000">
                  <a:alpha val="35000"/>
                </a:srgbClr>
              </a:outerShdw>
            </a:effectLst>
          </c:spPr>
          <c:marker>
            <c:symbol val="none"/>
          </c:marker>
          <c:cat>
            <c:numRef>
              <c:f>'Profit &amp; Loss Ecommerce'!$D$91:$AM$91</c:f>
              <c:numCache>
                <c:formatCode>mmm\-yy</c:formatCode>
                <c:ptCount val="36"/>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c:v>45778</c:v>
                </c:pt>
                <c:pt idx="17">
                  <c:v>45809</c:v>
                </c:pt>
                <c:pt idx="18">
                  <c:v>45839</c:v>
                </c:pt>
                <c:pt idx="19">
                  <c:v>45870</c:v>
                </c:pt>
                <c:pt idx="20">
                  <c:v>45901</c:v>
                </c:pt>
                <c:pt idx="21">
                  <c:v>45931</c:v>
                </c:pt>
                <c:pt idx="22">
                  <c:v>45962</c:v>
                </c:pt>
                <c:pt idx="23">
                  <c:v>45992</c:v>
                </c:pt>
                <c:pt idx="24">
                  <c:v>46023</c:v>
                </c:pt>
                <c:pt idx="25">
                  <c:v>46054</c:v>
                </c:pt>
                <c:pt idx="26">
                  <c:v>46082</c:v>
                </c:pt>
                <c:pt idx="27">
                  <c:v>46113</c:v>
                </c:pt>
                <c:pt idx="28">
                  <c:v>46143</c:v>
                </c:pt>
                <c:pt idx="29">
                  <c:v>46174</c:v>
                </c:pt>
                <c:pt idx="30">
                  <c:v>46204</c:v>
                </c:pt>
                <c:pt idx="31">
                  <c:v>46235</c:v>
                </c:pt>
                <c:pt idx="32">
                  <c:v>46266</c:v>
                </c:pt>
                <c:pt idx="33">
                  <c:v>46296</c:v>
                </c:pt>
                <c:pt idx="34">
                  <c:v>46327</c:v>
                </c:pt>
                <c:pt idx="35">
                  <c:v>46357</c:v>
                </c:pt>
              </c:numCache>
            </c:numRef>
          </c:cat>
          <c:val>
            <c:numRef>
              <c:f>'Profit &amp; Loss Ecommerce'!$D$116:$AM$116</c:f>
              <c:numCache>
                <c:formatCode>"£"#,##0_);[Red]\("£"#,##0\)</c:formatCode>
                <c:ptCount val="36"/>
                <c:pt idx="0">
                  <c:v>-17394.928571428569</c:v>
                </c:pt>
                <c:pt idx="1">
                  <c:v>-15460.294056892435</c:v>
                </c:pt>
                <c:pt idx="2">
                  <c:v>-11973.331898545737</c:v>
                </c:pt>
                <c:pt idx="3">
                  <c:v>-10260.241564539254</c:v>
                </c:pt>
                <c:pt idx="4">
                  <c:v>-6725.6225208077503</c:v>
                </c:pt>
                <c:pt idx="5">
                  <c:v>-3864.3742310606972</c:v>
                </c:pt>
                <c:pt idx="6">
                  <c:v>-368.19615677302909</c:v>
                </c:pt>
                <c:pt idx="7">
                  <c:v>-400.97275717582829</c:v>
                </c:pt>
                <c:pt idx="8">
                  <c:v>1408.2515107530232</c:v>
                </c:pt>
                <c:pt idx="9">
                  <c:v>4516.3221922982411</c:v>
                </c:pt>
                <c:pt idx="10">
                  <c:v>7236.7568350165748</c:v>
                </c:pt>
                <c:pt idx="11">
                  <c:v>10731.954988746231</c:v>
                </c:pt>
                <c:pt idx="12">
                  <c:v>18432.960491330698</c:v>
                </c:pt>
                <c:pt idx="13">
                  <c:v>30258.01532577119</c:v>
                </c:pt>
                <c:pt idx="14">
                  <c:v>45920.075334521847</c:v>
                </c:pt>
                <c:pt idx="15">
                  <c:v>60372.6410766423</c:v>
                </c:pt>
                <c:pt idx="16">
                  <c:v>68879.170113521584</c:v>
                </c:pt>
                <c:pt idx="17">
                  <c:v>78478.810008887885</c:v>
                </c:pt>
                <c:pt idx="18">
                  <c:v>88278.82832881817</c:v>
                </c:pt>
                <c:pt idx="19">
                  <c:v>86139.551941748199</c:v>
                </c:pt>
                <c:pt idx="20">
                  <c:v>103978.4165184821</c:v>
                </c:pt>
                <c:pt idx="21">
                  <c:v>116794.65953220238</c:v>
                </c:pt>
                <c:pt idx="22">
                  <c:v>130962.15425847983</c:v>
                </c:pt>
                <c:pt idx="23">
                  <c:v>130097.95547528347</c:v>
                </c:pt>
                <c:pt idx="24">
                  <c:v>116042.99269346659</c:v>
                </c:pt>
                <c:pt idx="25">
                  <c:v>134949.18937487234</c:v>
                </c:pt>
                <c:pt idx="26">
                  <c:v>171505.07231520055</c:v>
                </c:pt>
                <c:pt idx="27">
                  <c:v>177185.88976211354</c:v>
                </c:pt>
                <c:pt idx="28">
                  <c:v>203653.67504572196</c:v>
                </c:pt>
                <c:pt idx="29">
                  <c:v>250810.10103859543</c:v>
                </c:pt>
                <c:pt idx="30">
                  <c:v>288059.96975577256</c:v>
                </c:pt>
                <c:pt idx="31">
                  <c:v>298790.53244777123</c:v>
                </c:pt>
                <c:pt idx="32">
                  <c:v>290119.49639559904</c:v>
                </c:pt>
                <c:pt idx="33">
                  <c:v>327491.32678076369</c:v>
                </c:pt>
                <c:pt idx="34">
                  <c:v>351147.64373288315</c:v>
                </c:pt>
                <c:pt idx="35">
                  <c:v>373269.60544369649</c:v>
                </c:pt>
              </c:numCache>
            </c:numRef>
          </c:val>
          <c:smooth val="0"/>
          <c:extLst>
            <c:ext xmlns:c16="http://schemas.microsoft.com/office/drawing/2014/chart" uri="{C3380CC4-5D6E-409C-BE32-E72D297353CC}">
              <c16:uniqueId val="{00000001-2298-3745-B30D-107713B7233C}"/>
            </c:ext>
          </c:extLst>
        </c:ser>
        <c:dLbls>
          <c:showLegendKey val="0"/>
          <c:showVal val="0"/>
          <c:showCatName val="0"/>
          <c:showSerName val="0"/>
          <c:showPercent val="0"/>
          <c:showBubbleSize val="0"/>
        </c:dLbls>
        <c:smooth val="0"/>
        <c:axId val="-581525072"/>
        <c:axId val="-581522320"/>
      </c:lineChart>
      <c:dateAx>
        <c:axId val="-581525072"/>
        <c:scaling>
          <c:orientation val="minMax"/>
        </c:scaling>
        <c:delete val="0"/>
        <c:axPos val="b"/>
        <c:numFmt formatCode="mmm\-yy"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22320"/>
        <c:crosses val="autoZero"/>
        <c:auto val="1"/>
        <c:lblOffset val="100"/>
        <c:baseTimeUnit val="months"/>
      </c:dateAx>
      <c:valAx>
        <c:axId val="-5815223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2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65000"/>
        </a:schemeClr>
      </a:solidFill>
      <a:round/>
    </a:ln>
    <a:effectLst/>
  </c:spPr>
  <c:txPr>
    <a:bodyPr/>
    <a:lstStyle/>
    <a:p>
      <a:pPr>
        <a:defRPr/>
      </a:pPr>
      <a:endParaRPr lang="en-US"/>
    </a:p>
  </c:txPr>
  <c:printSettings>
    <c:headerFooter/>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Monthly Cash Flow Forecast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Closing Bank Account</c:v>
          </c:tx>
          <c:spPr>
            <a:ln w="34925" cap="rnd">
              <a:solidFill>
                <a:schemeClr val="accent1"/>
              </a:solidFill>
              <a:round/>
            </a:ln>
            <a:effectLst>
              <a:outerShdw blurRad="40000" dist="23000" dir="5400000" rotWithShape="0">
                <a:srgbClr val="000000">
                  <a:alpha val="35000"/>
                </a:srgbClr>
              </a:outerShdw>
            </a:effectLst>
          </c:spPr>
          <c:marker>
            <c:symbol val="none"/>
          </c:marker>
          <c:dLbls>
            <c:delete val="1"/>
          </c:dLbls>
          <c:cat>
            <c:numRef>
              <c:f>'Cash Flow'!$D$7:$AM$7</c:f>
              <c:numCache>
                <c:formatCode>mmm\-yy</c:formatCode>
                <c:ptCount val="36"/>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c:v>45778</c:v>
                </c:pt>
                <c:pt idx="17">
                  <c:v>45809</c:v>
                </c:pt>
                <c:pt idx="18">
                  <c:v>45839</c:v>
                </c:pt>
                <c:pt idx="19">
                  <c:v>45870</c:v>
                </c:pt>
                <c:pt idx="20">
                  <c:v>45901</c:v>
                </c:pt>
                <c:pt idx="21">
                  <c:v>45931</c:v>
                </c:pt>
                <c:pt idx="22">
                  <c:v>45962</c:v>
                </c:pt>
                <c:pt idx="23">
                  <c:v>45992</c:v>
                </c:pt>
                <c:pt idx="24">
                  <c:v>46023</c:v>
                </c:pt>
                <c:pt idx="25">
                  <c:v>46054</c:v>
                </c:pt>
                <c:pt idx="26">
                  <c:v>46082</c:v>
                </c:pt>
                <c:pt idx="27">
                  <c:v>46113</c:v>
                </c:pt>
                <c:pt idx="28">
                  <c:v>46143</c:v>
                </c:pt>
                <c:pt idx="29">
                  <c:v>46174</c:v>
                </c:pt>
                <c:pt idx="30">
                  <c:v>46204</c:v>
                </c:pt>
                <c:pt idx="31">
                  <c:v>46235</c:v>
                </c:pt>
                <c:pt idx="32">
                  <c:v>46266</c:v>
                </c:pt>
                <c:pt idx="33">
                  <c:v>46296</c:v>
                </c:pt>
                <c:pt idx="34">
                  <c:v>46327</c:v>
                </c:pt>
                <c:pt idx="35">
                  <c:v>46357</c:v>
                </c:pt>
              </c:numCache>
            </c:numRef>
          </c:cat>
          <c:val>
            <c:numRef>
              <c:f>'Cash Flow'!$D$60:$AM$60</c:f>
              <c:numCache>
                <c:formatCode>"£"#,##0_);[Red]\("£"#,##0\)</c:formatCode>
                <c:ptCount val="36"/>
                <c:pt idx="0" formatCode="&quot;£&quot;#,##0.0_);[Red]\(&quot;£&quot;#,##0.0\)">
                  <c:v>686556.88317799452</c:v>
                </c:pt>
                <c:pt idx="1">
                  <c:v>660513.76635598904</c:v>
                </c:pt>
                <c:pt idx="2">
                  <c:v>562633.24953398353</c:v>
                </c:pt>
                <c:pt idx="3">
                  <c:v>548137.73271197802</c:v>
                </c:pt>
                <c:pt idx="4">
                  <c:v>530286.0558899726</c:v>
                </c:pt>
                <c:pt idx="5">
                  <c:v>507221.71906796715</c:v>
                </c:pt>
                <c:pt idx="6">
                  <c:v>485928.48224596167</c:v>
                </c:pt>
                <c:pt idx="7">
                  <c:v>483194.88542395621</c:v>
                </c:pt>
                <c:pt idx="8">
                  <c:v>457141.44360195071</c:v>
                </c:pt>
                <c:pt idx="9">
                  <c:v>453821.64677994529</c:v>
                </c:pt>
                <c:pt idx="10">
                  <c:v>467286.48995793983</c:v>
                </c:pt>
                <c:pt idx="11">
                  <c:v>432590.72613593435</c:v>
                </c:pt>
                <c:pt idx="12">
                  <c:v>353900.2566472622</c:v>
                </c:pt>
                <c:pt idx="13">
                  <c:v>395359.15875859006</c:v>
                </c:pt>
                <c:pt idx="14">
                  <c:v>353462.29566991789</c:v>
                </c:pt>
                <c:pt idx="15">
                  <c:v>346872.77018124581</c:v>
                </c:pt>
                <c:pt idx="16">
                  <c:v>374412.95869257365</c:v>
                </c:pt>
                <c:pt idx="17">
                  <c:v>366988.36000390153</c:v>
                </c:pt>
                <c:pt idx="18">
                  <c:v>435087.49371522944</c:v>
                </c:pt>
                <c:pt idx="19">
                  <c:v>519869.55542655732</c:v>
                </c:pt>
                <c:pt idx="20">
                  <c:v>533606.54283788521</c:v>
                </c:pt>
                <c:pt idx="21">
                  <c:v>638520.16454921314</c:v>
                </c:pt>
                <c:pt idx="22">
                  <c:v>762001.56866054097</c:v>
                </c:pt>
                <c:pt idx="23">
                  <c:v>805183.14053186879</c:v>
                </c:pt>
                <c:pt idx="24">
                  <c:v>540355.75194986328</c:v>
                </c:pt>
                <c:pt idx="25">
                  <c:v>674337.10233585781</c:v>
                </c:pt>
                <c:pt idx="26">
                  <c:v>832903.52119785245</c:v>
                </c:pt>
                <c:pt idx="27">
                  <c:v>623924.27714384696</c:v>
                </c:pt>
                <c:pt idx="28">
                  <c:v>785233.41057784157</c:v>
                </c:pt>
                <c:pt idx="29">
                  <c:v>880486.13689983613</c:v>
                </c:pt>
                <c:pt idx="30">
                  <c:v>1061455.1969978306</c:v>
                </c:pt>
                <c:pt idx="31">
                  <c:v>1295990.4072718252</c:v>
                </c:pt>
                <c:pt idx="32">
                  <c:v>1183615.5708035713</c:v>
                </c:pt>
                <c:pt idx="33">
                  <c:v>1636289.5964695658</c:v>
                </c:pt>
                <c:pt idx="34">
                  <c:v>2072356.5508635603</c:v>
                </c:pt>
                <c:pt idx="35">
                  <c:v>1976997.923359755</c:v>
                </c:pt>
              </c:numCache>
            </c:numRef>
          </c:val>
          <c:smooth val="0"/>
          <c:extLst>
            <c:ext xmlns:c16="http://schemas.microsoft.com/office/drawing/2014/chart" uri="{C3380CC4-5D6E-409C-BE32-E72D297353CC}">
              <c16:uniqueId val="{00000000-4DB2-A440-9B55-F26418F2F868}"/>
            </c:ext>
          </c:extLst>
        </c:ser>
        <c:dLbls>
          <c:dLblPos val="ctr"/>
          <c:showLegendKey val="0"/>
          <c:showVal val="1"/>
          <c:showCatName val="0"/>
          <c:showSerName val="0"/>
          <c:showPercent val="0"/>
          <c:showBubbleSize val="0"/>
        </c:dLbls>
        <c:smooth val="0"/>
        <c:axId val="-581496432"/>
        <c:axId val="-581493680"/>
      </c:lineChart>
      <c:dateAx>
        <c:axId val="-581496432"/>
        <c:scaling>
          <c:orientation val="minMax"/>
        </c:scaling>
        <c:delete val="0"/>
        <c:axPos val="b"/>
        <c:numFmt formatCode="mmm\-yy"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93680"/>
        <c:crosses val="autoZero"/>
        <c:auto val="1"/>
        <c:lblOffset val="100"/>
        <c:baseTimeUnit val="months"/>
      </c:dateAx>
      <c:valAx>
        <c:axId val="-5814936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_);[Red]\(&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96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bg1">
          <a:lumMod val="65000"/>
        </a:schemeClr>
      </a:solidFill>
      <a:round/>
    </a:ln>
    <a:effectLst/>
  </c:spPr>
  <c:txPr>
    <a:bodyPr/>
    <a:lstStyle/>
    <a:p>
      <a:pPr>
        <a:defRPr/>
      </a:pPr>
      <a:endParaRPr lang="en-US"/>
    </a:p>
  </c:txPr>
  <c:printSettings>
    <c:headerFooter/>
    <c:pageMargins b="1" l="0.75" r="0.75"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tiff"/><Relationship Id="rId3" Type="http://schemas.openxmlformats.org/officeDocument/2006/relationships/image" Target="../media/image4.jpeg"/><Relationship Id="rId7" Type="http://schemas.openxmlformats.org/officeDocument/2006/relationships/image" Target="../media/image8.jpe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jpeg"/><Relationship Id="rId11" Type="http://schemas.openxmlformats.org/officeDocument/2006/relationships/image" Target="../media/image12.tiff"/><Relationship Id="rId5" Type="http://schemas.openxmlformats.org/officeDocument/2006/relationships/image" Target="../media/image6.jpeg"/><Relationship Id="rId10" Type="http://schemas.openxmlformats.org/officeDocument/2006/relationships/image" Target="../media/image11.jpeg"/><Relationship Id="rId4" Type="http://schemas.openxmlformats.org/officeDocument/2006/relationships/image" Target="../media/image5.jpe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5.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3.png"/><Relationship Id="rId7" Type="http://schemas.openxmlformats.org/officeDocument/2006/relationships/image" Target="../media/image16.png"/><Relationship Id="rId2" Type="http://schemas.openxmlformats.org/officeDocument/2006/relationships/image" Target="../media/image5.jpeg"/><Relationship Id="rId1" Type="http://schemas.openxmlformats.org/officeDocument/2006/relationships/image" Target="../media/image2.jpeg"/><Relationship Id="rId6" Type="http://schemas.openxmlformats.org/officeDocument/2006/relationships/image" Target="../media/image17.png"/><Relationship Id="rId5" Type="http://schemas.openxmlformats.org/officeDocument/2006/relationships/image" Target="../media/image14.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3" Type="http://schemas.openxmlformats.org/officeDocument/2006/relationships/image" Target="../media/image20.png"/><Relationship Id="rId7" Type="http://schemas.openxmlformats.org/officeDocument/2006/relationships/image" Target="../media/image24.svg"/><Relationship Id="rId12" Type="http://schemas.openxmlformats.org/officeDocument/2006/relationships/image" Target="../media/image29.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7.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3" Type="http://schemas.openxmlformats.org/officeDocument/2006/relationships/image" Target="../media/image21.png"/><Relationship Id="rId7" Type="http://schemas.openxmlformats.org/officeDocument/2006/relationships/image" Target="../media/image31.png"/><Relationship Id="rId12" Type="http://schemas.openxmlformats.org/officeDocument/2006/relationships/image" Target="../media/image29.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4.svg"/><Relationship Id="rId11" Type="http://schemas.openxmlformats.org/officeDocument/2006/relationships/image" Target="../media/image32.png"/><Relationship Id="rId5" Type="http://schemas.openxmlformats.org/officeDocument/2006/relationships/image" Target="../media/image23.png"/><Relationship Id="rId10" Type="http://schemas.openxmlformats.org/officeDocument/2006/relationships/image" Target="../media/image27.png"/><Relationship Id="rId4" Type="http://schemas.openxmlformats.org/officeDocument/2006/relationships/image" Target="../media/image22.png"/><Relationship Id="rId9" Type="http://schemas.openxmlformats.org/officeDocument/2006/relationships/image" Target="../media/image26.png"/></Relationships>
</file>

<file path=xl/drawings/_rels/drawing8.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141988</xdr:rowOff>
    </xdr:from>
    <xdr:to>
      <xdr:col>1</xdr:col>
      <xdr:colOff>470852</xdr:colOff>
      <xdr:row>114</xdr:row>
      <xdr:rowOff>84167</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459955" y="22497143"/>
          <a:ext cx="1299113" cy="17880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562504</xdr:colOff>
      <xdr:row>11</xdr:row>
      <xdr:rowOff>116951</xdr:rowOff>
    </xdr:from>
    <xdr:to>
      <xdr:col>11</xdr:col>
      <xdr:colOff>317528</xdr:colOff>
      <xdr:row>20</xdr:row>
      <xdr:rowOff>109330</xdr:rowOff>
    </xdr:to>
    <xdr:pic>
      <xdr:nvPicPr>
        <xdr:cNvPr id="7" name="Picture 6" descr="Intake systems | Eventuri">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59790" y="2577122"/>
          <a:ext cx="1779767" cy="1755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70953</xdr:colOff>
      <xdr:row>11</xdr:row>
      <xdr:rowOff>117183</xdr:rowOff>
    </xdr:from>
    <xdr:to>
      <xdr:col>17</xdr:col>
      <xdr:colOff>363709</xdr:colOff>
      <xdr:row>19</xdr:row>
      <xdr:rowOff>169239</xdr:rowOff>
    </xdr:to>
    <xdr:pic>
      <xdr:nvPicPr>
        <xdr:cNvPr id="9" name="Picture 8" descr="Turbochargers - Hellion Turbo">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92639" y="2577354"/>
          <a:ext cx="1642585" cy="1619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484945</xdr:colOff>
      <xdr:row>30</xdr:row>
      <xdr:rowOff>151099</xdr:rowOff>
    </xdr:from>
    <xdr:to>
      <xdr:col>16</xdr:col>
      <xdr:colOff>179144</xdr:colOff>
      <xdr:row>41</xdr:row>
      <xdr:rowOff>68324</xdr:rowOff>
    </xdr:to>
    <xdr:pic>
      <xdr:nvPicPr>
        <xdr:cNvPr id="15" name="Picture 14" descr="The 444bhp BMW M2 CS is here to bring balance to the Force | Top Gear">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332059" y="6334185"/>
          <a:ext cx="3743685" cy="20725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244614</xdr:colOff>
      <xdr:row>11</xdr:row>
      <xdr:rowOff>116405</xdr:rowOff>
    </xdr:from>
    <xdr:to>
      <xdr:col>14</xdr:col>
      <xdr:colOff>655705</xdr:colOff>
      <xdr:row>19</xdr:row>
      <xdr:rowOff>154258</xdr:rowOff>
    </xdr:to>
    <xdr:pic>
      <xdr:nvPicPr>
        <xdr:cNvPr id="16" name="Picture 15" descr="Performance Brakes | Kits, Pads, Rotors, Calipers – CARiD.com">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66643" y="2576576"/>
          <a:ext cx="2435833" cy="16053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608024</xdr:colOff>
      <xdr:row>6</xdr:row>
      <xdr:rowOff>125507</xdr:rowOff>
    </xdr:from>
    <xdr:to>
      <xdr:col>8</xdr:col>
      <xdr:colOff>106878</xdr:colOff>
      <xdr:row>8</xdr:row>
      <xdr:rowOff>32658</xdr:rowOff>
    </xdr:to>
    <xdr:sp macro="" textlink="">
      <xdr:nvSpPr>
        <xdr:cNvPr id="1011" name="Subtitle 4">
          <a:extLst>
            <a:ext uri="{FF2B5EF4-FFF2-40B4-BE49-F238E27FC236}">
              <a16:creationId xmlns:a16="http://schemas.microsoft.com/office/drawing/2014/main" id="{00000000-0008-0000-0100-000013000000}"/>
            </a:ext>
          </a:extLst>
        </xdr:cNvPr>
        <xdr:cNvSpPr>
          <a:spLocks noGrp="1"/>
        </xdr:cNvSpPr>
      </xdr:nvSpPr>
      <xdr:spPr>
        <a:xfrm>
          <a:off x="608024" y="1301164"/>
          <a:ext cx="4996140" cy="190180"/>
        </a:xfrm>
        <a:prstGeom prst="rect">
          <a:avLst/>
        </a:prstGeom>
      </xdr:spPr>
      <xdr:txBody>
        <a:bodyPr vert="horz" wrap="square" lIns="91440" tIns="45720" rIns="91440" bIns="45720" rtlCol="0">
          <a:no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US" sz="2400" b="1" u="sng">
              <a:latin typeface="+mn-lt"/>
              <a:cs typeface="Segoe UI" panose="020B0502040204020203" pitchFamily="34" charset="0"/>
            </a:rPr>
            <a:t>Who</a:t>
          </a:r>
          <a:r>
            <a:rPr lang="en-US" sz="2400" b="1" u="sng" baseline="0">
              <a:latin typeface="+mn-lt"/>
              <a:cs typeface="Segoe UI" panose="020B0502040204020203" pitchFamily="34" charset="0"/>
            </a:rPr>
            <a:t> are we?</a:t>
          </a:r>
          <a:endParaRPr lang="en-US" sz="2400" b="1" u="sng">
            <a:latin typeface="+mn-lt"/>
            <a:cs typeface="Segoe UI" panose="020B0502040204020203" pitchFamily="34" charset="0"/>
          </a:endParaRPr>
        </a:p>
      </xdr:txBody>
    </xdr:sp>
    <xdr:clientData/>
  </xdr:twoCellAnchor>
  <xdr:twoCellAnchor>
    <xdr:from>
      <xdr:col>10</xdr:col>
      <xdr:colOff>525420</xdr:colOff>
      <xdr:row>8</xdr:row>
      <xdr:rowOff>66886</xdr:rowOff>
    </xdr:from>
    <xdr:to>
      <xdr:col>17</xdr:col>
      <xdr:colOff>90286</xdr:colOff>
      <xdr:row>8</xdr:row>
      <xdr:rowOff>290071</xdr:rowOff>
    </xdr:to>
    <xdr:sp macro="" textlink="">
      <xdr:nvSpPr>
        <xdr:cNvPr id="20" name="Subtitle 4">
          <a:extLst>
            <a:ext uri="{FF2B5EF4-FFF2-40B4-BE49-F238E27FC236}">
              <a16:creationId xmlns:a16="http://schemas.microsoft.com/office/drawing/2014/main" id="{00000000-0008-0000-0100-000014000000}"/>
            </a:ext>
          </a:extLst>
        </xdr:cNvPr>
        <xdr:cNvSpPr>
          <a:spLocks noGrp="1"/>
        </xdr:cNvSpPr>
      </xdr:nvSpPr>
      <xdr:spPr>
        <a:xfrm>
          <a:off x="7372534" y="1525572"/>
          <a:ext cx="4289266" cy="223185"/>
        </a:xfrm>
        <a:prstGeom prst="rect">
          <a:avLst/>
        </a:prstGeom>
      </xdr:spPr>
      <xdr:txBody>
        <a:bodyPr vert="horz" wrap="square" lIns="91440" tIns="45720" rIns="91440" bIns="45720" rtlCol="0">
          <a:no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US" sz="1800" b="1">
              <a:latin typeface="+mj-lt"/>
              <a:cs typeface="Segoe UI" panose="020B0502040204020203" pitchFamily="34" charset="0"/>
            </a:rPr>
            <a:t>The</a:t>
          </a:r>
          <a:r>
            <a:rPr lang="en-US" sz="1800" b="1" baseline="0">
              <a:latin typeface="+mj-lt"/>
              <a:cs typeface="Segoe UI" panose="020B0502040204020203" pitchFamily="34" charset="0"/>
            </a:rPr>
            <a:t> Engineered Products:</a:t>
          </a:r>
          <a:endParaRPr lang="en-US" sz="1800" b="1">
            <a:latin typeface="+mj-lt"/>
            <a:cs typeface="Segoe UI" panose="020B0502040204020203" pitchFamily="34" charset="0"/>
          </a:endParaRPr>
        </a:p>
      </xdr:txBody>
    </xdr:sp>
    <xdr:clientData/>
  </xdr:twoCellAnchor>
  <xdr:twoCellAnchor>
    <xdr:from>
      <xdr:col>9</xdr:col>
      <xdr:colOff>212297</xdr:colOff>
      <xdr:row>21</xdr:row>
      <xdr:rowOff>122945</xdr:rowOff>
    </xdr:from>
    <xdr:to>
      <xdr:col>11</xdr:col>
      <xdr:colOff>126147</xdr:colOff>
      <xdr:row>25</xdr:row>
      <xdr:rowOff>25614</xdr:rowOff>
    </xdr:to>
    <xdr:sp macro="" textlink="">
      <xdr:nvSpPr>
        <xdr:cNvPr id="21" name="Subtitle 4">
          <a:extLst>
            <a:ext uri="{FF2B5EF4-FFF2-40B4-BE49-F238E27FC236}">
              <a16:creationId xmlns:a16="http://schemas.microsoft.com/office/drawing/2014/main" id="{00000000-0008-0000-0100-000015000000}"/>
            </a:ext>
          </a:extLst>
        </xdr:cNvPr>
        <xdr:cNvSpPr>
          <a:spLocks noGrp="1"/>
        </xdr:cNvSpPr>
      </xdr:nvSpPr>
      <xdr:spPr>
        <a:xfrm>
          <a:off x="6384497" y="4542545"/>
          <a:ext cx="1263679" cy="686440"/>
        </a:xfrm>
        <a:prstGeom prst="rect">
          <a:avLst/>
        </a:prstGeom>
      </xdr:spPr>
      <xdr:txBody>
        <a:bodyPr vert="horz" wrap="square" lIns="91440" tIns="45720" rIns="91440" bIns="45720" rtlCol="0">
          <a:no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US" sz="1800" b="1">
              <a:latin typeface="+mj-lt"/>
              <a:cs typeface="Segoe UI" panose="020B0502040204020203" pitchFamily="34" charset="0"/>
            </a:rPr>
            <a:t>Air</a:t>
          </a:r>
          <a:r>
            <a:rPr lang="en-US" sz="1800" b="1" baseline="0">
              <a:latin typeface="+mj-lt"/>
              <a:cs typeface="Segoe UI" panose="020B0502040204020203" pitchFamily="34" charset="0"/>
            </a:rPr>
            <a:t> Intake and Filter</a:t>
          </a:r>
          <a:endParaRPr lang="en-US" sz="1800" b="1">
            <a:latin typeface="+mj-lt"/>
            <a:cs typeface="Segoe UI" panose="020B0502040204020203" pitchFamily="34" charset="0"/>
          </a:endParaRPr>
        </a:p>
      </xdr:txBody>
    </xdr:sp>
    <xdr:clientData/>
  </xdr:twoCellAnchor>
  <xdr:twoCellAnchor>
    <xdr:from>
      <xdr:col>12</xdr:col>
      <xdr:colOff>260960</xdr:colOff>
      <xdr:row>22</xdr:row>
      <xdr:rowOff>60482</xdr:rowOff>
    </xdr:from>
    <xdr:to>
      <xdr:col>16</xdr:col>
      <xdr:colOff>5121</xdr:colOff>
      <xdr:row>25</xdr:row>
      <xdr:rowOff>168407</xdr:rowOff>
    </xdr:to>
    <xdr:sp macro="" textlink="">
      <xdr:nvSpPr>
        <xdr:cNvPr id="22" name="Subtitle 4">
          <a:extLst>
            <a:ext uri="{FF2B5EF4-FFF2-40B4-BE49-F238E27FC236}">
              <a16:creationId xmlns:a16="http://schemas.microsoft.com/office/drawing/2014/main" id="{00000000-0008-0000-0100-000016000000}"/>
            </a:ext>
          </a:extLst>
        </xdr:cNvPr>
        <xdr:cNvSpPr>
          <a:spLocks noGrp="1"/>
        </xdr:cNvSpPr>
      </xdr:nvSpPr>
      <xdr:spPr>
        <a:xfrm>
          <a:off x="8457903" y="4676025"/>
          <a:ext cx="2443818" cy="695753"/>
        </a:xfrm>
        <a:prstGeom prst="rect">
          <a:avLst/>
        </a:prstGeom>
      </xdr:spPr>
      <xdr:txBody>
        <a:bodyPr vert="horz" wrap="square" lIns="91440" tIns="45720" rIns="91440" bIns="45720" rtlCol="0">
          <a:no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US" sz="1800" b="1">
              <a:latin typeface="+mj-lt"/>
              <a:cs typeface="Segoe UI" panose="020B0502040204020203" pitchFamily="34" charset="0"/>
            </a:rPr>
            <a:t>Brake</a:t>
          </a:r>
          <a:r>
            <a:rPr lang="en-US" sz="1800" b="1" baseline="0">
              <a:latin typeface="+mj-lt"/>
              <a:cs typeface="Segoe UI" panose="020B0502040204020203" pitchFamily="34" charset="0"/>
            </a:rPr>
            <a:t> pads </a:t>
          </a:r>
          <a:endParaRPr lang="en-US" sz="1800" b="1">
            <a:latin typeface="+mj-lt"/>
            <a:cs typeface="Segoe UI" panose="020B0502040204020203" pitchFamily="34" charset="0"/>
          </a:endParaRPr>
        </a:p>
      </xdr:txBody>
    </xdr:sp>
    <xdr:clientData/>
  </xdr:twoCellAnchor>
  <xdr:twoCellAnchor>
    <xdr:from>
      <xdr:col>15</xdr:col>
      <xdr:colOff>35561</xdr:colOff>
      <xdr:row>22</xdr:row>
      <xdr:rowOff>78411</xdr:rowOff>
    </xdr:from>
    <xdr:to>
      <xdr:col>18</xdr:col>
      <xdr:colOff>454636</xdr:colOff>
      <xdr:row>25</xdr:row>
      <xdr:rowOff>186336</xdr:rowOff>
    </xdr:to>
    <xdr:sp macro="" textlink="">
      <xdr:nvSpPr>
        <xdr:cNvPr id="23" name="Subtitle 4">
          <a:extLst>
            <a:ext uri="{FF2B5EF4-FFF2-40B4-BE49-F238E27FC236}">
              <a16:creationId xmlns:a16="http://schemas.microsoft.com/office/drawing/2014/main" id="{00000000-0008-0000-0100-000017000000}"/>
            </a:ext>
          </a:extLst>
        </xdr:cNvPr>
        <xdr:cNvSpPr>
          <a:spLocks noGrp="1"/>
        </xdr:cNvSpPr>
      </xdr:nvSpPr>
      <xdr:spPr>
        <a:xfrm>
          <a:off x="10257247" y="4693954"/>
          <a:ext cx="2443818" cy="695753"/>
        </a:xfrm>
        <a:prstGeom prst="rect">
          <a:avLst/>
        </a:prstGeom>
      </xdr:spPr>
      <xdr:txBody>
        <a:bodyPr vert="horz" wrap="square" lIns="91440" tIns="45720" rIns="91440" bIns="45720" rtlCol="0">
          <a:no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US" sz="1800" b="1">
              <a:latin typeface="+mj-lt"/>
              <a:cs typeface="Segoe UI" panose="020B0502040204020203" pitchFamily="34" charset="0"/>
            </a:rPr>
            <a:t>Hybrid</a:t>
          </a:r>
          <a:r>
            <a:rPr lang="en-US" sz="1800" b="1" baseline="0">
              <a:latin typeface="+mj-lt"/>
              <a:cs typeface="Segoe UI" panose="020B0502040204020203" pitchFamily="34" charset="0"/>
            </a:rPr>
            <a:t> Turbo</a:t>
          </a:r>
          <a:endParaRPr lang="en-US" sz="1800" b="1">
            <a:latin typeface="+mj-lt"/>
            <a:cs typeface="Segoe UI" panose="020B0502040204020203" pitchFamily="34" charset="0"/>
          </a:endParaRPr>
        </a:p>
      </xdr:txBody>
    </xdr:sp>
    <xdr:clientData/>
  </xdr:twoCellAnchor>
  <xdr:twoCellAnchor editAs="oneCell">
    <xdr:from>
      <xdr:col>9</xdr:col>
      <xdr:colOff>571113</xdr:colOff>
      <xdr:row>50</xdr:row>
      <xdr:rowOff>28815</xdr:rowOff>
    </xdr:from>
    <xdr:to>
      <xdr:col>12</xdr:col>
      <xdr:colOff>544286</xdr:colOff>
      <xdr:row>60</xdr:row>
      <xdr:rowOff>46120</xdr:rowOff>
    </xdr:to>
    <xdr:pic>
      <xdr:nvPicPr>
        <xdr:cNvPr id="24" name="Picture 23" descr="Car Air Fresheners - Jelly Belly, Yankee &amp; More | Halfords UK">
          <a:extLst>
            <a:ext uri="{FF2B5EF4-FFF2-40B4-BE49-F238E27FC236}">
              <a16:creationId xmlns:a16="http://schemas.microsoft.com/office/drawing/2014/main" id="{00000000-0008-0000-0100-00001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743313" y="10130758"/>
          <a:ext cx="1997916" cy="1976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21132</xdr:colOff>
      <xdr:row>59</xdr:row>
      <xdr:rowOff>190181</xdr:rowOff>
    </xdr:from>
    <xdr:to>
      <xdr:col>13</xdr:col>
      <xdr:colOff>423904</xdr:colOff>
      <xdr:row>63</xdr:row>
      <xdr:rowOff>91569</xdr:rowOff>
    </xdr:to>
    <xdr:sp macro="" textlink="">
      <xdr:nvSpPr>
        <xdr:cNvPr id="26" name="Subtitle 4">
          <a:extLst>
            <a:ext uri="{FF2B5EF4-FFF2-40B4-BE49-F238E27FC236}">
              <a16:creationId xmlns:a16="http://schemas.microsoft.com/office/drawing/2014/main" id="{00000000-0008-0000-0100-00001A000000}"/>
            </a:ext>
          </a:extLst>
        </xdr:cNvPr>
        <xdr:cNvSpPr>
          <a:spLocks noGrp="1"/>
        </xdr:cNvSpPr>
      </xdr:nvSpPr>
      <xdr:spPr>
        <a:xfrm>
          <a:off x="6868246" y="12055610"/>
          <a:ext cx="2427515" cy="685159"/>
        </a:xfrm>
        <a:prstGeom prst="rect">
          <a:avLst/>
        </a:prstGeom>
      </xdr:spPr>
      <xdr:txBody>
        <a:bodyPr vert="horz" wrap="square" lIns="91440" tIns="45720" rIns="91440" bIns="45720" rtlCol="0">
          <a:no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US" sz="1800" b="1">
              <a:latin typeface="+mj-lt"/>
              <a:cs typeface="Segoe UI" panose="020B0502040204020203" pitchFamily="34" charset="0"/>
            </a:rPr>
            <a:t>Aroma</a:t>
          </a:r>
          <a:r>
            <a:rPr lang="en-US" sz="1800" b="1" baseline="0">
              <a:latin typeface="+mj-lt"/>
              <a:cs typeface="Segoe UI" panose="020B0502040204020203" pitchFamily="34" charset="0"/>
            </a:rPr>
            <a:t> Diffuser</a:t>
          </a:r>
          <a:endParaRPr lang="en-US" sz="1800" b="1">
            <a:latin typeface="+mj-lt"/>
            <a:cs typeface="Segoe UI" panose="020B0502040204020203" pitchFamily="34" charset="0"/>
          </a:endParaRPr>
        </a:p>
      </xdr:txBody>
    </xdr:sp>
    <xdr:clientData/>
  </xdr:twoCellAnchor>
  <xdr:twoCellAnchor editAs="oneCell">
    <xdr:from>
      <xdr:col>4</xdr:col>
      <xdr:colOff>0</xdr:colOff>
      <xdr:row>66</xdr:row>
      <xdr:rowOff>0</xdr:rowOff>
    </xdr:from>
    <xdr:to>
      <xdr:col>8</xdr:col>
      <xdr:colOff>83821</xdr:colOff>
      <xdr:row>68</xdr:row>
      <xdr:rowOff>83820</xdr:rowOff>
    </xdr:to>
    <xdr:pic>
      <xdr:nvPicPr>
        <xdr:cNvPr id="29" name="Picture 28">
          <a:extLst>
            <a:ext uri="{FF2B5EF4-FFF2-40B4-BE49-F238E27FC236}">
              <a16:creationId xmlns:a16="http://schemas.microsoft.com/office/drawing/2014/main" id="{00000000-0008-0000-0100-00001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88920" y="13380720"/>
          <a:ext cx="2766060" cy="480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44824</xdr:colOff>
      <xdr:row>72</xdr:row>
      <xdr:rowOff>0</xdr:rowOff>
    </xdr:from>
    <xdr:to>
      <xdr:col>7</xdr:col>
      <xdr:colOff>128643</xdr:colOff>
      <xdr:row>74</xdr:row>
      <xdr:rowOff>83820</xdr:rowOff>
    </xdr:to>
    <xdr:pic>
      <xdr:nvPicPr>
        <xdr:cNvPr id="30" name="Picture 29">
          <a:extLst>
            <a:ext uri="{FF2B5EF4-FFF2-40B4-BE49-F238E27FC236}">
              <a16:creationId xmlns:a16="http://schemas.microsoft.com/office/drawing/2014/main" id="{00000000-0008-0000-0100-00001E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69459" y="14504894"/>
          <a:ext cx="2773232" cy="478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259385</xdr:colOff>
      <xdr:row>65</xdr:row>
      <xdr:rowOff>184032</xdr:rowOff>
    </xdr:from>
    <xdr:to>
      <xdr:col>12</xdr:col>
      <xdr:colOff>524655</xdr:colOff>
      <xdr:row>77</xdr:row>
      <xdr:rowOff>80111</xdr:rowOff>
    </xdr:to>
    <xdr:grpSp>
      <xdr:nvGrpSpPr>
        <xdr:cNvPr id="40" name="Group 39">
          <a:extLst>
            <a:ext uri="{FF2B5EF4-FFF2-40B4-BE49-F238E27FC236}">
              <a16:creationId xmlns:a16="http://schemas.microsoft.com/office/drawing/2014/main" id="{00000000-0008-0000-0100-000028000000}"/>
            </a:ext>
          </a:extLst>
        </xdr:cNvPr>
        <xdr:cNvGrpSpPr/>
      </xdr:nvGrpSpPr>
      <xdr:grpSpPr>
        <a:xfrm>
          <a:off x="6585299" y="13302256"/>
          <a:ext cx="2275373" cy="2260907"/>
          <a:chOff x="2928738" y="14035368"/>
          <a:chExt cx="2290013" cy="2247099"/>
        </a:xfrm>
      </xdr:grpSpPr>
      <xdr:pic>
        <xdr:nvPicPr>
          <xdr:cNvPr id="31" name="Picture 30" descr="Ultimate Crew">
            <a:extLst>
              <a:ext uri="{FF2B5EF4-FFF2-40B4-BE49-F238E27FC236}">
                <a16:creationId xmlns:a16="http://schemas.microsoft.com/office/drawing/2014/main" id="{00000000-0008-0000-0100-00001F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28738" y="14035368"/>
            <a:ext cx="2290013" cy="224709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8"/>
          <a:stretch>
            <a:fillRect/>
          </a:stretch>
        </xdr:blipFill>
        <xdr:spPr>
          <a:xfrm>
            <a:off x="3708187" y="14873089"/>
            <a:ext cx="701808" cy="409852"/>
          </a:xfrm>
          <a:prstGeom prst="rect">
            <a:avLst/>
          </a:prstGeom>
        </xdr:spPr>
      </xdr:pic>
    </xdr:grpSp>
    <xdr:clientData/>
  </xdr:twoCellAnchor>
  <xdr:twoCellAnchor>
    <xdr:from>
      <xdr:col>11</xdr:col>
      <xdr:colOff>265636</xdr:colOff>
      <xdr:row>28</xdr:row>
      <xdr:rowOff>30416</xdr:rowOff>
    </xdr:from>
    <xdr:to>
      <xdr:col>15</xdr:col>
      <xdr:colOff>562791</xdr:colOff>
      <xdr:row>31</xdr:row>
      <xdr:rowOff>129027</xdr:rowOff>
    </xdr:to>
    <xdr:sp macro="" textlink="">
      <xdr:nvSpPr>
        <xdr:cNvPr id="33" name="Subtitle 4">
          <a:extLst>
            <a:ext uri="{FF2B5EF4-FFF2-40B4-BE49-F238E27FC236}">
              <a16:creationId xmlns:a16="http://schemas.microsoft.com/office/drawing/2014/main" id="{00000000-0008-0000-0100-000021000000}"/>
            </a:ext>
          </a:extLst>
        </xdr:cNvPr>
        <xdr:cNvSpPr>
          <a:spLocks noGrp="1"/>
        </xdr:cNvSpPr>
      </xdr:nvSpPr>
      <xdr:spPr>
        <a:xfrm>
          <a:off x="7787665" y="5821616"/>
          <a:ext cx="2996812" cy="686440"/>
        </a:xfrm>
        <a:prstGeom prst="rect">
          <a:avLst/>
        </a:prstGeom>
      </xdr:spPr>
      <xdr:txBody>
        <a:bodyPr vert="horz" wrap="square" lIns="91440" tIns="45720" rIns="91440" bIns="45720" rtlCol="0">
          <a:no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US" sz="1800" b="1">
              <a:latin typeface="+mj-lt"/>
              <a:cs typeface="Segoe UI" panose="020B0502040204020203" pitchFamily="34" charset="0"/>
            </a:rPr>
            <a:t>Lewis's</a:t>
          </a:r>
          <a:r>
            <a:rPr lang="en-US" sz="1800" b="1" baseline="0">
              <a:latin typeface="+mj-lt"/>
              <a:cs typeface="Segoe UI" panose="020B0502040204020203" pitchFamily="34" charset="0"/>
            </a:rPr>
            <a:t> Custom Built Car</a:t>
          </a:r>
          <a:endParaRPr lang="en-US" sz="1800" b="1">
            <a:latin typeface="+mj-lt"/>
            <a:cs typeface="Segoe UI" panose="020B0502040204020203" pitchFamily="34" charset="0"/>
          </a:endParaRPr>
        </a:p>
      </xdr:txBody>
    </xdr:sp>
    <xdr:clientData/>
  </xdr:twoCellAnchor>
  <xdr:twoCellAnchor editAs="oneCell">
    <xdr:from>
      <xdr:col>14</xdr:col>
      <xdr:colOff>319214</xdr:colOff>
      <xdr:row>66</xdr:row>
      <xdr:rowOff>20716</xdr:rowOff>
    </xdr:from>
    <xdr:to>
      <xdr:col>17</xdr:col>
      <xdr:colOff>154458</xdr:colOff>
      <xdr:row>77</xdr:row>
      <xdr:rowOff>113564</xdr:rowOff>
    </xdr:to>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rotWithShape="1">
        <a:blip xmlns:r="http://schemas.openxmlformats.org/officeDocument/2006/relationships" r:embed="rId9"/>
        <a:srcRect l="22665" r="26732"/>
        <a:stretch/>
      </xdr:blipFill>
      <xdr:spPr>
        <a:xfrm>
          <a:off x="9792728" y="13242446"/>
          <a:ext cx="1843217" cy="2244983"/>
        </a:xfrm>
        <a:prstGeom prst="rect">
          <a:avLst/>
        </a:prstGeom>
      </xdr:spPr>
    </xdr:pic>
    <xdr:clientData/>
  </xdr:twoCellAnchor>
  <xdr:twoCellAnchor>
    <xdr:from>
      <xdr:col>14</xdr:col>
      <xdr:colOff>517753</xdr:colOff>
      <xdr:row>78</xdr:row>
      <xdr:rowOff>194766</xdr:rowOff>
    </xdr:from>
    <xdr:to>
      <xdr:col>18</xdr:col>
      <xdr:colOff>251201</xdr:colOff>
      <xdr:row>82</xdr:row>
      <xdr:rowOff>96154</xdr:rowOff>
    </xdr:to>
    <xdr:sp macro="" textlink="">
      <xdr:nvSpPr>
        <xdr:cNvPr id="35" name="Subtitle 4">
          <a:extLst>
            <a:ext uri="{FF2B5EF4-FFF2-40B4-BE49-F238E27FC236}">
              <a16:creationId xmlns:a16="http://schemas.microsoft.com/office/drawing/2014/main" id="{00000000-0008-0000-0100-000023000000}"/>
            </a:ext>
          </a:extLst>
        </xdr:cNvPr>
        <xdr:cNvSpPr>
          <a:spLocks noGrp="1"/>
        </xdr:cNvSpPr>
      </xdr:nvSpPr>
      <xdr:spPr>
        <a:xfrm>
          <a:off x="9991267" y="15764280"/>
          <a:ext cx="2410745" cy="683982"/>
        </a:xfrm>
        <a:prstGeom prst="rect">
          <a:avLst/>
        </a:prstGeom>
      </xdr:spPr>
      <xdr:txBody>
        <a:bodyPr vert="horz" wrap="square" lIns="91440" tIns="45720" rIns="91440" bIns="45720" rtlCol="0">
          <a:no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US" sz="1800" b="1">
              <a:latin typeface="+mj-lt"/>
              <a:cs typeface="Segoe UI" panose="020B0502040204020203" pitchFamily="34" charset="0"/>
            </a:rPr>
            <a:t>Car</a:t>
          </a:r>
          <a:r>
            <a:rPr lang="en-US" sz="1800" b="1" baseline="0">
              <a:latin typeface="+mj-lt"/>
              <a:cs typeface="Segoe UI" panose="020B0502040204020203" pitchFamily="34" charset="0"/>
            </a:rPr>
            <a:t> Shampoo</a:t>
          </a:r>
          <a:endParaRPr lang="en-US" sz="1800" b="1">
            <a:latin typeface="+mj-lt"/>
            <a:cs typeface="Segoe UI" panose="020B0502040204020203" pitchFamily="34" charset="0"/>
          </a:endParaRPr>
        </a:p>
      </xdr:txBody>
    </xdr:sp>
    <xdr:clientData/>
  </xdr:twoCellAnchor>
  <xdr:twoCellAnchor>
    <xdr:from>
      <xdr:col>9</xdr:col>
      <xdr:colOff>304161</xdr:colOff>
      <xdr:row>78</xdr:row>
      <xdr:rowOff>152399</xdr:rowOff>
    </xdr:from>
    <xdr:to>
      <xdr:col>13</xdr:col>
      <xdr:colOff>32019</xdr:colOff>
      <xdr:row>82</xdr:row>
      <xdr:rowOff>53787</xdr:rowOff>
    </xdr:to>
    <xdr:sp macro="" textlink="">
      <xdr:nvSpPr>
        <xdr:cNvPr id="36" name="Subtitle 4">
          <a:extLst>
            <a:ext uri="{FF2B5EF4-FFF2-40B4-BE49-F238E27FC236}">
              <a16:creationId xmlns:a16="http://schemas.microsoft.com/office/drawing/2014/main" id="{00000000-0008-0000-0100-000024000000}"/>
            </a:ext>
          </a:extLst>
        </xdr:cNvPr>
        <xdr:cNvSpPr>
          <a:spLocks noGrp="1"/>
        </xdr:cNvSpPr>
      </xdr:nvSpPr>
      <xdr:spPr>
        <a:xfrm>
          <a:off x="6476361" y="15740742"/>
          <a:ext cx="2427515" cy="685159"/>
        </a:xfrm>
        <a:prstGeom prst="rect">
          <a:avLst/>
        </a:prstGeom>
      </xdr:spPr>
      <xdr:txBody>
        <a:bodyPr vert="horz" wrap="square" lIns="91440" tIns="45720" rIns="91440" bIns="45720" rtlCol="0">
          <a:no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US" sz="1800" b="1">
              <a:latin typeface="+mj-lt"/>
              <a:cs typeface="Segoe UI" panose="020B0502040204020203" pitchFamily="34" charset="0"/>
            </a:rPr>
            <a:t>1</a:t>
          </a:r>
          <a:r>
            <a:rPr lang="en-US" sz="1800" b="1" baseline="0">
              <a:latin typeface="+mj-lt"/>
              <a:cs typeface="Segoe UI" panose="020B0502040204020203" pitchFamily="34" charset="0"/>
            </a:rPr>
            <a:t> of 1 Monthly Shirt</a:t>
          </a:r>
          <a:endParaRPr lang="en-US" sz="1800" b="1">
            <a:latin typeface="+mj-lt"/>
            <a:cs typeface="Segoe UI" panose="020B0502040204020203" pitchFamily="34" charset="0"/>
          </a:endParaRPr>
        </a:p>
      </xdr:txBody>
    </xdr:sp>
    <xdr:clientData/>
  </xdr:twoCellAnchor>
  <xdr:twoCellAnchor>
    <xdr:from>
      <xdr:col>13</xdr:col>
      <xdr:colOff>598714</xdr:colOff>
      <xdr:row>60</xdr:row>
      <xdr:rowOff>1</xdr:rowOff>
    </xdr:from>
    <xdr:to>
      <xdr:col>18</xdr:col>
      <xdr:colOff>315685</xdr:colOff>
      <xdr:row>63</xdr:row>
      <xdr:rowOff>97331</xdr:rowOff>
    </xdr:to>
    <xdr:sp macro="" textlink="">
      <xdr:nvSpPr>
        <xdr:cNvPr id="37" name="Subtitle 4">
          <a:extLst>
            <a:ext uri="{FF2B5EF4-FFF2-40B4-BE49-F238E27FC236}">
              <a16:creationId xmlns:a16="http://schemas.microsoft.com/office/drawing/2014/main" id="{00000000-0008-0000-0100-000025000000}"/>
            </a:ext>
          </a:extLst>
        </xdr:cNvPr>
        <xdr:cNvSpPr>
          <a:spLocks noGrp="1"/>
        </xdr:cNvSpPr>
      </xdr:nvSpPr>
      <xdr:spPr>
        <a:xfrm>
          <a:off x="9470571" y="12061372"/>
          <a:ext cx="3091543" cy="685159"/>
        </a:xfrm>
        <a:prstGeom prst="rect">
          <a:avLst/>
        </a:prstGeom>
      </xdr:spPr>
      <xdr:txBody>
        <a:bodyPr vert="horz" wrap="square" lIns="91440" tIns="45720" rIns="91440" bIns="45720" rtlCol="0">
          <a:no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US" sz="1800" b="1">
              <a:latin typeface="+mj-lt"/>
              <a:cs typeface="Segoe UI" panose="020B0502040204020203" pitchFamily="34" charset="0"/>
            </a:rPr>
            <a:t>Maintenance</a:t>
          </a:r>
          <a:r>
            <a:rPr lang="en-US" sz="1800" b="1" baseline="0">
              <a:latin typeface="+mj-lt"/>
              <a:cs typeface="Segoe UI" panose="020B0502040204020203" pitchFamily="34" charset="0"/>
            </a:rPr>
            <a:t> Additive</a:t>
          </a:r>
          <a:endParaRPr lang="en-US" sz="1800" b="1">
            <a:latin typeface="+mj-lt"/>
            <a:cs typeface="Segoe UI" panose="020B0502040204020203" pitchFamily="34" charset="0"/>
          </a:endParaRPr>
        </a:p>
      </xdr:txBody>
    </xdr:sp>
    <xdr:clientData/>
  </xdr:twoCellAnchor>
  <xdr:twoCellAnchor>
    <xdr:from>
      <xdr:col>14</xdr:col>
      <xdr:colOff>581484</xdr:colOff>
      <xdr:row>45</xdr:row>
      <xdr:rowOff>187117</xdr:rowOff>
    </xdr:from>
    <xdr:to>
      <xdr:col>16</xdr:col>
      <xdr:colOff>277102</xdr:colOff>
      <xdr:row>59</xdr:row>
      <xdr:rowOff>68256</xdr:rowOff>
    </xdr:to>
    <xdr:grpSp>
      <xdr:nvGrpSpPr>
        <xdr:cNvPr id="42" name="Group 41">
          <a:extLst>
            <a:ext uri="{FF2B5EF4-FFF2-40B4-BE49-F238E27FC236}">
              <a16:creationId xmlns:a16="http://schemas.microsoft.com/office/drawing/2014/main" id="{00000000-0008-0000-0100-00002A000000}"/>
            </a:ext>
          </a:extLst>
        </xdr:cNvPr>
        <xdr:cNvGrpSpPr/>
      </xdr:nvGrpSpPr>
      <xdr:grpSpPr>
        <a:xfrm>
          <a:off x="10257570" y="9363962"/>
          <a:ext cx="1035687" cy="2640104"/>
          <a:chOff x="3464922" y="10722429"/>
          <a:chExt cx="1045447" cy="2634343"/>
        </a:xfrm>
      </xdr:grpSpPr>
      <xdr:pic>
        <xdr:nvPicPr>
          <xdr:cNvPr id="39" name="Picture 38">
            <a:extLst>
              <a:ext uri="{FF2B5EF4-FFF2-40B4-BE49-F238E27FC236}">
                <a16:creationId xmlns:a16="http://schemas.microsoft.com/office/drawing/2014/main" id="{00000000-0008-0000-0100-00002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464922" y="10722429"/>
            <a:ext cx="1045447" cy="263434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8"/>
          <a:stretch>
            <a:fillRect/>
          </a:stretch>
        </xdr:blipFill>
        <xdr:spPr>
          <a:xfrm>
            <a:off x="3570994" y="12260995"/>
            <a:ext cx="832499" cy="486175"/>
          </a:xfrm>
          <a:prstGeom prst="rect">
            <a:avLst/>
          </a:prstGeom>
        </xdr:spPr>
      </xdr:pic>
    </xdr:grpSp>
    <xdr:clientData/>
  </xdr:twoCellAnchor>
  <xdr:twoCellAnchor>
    <xdr:from>
      <xdr:col>0</xdr:col>
      <xdr:colOff>629795</xdr:colOff>
      <xdr:row>8</xdr:row>
      <xdr:rowOff>452077</xdr:rowOff>
    </xdr:from>
    <xdr:to>
      <xdr:col>8</xdr:col>
      <xdr:colOff>128649</xdr:colOff>
      <xdr:row>20</xdr:row>
      <xdr:rowOff>160318</xdr:rowOff>
    </xdr:to>
    <xdr:sp macro="" textlink="">
      <xdr:nvSpPr>
        <xdr:cNvPr id="135" name="Subtitle 4">
          <a:extLst>
            <a:ext uri="{FF2B5EF4-FFF2-40B4-BE49-F238E27FC236}">
              <a16:creationId xmlns:a16="http://schemas.microsoft.com/office/drawing/2014/main" id="{00000000-0008-0000-0100-00002B000000}"/>
            </a:ext>
          </a:extLst>
        </xdr:cNvPr>
        <xdr:cNvSpPr>
          <a:spLocks noGrp="1"/>
        </xdr:cNvSpPr>
      </xdr:nvSpPr>
      <xdr:spPr>
        <a:xfrm>
          <a:off x="629795" y="1910763"/>
          <a:ext cx="4996140" cy="2473212"/>
        </a:xfrm>
        <a:prstGeom prst="rect">
          <a:avLst/>
        </a:prstGeom>
      </xdr:spPr>
      <xdr:txBody>
        <a:bodyPr vert="horz" wrap="square" lIns="91440" tIns="45720" rIns="91440" bIns="45720" rtlCol="0">
          <a:normAutofit fontScale="62500" lnSpcReduction="20000"/>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US">
              <a:latin typeface="+mn-lt"/>
              <a:cs typeface="Segoe UI" panose="020B0502040204020203" pitchFamily="34" charset="0"/>
            </a:rPr>
            <a:t>Precision Performance is a </a:t>
          </a:r>
          <a:r>
            <a:rPr lang="en-US" b="1">
              <a:latin typeface="+mn-lt"/>
              <a:cs typeface="Segoe UI" panose="020B0502040204020203" pitchFamily="34" charset="0"/>
            </a:rPr>
            <a:t>MADE-UP</a:t>
          </a:r>
          <a:r>
            <a:rPr lang="en-US">
              <a:latin typeface="+mn-lt"/>
              <a:cs typeface="Segoe UI" panose="020B0502040204020203" pitchFamily="34" charset="0"/>
            </a:rPr>
            <a:t> company which creates specialized car components with the aim of upgrading cars to be used on racing tracks. Created by Lewis who is a car enthusiast and experienced mechanical engineer. Lewis started in a small garage in London, fixing various cars on a budget. Fueled by the belief that performance parts don’t need to be expensive he used his engineering prowess to research and develop new innovative parts. </a:t>
          </a:r>
          <a:endParaRPr lang="en-GB">
            <a:latin typeface="+mn-lt"/>
            <a:cs typeface="Segoe UI" panose="020B0502040204020203" pitchFamily="34" charset="0"/>
          </a:endParaRPr>
        </a:p>
        <a:p>
          <a:pPr algn="just"/>
          <a:r>
            <a:rPr lang="en-GB">
              <a:latin typeface="+mn-lt"/>
              <a:cs typeface="Segoe UI" panose="020B0502040204020203" pitchFamily="34" charset="0"/>
            </a:rPr>
            <a:t>Lewis plans</a:t>
          </a:r>
          <a:r>
            <a:rPr lang="en-GB" baseline="0">
              <a:latin typeface="+mn-lt"/>
              <a:cs typeface="Segoe UI" panose="020B0502040204020203" pitchFamily="34" charset="0"/>
            </a:rPr>
            <a:t> </a:t>
          </a:r>
          <a:r>
            <a:rPr lang="en-GB">
              <a:latin typeface="+mn-lt"/>
              <a:cs typeface="Segoe UI" panose="020B0502040204020203" pitchFamily="34" charset="0"/>
            </a:rPr>
            <a:t>to start off as an e-commerce website and earn enough to be have his own automotive shop, where he plans to install car parts for people and hang out with other car enthusiasts sharing his knowledge and experience. </a:t>
          </a:r>
          <a:endParaRPr lang="en-US">
            <a:latin typeface="+mn-lt"/>
            <a:cs typeface="Segoe UI" panose="020B0502040204020203" pitchFamily="34" charset="0"/>
          </a:endParaRPr>
        </a:p>
      </xdr:txBody>
    </xdr:sp>
    <xdr:clientData/>
  </xdr:twoCellAnchor>
  <xdr:twoCellAnchor>
    <xdr:from>
      <xdr:col>0</xdr:col>
      <xdr:colOff>671572</xdr:colOff>
      <xdr:row>22</xdr:row>
      <xdr:rowOff>16062</xdr:rowOff>
    </xdr:from>
    <xdr:to>
      <xdr:col>8</xdr:col>
      <xdr:colOff>170426</xdr:colOff>
      <xdr:row>23</xdr:row>
      <xdr:rowOff>10298</xdr:rowOff>
    </xdr:to>
    <xdr:sp macro="" textlink="">
      <xdr:nvSpPr>
        <xdr:cNvPr id="1017" name="Subtitle 4">
          <a:extLst>
            <a:ext uri="{FF2B5EF4-FFF2-40B4-BE49-F238E27FC236}">
              <a16:creationId xmlns:a16="http://schemas.microsoft.com/office/drawing/2014/main" id="{00000000-0008-0000-0100-00002C000000}"/>
            </a:ext>
          </a:extLst>
        </xdr:cNvPr>
        <xdr:cNvSpPr>
          <a:spLocks noGrp="1"/>
        </xdr:cNvSpPr>
      </xdr:nvSpPr>
      <xdr:spPr>
        <a:xfrm>
          <a:off x="671572" y="4629251"/>
          <a:ext cx="5152070" cy="189885"/>
        </a:xfrm>
        <a:prstGeom prst="rect">
          <a:avLst/>
        </a:prstGeom>
      </xdr:spPr>
      <xdr:txBody>
        <a:bodyPr vert="horz" wrap="square" lIns="91440" tIns="45720" rIns="91440" bIns="45720" rtlCol="0">
          <a:no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US" sz="2400" b="1" u="sng">
              <a:latin typeface="+mn-lt"/>
              <a:cs typeface="Segoe UI" panose="020B0502040204020203" pitchFamily="34" charset="0"/>
            </a:rPr>
            <a:t>What</a:t>
          </a:r>
          <a:r>
            <a:rPr lang="en-US" sz="2400" b="1" u="sng" baseline="0">
              <a:latin typeface="+mn-lt"/>
              <a:cs typeface="Segoe UI" panose="020B0502040204020203" pitchFamily="34" charset="0"/>
            </a:rPr>
            <a:t> do we do?</a:t>
          </a:r>
          <a:endParaRPr lang="en-US" sz="2400" b="1" u="sng">
            <a:latin typeface="+mn-lt"/>
            <a:cs typeface="Segoe UI" panose="020B0502040204020203" pitchFamily="34" charset="0"/>
          </a:endParaRPr>
        </a:p>
      </xdr:txBody>
    </xdr:sp>
    <xdr:clientData/>
  </xdr:twoCellAnchor>
  <xdr:twoCellAnchor>
    <xdr:from>
      <xdr:col>0</xdr:col>
      <xdr:colOff>629795</xdr:colOff>
      <xdr:row>25</xdr:row>
      <xdr:rowOff>147277</xdr:rowOff>
    </xdr:from>
    <xdr:to>
      <xdr:col>8</xdr:col>
      <xdr:colOff>128649</xdr:colOff>
      <xdr:row>38</xdr:row>
      <xdr:rowOff>73231</xdr:rowOff>
    </xdr:to>
    <xdr:sp macro="" textlink="">
      <xdr:nvSpPr>
        <xdr:cNvPr id="901" name="Subtitle 4">
          <a:extLst>
            <a:ext uri="{FF2B5EF4-FFF2-40B4-BE49-F238E27FC236}">
              <a16:creationId xmlns:a16="http://schemas.microsoft.com/office/drawing/2014/main" id="{00000000-0008-0000-0100-00002D000000}"/>
            </a:ext>
          </a:extLst>
        </xdr:cNvPr>
        <xdr:cNvSpPr>
          <a:spLocks noGrp="1"/>
        </xdr:cNvSpPr>
      </xdr:nvSpPr>
      <xdr:spPr>
        <a:xfrm>
          <a:off x="629795" y="5350648"/>
          <a:ext cx="4996140" cy="2473212"/>
        </a:xfrm>
        <a:prstGeom prst="rect">
          <a:avLst/>
        </a:prstGeom>
      </xdr:spPr>
      <xdr:txBody>
        <a:bodyPr vert="horz" wrap="square" lIns="91440" tIns="45720" rIns="91440" bIns="45720" rtlCol="0">
          <a:normAutofit fontScale="62500" lnSpcReduction="20000"/>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US">
              <a:latin typeface="+mn-lt"/>
              <a:cs typeface="Segoe UI" panose="020B0502040204020203" pitchFamily="34" charset="0"/>
            </a:rPr>
            <a:t>We</a:t>
          </a:r>
          <a:r>
            <a:rPr lang="en-US" baseline="0">
              <a:latin typeface="+mn-lt"/>
              <a:cs typeface="Segoe UI" panose="020B0502040204020203" pitchFamily="34" charset="0"/>
            </a:rPr>
            <a:t> sell our patented and high performance parts through e-commerce and eventually our garage which will open in 2026. The products are created through an innovative additive manufacturing machine which allows for new engineering design techinques to be implemented. </a:t>
          </a:r>
        </a:p>
        <a:p>
          <a:pPr algn="just"/>
          <a:r>
            <a:rPr lang="en-US" baseline="0">
              <a:latin typeface="+mn-lt"/>
              <a:cs typeface="Segoe UI" panose="020B0502040204020203" pitchFamily="34" charset="0"/>
            </a:rPr>
            <a:t>Our store will be a place for car enthusiasts to gather and also a place where they can pop in and get an upgrade to their beloved car the same day. </a:t>
          </a:r>
        </a:p>
        <a:p>
          <a:pPr algn="just"/>
          <a:r>
            <a:rPr lang="en-US" baseline="0">
              <a:latin typeface="+mn-lt"/>
              <a:cs typeface="Segoe UI" panose="020B0502040204020203" pitchFamily="34" charset="0"/>
            </a:rPr>
            <a:t>We know car enthusiasts love to take car of thei car and so we have complied products which we think you need on a regular basis as part of a subscription. </a:t>
          </a:r>
        </a:p>
        <a:p>
          <a:pPr algn="just"/>
          <a:endParaRPr lang="en-US" baseline="0">
            <a:latin typeface="+mn-lt"/>
            <a:cs typeface="Segoe UI" panose="020B0502040204020203" pitchFamily="34" charset="0"/>
          </a:endParaRPr>
        </a:p>
        <a:p>
          <a:pPr algn="just"/>
          <a:endParaRPr lang="en-US" baseline="0">
            <a:latin typeface="+mn-lt"/>
            <a:cs typeface="Segoe UI" panose="020B0502040204020203" pitchFamily="34" charset="0"/>
          </a:endParaRPr>
        </a:p>
        <a:p>
          <a:pPr algn="just"/>
          <a:endParaRPr lang="en-US" baseline="0">
            <a:latin typeface="+mn-lt"/>
            <a:cs typeface="Segoe UI" panose="020B0502040204020203" pitchFamily="34" charset="0"/>
          </a:endParaRPr>
        </a:p>
      </xdr:txBody>
    </xdr:sp>
    <xdr:clientData/>
  </xdr:twoCellAnchor>
  <xdr:twoCellAnchor>
    <xdr:from>
      <xdr:col>0</xdr:col>
      <xdr:colOff>618909</xdr:colOff>
      <xdr:row>40</xdr:row>
      <xdr:rowOff>60191</xdr:rowOff>
    </xdr:from>
    <xdr:to>
      <xdr:col>8</xdr:col>
      <xdr:colOff>117763</xdr:colOff>
      <xdr:row>52</xdr:row>
      <xdr:rowOff>182088</xdr:rowOff>
    </xdr:to>
    <xdr:sp macro="" textlink="">
      <xdr:nvSpPr>
        <xdr:cNvPr id="46" name="Subtitle 4">
          <a:extLst>
            <a:ext uri="{FF2B5EF4-FFF2-40B4-BE49-F238E27FC236}">
              <a16:creationId xmlns:a16="http://schemas.microsoft.com/office/drawing/2014/main" id="{00000000-0008-0000-0100-00002E000000}"/>
            </a:ext>
          </a:extLst>
        </xdr:cNvPr>
        <xdr:cNvSpPr>
          <a:spLocks noGrp="1"/>
        </xdr:cNvSpPr>
      </xdr:nvSpPr>
      <xdr:spPr>
        <a:xfrm>
          <a:off x="618909" y="8202705"/>
          <a:ext cx="4996140" cy="2473212"/>
        </a:xfrm>
        <a:prstGeom prst="rect">
          <a:avLst/>
        </a:prstGeom>
      </xdr:spPr>
      <xdr:txBody>
        <a:bodyPr vert="horz" wrap="square" lIns="91440" tIns="45720" rIns="91440" bIns="45720" rtlCol="0">
          <a:normAutofit fontScale="62500" lnSpcReduction="20000"/>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endParaRPr lang="en-US" baseline="0">
            <a:latin typeface="Segoe UI" panose="020B0502040204020203" pitchFamily="34" charset="0"/>
            <a:cs typeface="Segoe UI" panose="020B0502040204020203" pitchFamily="34" charset="0"/>
          </a:endParaRPr>
        </a:p>
      </xdr:txBody>
    </xdr:sp>
    <xdr:clientData/>
  </xdr:twoCellAnchor>
  <xdr:twoCellAnchor>
    <xdr:from>
      <xdr:col>11</xdr:col>
      <xdr:colOff>276521</xdr:colOff>
      <xdr:row>44</xdr:row>
      <xdr:rowOff>117501</xdr:rowOff>
    </xdr:from>
    <xdr:to>
      <xdr:col>15</xdr:col>
      <xdr:colOff>573676</xdr:colOff>
      <xdr:row>48</xdr:row>
      <xdr:rowOff>20170</xdr:rowOff>
    </xdr:to>
    <xdr:sp macro="" textlink="">
      <xdr:nvSpPr>
        <xdr:cNvPr id="47" name="Subtitle 4">
          <a:extLst>
            <a:ext uri="{FF2B5EF4-FFF2-40B4-BE49-F238E27FC236}">
              <a16:creationId xmlns:a16="http://schemas.microsoft.com/office/drawing/2014/main" id="{00000000-0008-0000-0100-00002F000000}"/>
            </a:ext>
          </a:extLst>
        </xdr:cNvPr>
        <xdr:cNvSpPr>
          <a:spLocks noGrp="1"/>
        </xdr:cNvSpPr>
      </xdr:nvSpPr>
      <xdr:spPr>
        <a:xfrm>
          <a:off x="7798550" y="9043787"/>
          <a:ext cx="2996812" cy="686440"/>
        </a:xfrm>
        <a:prstGeom prst="rect">
          <a:avLst/>
        </a:prstGeom>
      </xdr:spPr>
      <xdr:txBody>
        <a:bodyPr vert="horz" wrap="square" lIns="91440" tIns="45720" rIns="91440" bIns="45720" rtlCol="0">
          <a:no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US" sz="1800" b="1">
              <a:latin typeface="+mj-lt"/>
              <a:cs typeface="Segoe UI" panose="020B0502040204020203" pitchFamily="34" charset="0"/>
            </a:rPr>
            <a:t>Subscription Products:</a:t>
          </a:r>
        </a:p>
      </xdr:txBody>
    </xdr:sp>
    <xdr:clientData/>
  </xdr:twoCellAnchor>
  <xdr:twoCellAnchor>
    <xdr:from>
      <xdr:col>1</xdr:col>
      <xdr:colOff>20645</xdr:colOff>
      <xdr:row>44</xdr:row>
      <xdr:rowOff>146007</xdr:rowOff>
    </xdr:from>
    <xdr:to>
      <xdr:col>8</xdr:col>
      <xdr:colOff>487445</xdr:colOff>
      <xdr:row>57</xdr:row>
      <xdr:rowOff>71960</xdr:rowOff>
    </xdr:to>
    <xdr:sp macro="" textlink="">
      <xdr:nvSpPr>
        <xdr:cNvPr id="149" name="Subtitle 4">
          <a:extLst>
            <a:ext uri="{FF2B5EF4-FFF2-40B4-BE49-F238E27FC236}">
              <a16:creationId xmlns:a16="http://schemas.microsoft.com/office/drawing/2014/main" id="{00000000-0008-0000-0100-000031000000}"/>
            </a:ext>
          </a:extLst>
        </xdr:cNvPr>
        <xdr:cNvSpPr>
          <a:spLocks noGrp="1"/>
        </xdr:cNvSpPr>
      </xdr:nvSpPr>
      <xdr:spPr>
        <a:xfrm>
          <a:off x="988591" y="9063466"/>
          <a:ext cx="5152070" cy="2469386"/>
        </a:xfrm>
        <a:prstGeom prst="rect">
          <a:avLst/>
        </a:prstGeom>
      </xdr:spPr>
      <xdr:txBody>
        <a:bodyPr vert="horz" wrap="square" lIns="91440" tIns="45720" rIns="91440" bIns="45720" rtlCol="0">
          <a:normAutofit fontScale="62500" lnSpcReduction="20000"/>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endParaRPr lang="en-US" baseline="0">
            <a:latin typeface="Segoe UI" panose="020B0502040204020203" pitchFamily="34" charset="0"/>
            <a:cs typeface="Segoe UI" panose="020B0502040204020203" pitchFamily="34" charset="0"/>
          </a:endParaRPr>
        </a:p>
      </xdr:txBody>
    </xdr:sp>
    <xdr:clientData/>
  </xdr:twoCellAnchor>
  <xdr:twoCellAnchor>
    <xdr:from>
      <xdr:col>0</xdr:col>
      <xdr:colOff>652586</xdr:colOff>
      <xdr:row>42</xdr:row>
      <xdr:rowOff>150000</xdr:rowOff>
    </xdr:from>
    <xdr:to>
      <xdr:col>8</xdr:col>
      <xdr:colOff>151440</xdr:colOff>
      <xdr:row>43</xdr:row>
      <xdr:rowOff>144237</xdr:rowOff>
    </xdr:to>
    <xdr:sp macro="" textlink="">
      <xdr:nvSpPr>
        <xdr:cNvPr id="50" name="Subtitle 4">
          <a:extLst>
            <a:ext uri="{FF2B5EF4-FFF2-40B4-BE49-F238E27FC236}">
              <a16:creationId xmlns:a16="http://schemas.microsoft.com/office/drawing/2014/main" id="{00000000-0008-0000-0100-000032000000}"/>
            </a:ext>
          </a:extLst>
        </xdr:cNvPr>
        <xdr:cNvSpPr>
          <a:spLocks noGrp="1"/>
        </xdr:cNvSpPr>
      </xdr:nvSpPr>
      <xdr:spPr>
        <a:xfrm>
          <a:off x="652586" y="8948719"/>
          <a:ext cx="4940010" cy="196643"/>
        </a:xfrm>
        <a:prstGeom prst="rect">
          <a:avLst/>
        </a:prstGeom>
      </xdr:spPr>
      <xdr:txBody>
        <a:bodyPr vert="horz" wrap="square" lIns="91440" tIns="45720" rIns="91440" bIns="45720" rtlCol="0">
          <a:no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endParaRPr lang="en-US" sz="2400" b="1">
            <a:latin typeface="+mn-lt"/>
            <a:cs typeface="Segoe UI" panose="020B0502040204020203" pitchFamily="34" charset="0"/>
          </a:endParaRPr>
        </a:p>
      </xdr:txBody>
    </xdr:sp>
    <xdr:clientData/>
  </xdr:twoCellAnchor>
  <xdr:twoCellAnchor>
    <xdr:from>
      <xdr:col>0</xdr:col>
      <xdr:colOff>665514</xdr:colOff>
      <xdr:row>43</xdr:row>
      <xdr:rowOff>111898</xdr:rowOff>
    </xdr:from>
    <xdr:to>
      <xdr:col>8</xdr:col>
      <xdr:colOff>164368</xdr:colOff>
      <xdr:row>44</xdr:row>
      <xdr:rowOff>106135</xdr:rowOff>
    </xdr:to>
    <xdr:sp macro="" textlink="">
      <xdr:nvSpPr>
        <xdr:cNvPr id="51" name="Subtitle 4">
          <a:extLst>
            <a:ext uri="{FF2B5EF4-FFF2-40B4-BE49-F238E27FC236}">
              <a16:creationId xmlns:a16="http://schemas.microsoft.com/office/drawing/2014/main" id="{00000000-0008-0000-0100-000033000000}"/>
            </a:ext>
          </a:extLst>
        </xdr:cNvPr>
        <xdr:cNvSpPr>
          <a:spLocks noGrp="1"/>
        </xdr:cNvSpPr>
      </xdr:nvSpPr>
      <xdr:spPr>
        <a:xfrm>
          <a:off x="665514" y="9113023"/>
          <a:ext cx="4940010" cy="196643"/>
        </a:xfrm>
        <a:prstGeom prst="rect">
          <a:avLst/>
        </a:prstGeom>
      </xdr:spPr>
      <xdr:txBody>
        <a:bodyPr vert="horz" wrap="square" lIns="91440" tIns="45720" rIns="91440" bIns="45720" rtlCol="0">
          <a:no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endParaRPr lang="en-US" sz="2400" b="1">
            <a:latin typeface="+mn-lt"/>
            <a:cs typeface="Segoe UI" panose="020B0502040204020203" pitchFamily="34" charset="0"/>
          </a:endParaRPr>
        </a:p>
      </xdr:txBody>
    </xdr:sp>
    <xdr:clientData/>
  </xdr:twoCellAnchor>
  <xdr:twoCellAnchor>
    <xdr:from>
      <xdr:col>0</xdr:col>
      <xdr:colOff>630383</xdr:colOff>
      <xdr:row>57</xdr:row>
      <xdr:rowOff>51855</xdr:rowOff>
    </xdr:from>
    <xdr:to>
      <xdr:col>8</xdr:col>
      <xdr:colOff>129237</xdr:colOff>
      <xdr:row>58</xdr:row>
      <xdr:rowOff>46091</xdr:rowOff>
    </xdr:to>
    <xdr:sp macro="" textlink="">
      <xdr:nvSpPr>
        <xdr:cNvPr id="1019" name="Subtitle 4">
          <a:extLst>
            <a:ext uri="{FF2B5EF4-FFF2-40B4-BE49-F238E27FC236}">
              <a16:creationId xmlns:a16="http://schemas.microsoft.com/office/drawing/2014/main" id="{00000000-0008-0000-0100-000034000000}"/>
            </a:ext>
          </a:extLst>
        </xdr:cNvPr>
        <xdr:cNvSpPr>
          <a:spLocks noGrp="1"/>
        </xdr:cNvSpPr>
      </xdr:nvSpPr>
      <xdr:spPr>
        <a:xfrm>
          <a:off x="630383" y="11512747"/>
          <a:ext cx="5152070" cy="189885"/>
        </a:xfrm>
        <a:prstGeom prst="rect">
          <a:avLst/>
        </a:prstGeom>
      </xdr:spPr>
      <xdr:txBody>
        <a:bodyPr vert="horz" wrap="square" lIns="91440" tIns="45720" rIns="91440" bIns="45720" rtlCol="0">
          <a:no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US" sz="2400" b="1" u="sng">
              <a:latin typeface="+mn-lt"/>
              <a:cs typeface="Segoe UI" panose="020B0502040204020203" pitchFamily="34" charset="0"/>
            </a:rPr>
            <a:t>Model</a:t>
          </a:r>
          <a:r>
            <a:rPr lang="en-US" sz="2400" b="1" u="sng" baseline="0">
              <a:latin typeface="+mn-lt"/>
              <a:cs typeface="Segoe UI" panose="020B0502040204020203" pitchFamily="34" charset="0"/>
            </a:rPr>
            <a:t> Assumptions</a:t>
          </a:r>
          <a:r>
            <a:rPr lang="en-US" sz="2400" b="1" baseline="0">
              <a:latin typeface="+mn-lt"/>
              <a:cs typeface="Segoe UI" panose="020B0502040204020203" pitchFamily="34" charset="0"/>
            </a:rPr>
            <a:t>.</a:t>
          </a:r>
          <a:endParaRPr lang="en-US" sz="2400" b="1">
            <a:latin typeface="+mn-lt"/>
            <a:cs typeface="Segoe UI" panose="020B0502040204020203" pitchFamily="34" charset="0"/>
          </a:endParaRPr>
        </a:p>
      </xdr:txBody>
    </xdr:sp>
    <xdr:clientData/>
  </xdr:twoCellAnchor>
  <xdr:twoCellAnchor>
    <xdr:from>
      <xdr:col>0</xdr:col>
      <xdr:colOff>473726</xdr:colOff>
      <xdr:row>62</xdr:row>
      <xdr:rowOff>150512</xdr:rowOff>
    </xdr:from>
    <xdr:to>
      <xdr:col>7</xdr:col>
      <xdr:colOff>641904</xdr:colOff>
      <xdr:row>75</xdr:row>
      <xdr:rowOff>83223</xdr:rowOff>
    </xdr:to>
    <xdr:sp macro="" textlink="">
      <xdr:nvSpPr>
        <xdr:cNvPr id="1466" name="Subtitle 4">
          <a:extLst>
            <a:ext uri="{FF2B5EF4-FFF2-40B4-BE49-F238E27FC236}">
              <a16:creationId xmlns:a16="http://schemas.microsoft.com/office/drawing/2014/main" id="{00000000-0008-0000-0100-000035000000}"/>
            </a:ext>
          </a:extLst>
        </xdr:cNvPr>
        <xdr:cNvSpPr>
          <a:spLocks noGrp="1"/>
        </xdr:cNvSpPr>
      </xdr:nvSpPr>
      <xdr:spPr>
        <a:xfrm>
          <a:off x="473726" y="12589647"/>
          <a:ext cx="5152070" cy="2476144"/>
        </a:xfrm>
        <a:prstGeom prst="rect">
          <a:avLst/>
        </a:prstGeom>
      </xdr:spPr>
      <xdr:txBody>
        <a:bodyPr vert="horz" wrap="square" lIns="91440" tIns="45720" rIns="91440" bIns="45720" rtlCol="0">
          <a:normAutofit fontScale="62500" lnSpcReduction="20000"/>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US" baseline="0">
              <a:latin typeface="Segoe UI" panose="020B0502040204020203" pitchFamily="34" charset="0"/>
              <a:cs typeface="Segoe UI" panose="020B0502040204020203" pitchFamily="34" charset="0"/>
            </a:rPr>
            <a:t>The bussiness starts in 2024, the projections will be from 2024 - 2026. No property is bought, and is rented for ecommerce and the store. Inflation rate is taken as 3% and 2% in 2025 and 2026 respectively. </a:t>
          </a:r>
        </a:p>
        <a:p>
          <a:pPr algn="just"/>
          <a:r>
            <a:rPr lang="en-US" baseline="0">
              <a:latin typeface="Segoe UI" panose="020B0502040204020203" pitchFamily="34" charset="0"/>
              <a:cs typeface="Segoe UI" panose="020B0502040204020203" pitchFamily="34" charset="0"/>
            </a:rPr>
            <a:t>Tax rate is taken to be 20% and corporate tax as 25% [6]. </a:t>
          </a:r>
        </a:p>
        <a:p>
          <a:pPr algn="just"/>
          <a:r>
            <a:rPr lang="en-US" baseline="0">
              <a:latin typeface="Segoe UI" panose="020B0502040204020203" pitchFamily="34" charset="0"/>
              <a:cs typeface="Segoe UI" panose="020B0502040204020203" pitchFamily="34" charset="0"/>
            </a:rPr>
            <a:t>Products bought through ecommerce and instore flutuate in price whilst subscriptions do not. </a:t>
          </a:r>
        </a:p>
        <a:p>
          <a:pPr algn="just"/>
          <a:r>
            <a:rPr lang="en-US" baseline="0">
              <a:latin typeface="Segoe UI" panose="020B0502040204020203" pitchFamily="34" charset="0"/>
              <a:cs typeface="Segoe UI" panose="020B0502040204020203" pitchFamily="34" charset="0"/>
            </a:rPr>
            <a:t>The company is based in Milton Keynes, UK.</a:t>
          </a:r>
        </a:p>
        <a:p>
          <a:pPr algn="just"/>
          <a:r>
            <a:rPr lang="en-US" baseline="0">
              <a:latin typeface="Segoe UI" panose="020B0502040204020203" pitchFamily="34" charset="0"/>
              <a:cs typeface="Segoe UI" panose="020B0502040204020203" pitchFamily="34" charset="0"/>
            </a:rPr>
            <a:t>This model is built upon the Davies Design Financial Model. </a:t>
          </a:r>
        </a:p>
        <a:p>
          <a:pPr algn="just"/>
          <a:endParaRPr lang="en-US" baseline="0">
            <a:latin typeface="Segoe UI" panose="020B0502040204020203" pitchFamily="34" charset="0"/>
            <a:cs typeface="Segoe UI" panose="020B0502040204020203" pitchFamily="34" charset="0"/>
          </a:endParaRPr>
        </a:p>
      </xdr:txBody>
    </xdr:sp>
    <xdr:clientData/>
  </xdr:twoCellAnchor>
  <xdr:twoCellAnchor>
    <xdr:from>
      <xdr:col>0</xdr:col>
      <xdr:colOff>308919</xdr:colOff>
      <xdr:row>90</xdr:row>
      <xdr:rowOff>92676</xdr:rowOff>
    </xdr:from>
    <xdr:to>
      <xdr:col>17</xdr:col>
      <xdr:colOff>607540</xdr:colOff>
      <xdr:row>103</xdr:row>
      <xdr:rowOff>113270</xdr:rowOff>
    </xdr:to>
    <xdr:sp macro="" textlink="">
      <xdr:nvSpPr>
        <xdr:cNvPr id="59" name="Subtitle 4">
          <a:extLst>
            <a:ext uri="{FF2B5EF4-FFF2-40B4-BE49-F238E27FC236}">
              <a16:creationId xmlns:a16="http://schemas.microsoft.com/office/drawing/2014/main" id="{9F84C81E-7B27-4506-B90F-ACE361A51BAF}"/>
            </a:ext>
          </a:extLst>
        </xdr:cNvPr>
        <xdr:cNvSpPr>
          <a:spLocks noGrp="1"/>
        </xdr:cNvSpPr>
      </xdr:nvSpPr>
      <xdr:spPr>
        <a:xfrm>
          <a:off x="308919" y="18009973"/>
          <a:ext cx="11965459" cy="2769973"/>
        </a:xfrm>
        <a:prstGeom prst="rect">
          <a:avLst/>
        </a:prstGeom>
      </xdr:spPr>
      <xdr:txBody>
        <a:bodyPr vert="horz" wrap="square" lIns="91440" tIns="45720" rIns="91440" bIns="45720" rtlCol="0">
          <a:normAutofit fontScale="62500" lnSpcReduction="20000"/>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US" sz="3200" u="sng">
              <a:latin typeface="Segoe UI" panose="020B0502040204020203" pitchFamily="34" charset="0"/>
              <a:cs typeface="Segoe UI" panose="020B0502040204020203" pitchFamily="34" charset="0"/>
            </a:rPr>
            <a:t>References:</a:t>
          </a:r>
        </a:p>
        <a:p>
          <a:pPr algn="just"/>
          <a:r>
            <a:rPr lang="en-US">
              <a:latin typeface="Segoe UI" panose="020B0502040204020203" pitchFamily="34" charset="0"/>
              <a:cs typeface="Segoe UI" panose="020B0502040204020203" pitchFamily="34" charset="0"/>
            </a:rPr>
            <a:t>Ecommerce</a:t>
          </a:r>
          <a:r>
            <a:rPr lang="en-US" baseline="0">
              <a:latin typeface="Segoe UI" panose="020B0502040204020203" pitchFamily="34" charset="0"/>
              <a:cs typeface="Segoe UI" panose="020B0502040204020203" pitchFamily="34" charset="0"/>
            </a:rPr>
            <a:t> Icon: </a:t>
          </a:r>
          <a:r>
            <a:rPr lang="en-GB" sz="2400" b="0" i="0" kern="1200">
              <a:solidFill>
                <a:schemeClr val="tx1"/>
              </a:solidFill>
              <a:effectLst/>
              <a:latin typeface="+mn-lt"/>
              <a:ea typeface="+mn-ea"/>
              <a:cs typeface="+mn-cs"/>
            </a:rPr>
            <a:t>https://www.facebook.com/flaticon (2020). </a:t>
          </a:r>
          <a:r>
            <a:rPr lang="en-GB" sz="2400" b="0" i="1" kern="1200">
              <a:solidFill>
                <a:schemeClr val="tx1"/>
              </a:solidFill>
              <a:effectLst/>
              <a:latin typeface="+mn-lt"/>
              <a:ea typeface="+mn-ea"/>
              <a:cs typeface="+mn-cs"/>
            </a:rPr>
            <a:t>Online shopping Icon - 2991473</a:t>
          </a:r>
          <a:r>
            <a:rPr lang="en-GB" sz="2400" b="0" i="0" kern="1200">
              <a:solidFill>
                <a:schemeClr val="tx1"/>
              </a:solidFill>
              <a:effectLst/>
              <a:latin typeface="+mn-lt"/>
              <a:ea typeface="+mn-ea"/>
              <a:cs typeface="+mn-cs"/>
            </a:rPr>
            <a:t>. [online] Flaticon. Available at: https://www.flaticon.com/free-icon/online-shopping_2991473?term=ecommerce&amp;page=1&amp;position=17&amp;origin=search&amp;related_id=2991473 [Accessed 13 Mar. 2023].</a:t>
          </a:r>
          <a:endParaRPr lang="en-US" baseline="0">
            <a:latin typeface="Segoe UI" panose="020B0502040204020203" pitchFamily="34" charset="0"/>
            <a:cs typeface="Segoe UI" panose="020B0502040204020203" pitchFamily="34" charset="0"/>
          </a:endParaRPr>
        </a:p>
        <a:p>
          <a:pPr algn="just"/>
          <a:r>
            <a:rPr lang="en-US" baseline="0">
              <a:latin typeface="Segoe UI" panose="020B0502040204020203" pitchFamily="34" charset="0"/>
              <a:cs typeface="Segoe UI" panose="020B0502040204020203" pitchFamily="34" charset="0"/>
            </a:rPr>
            <a:t>Salary Icon: </a:t>
          </a:r>
          <a:r>
            <a:rPr lang="en-GB" sz="2400" b="0" i="0" kern="1200">
              <a:solidFill>
                <a:schemeClr val="tx1"/>
              </a:solidFill>
              <a:effectLst/>
              <a:latin typeface="+mn-lt"/>
              <a:ea typeface="+mn-ea"/>
              <a:cs typeface="+mn-cs"/>
            </a:rPr>
            <a:t>https://www.facebook.com/flaticon (2018). </a:t>
          </a:r>
          <a:r>
            <a:rPr lang="en-GB" sz="2400" b="0" i="1" kern="1200">
              <a:solidFill>
                <a:schemeClr val="tx1"/>
              </a:solidFill>
              <a:effectLst/>
              <a:latin typeface="+mn-lt"/>
              <a:ea typeface="+mn-ea"/>
              <a:cs typeface="+mn-cs"/>
            </a:rPr>
            <a:t>Salary Icon - 781764</a:t>
          </a:r>
          <a:r>
            <a:rPr lang="en-GB" sz="2400" b="0" i="0" kern="1200">
              <a:solidFill>
                <a:schemeClr val="tx1"/>
              </a:solidFill>
              <a:effectLst/>
              <a:latin typeface="+mn-lt"/>
              <a:ea typeface="+mn-ea"/>
              <a:cs typeface="+mn-cs"/>
            </a:rPr>
            <a:t>. [online] Flaticon. Available at: https://www.flaticon.com/free-icon/salary_781764?term=salaries&amp;page=1&amp;position=3&amp;origin=search&amp;related_id=781764 [Accessed 13 Mar. 2023].</a:t>
          </a:r>
        </a:p>
        <a:p>
          <a:pPr algn="just"/>
          <a:r>
            <a:rPr lang="en-GB" sz="2400" b="0" i="0" kern="1200" baseline="0">
              <a:solidFill>
                <a:schemeClr val="tx1"/>
              </a:solidFill>
              <a:effectLst/>
              <a:latin typeface="+mn-lt"/>
              <a:ea typeface="+mn-ea"/>
              <a:cs typeface="+mn-cs"/>
            </a:rPr>
            <a:t>Marketing Icon: </a:t>
          </a:r>
          <a:r>
            <a:rPr lang="en-GB" sz="2400" b="0" i="0" kern="1200">
              <a:solidFill>
                <a:schemeClr val="tx1"/>
              </a:solidFill>
              <a:effectLst/>
              <a:latin typeface="+mn-lt"/>
              <a:ea typeface="+mn-ea"/>
              <a:cs typeface="+mn-cs"/>
            </a:rPr>
            <a:t>https://www.facebook.com/flaticon (2019). </a:t>
          </a:r>
          <a:r>
            <a:rPr lang="en-GB" sz="2400" b="0" i="1" kern="1200">
              <a:solidFill>
                <a:schemeClr val="tx1"/>
              </a:solidFill>
              <a:effectLst/>
              <a:latin typeface="+mn-lt"/>
              <a:ea typeface="+mn-ea"/>
              <a:cs typeface="+mn-cs"/>
            </a:rPr>
            <a:t>Bullhorn Icon - 1998087</a:t>
          </a:r>
          <a:r>
            <a:rPr lang="en-GB" sz="2400" b="0" i="0" kern="1200">
              <a:solidFill>
                <a:schemeClr val="tx1"/>
              </a:solidFill>
              <a:effectLst/>
              <a:latin typeface="+mn-lt"/>
              <a:ea typeface="+mn-ea"/>
              <a:cs typeface="+mn-cs"/>
            </a:rPr>
            <a:t>. [online] Flaticon. Available at: https://www.flaticon.com/free-icon/bullhorn_1998087?term=marketing&amp;page=1&amp;position=8&amp;origin=search&amp;related_id=1998087 [Accessed 13 Mar. 2023].</a:t>
          </a:r>
        </a:p>
        <a:p>
          <a:pPr algn="just"/>
          <a:r>
            <a:rPr lang="en-GB" sz="2400" b="0" i="0" kern="1200">
              <a:solidFill>
                <a:schemeClr val="tx1"/>
              </a:solidFill>
              <a:effectLst/>
              <a:latin typeface="+mn-lt"/>
              <a:ea typeface="+mn-ea"/>
              <a:cs typeface="+mn-cs"/>
            </a:rPr>
            <a:t>Software</a:t>
          </a:r>
          <a:r>
            <a:rPr lang="en-GB" sz="2400" b="0" i="0" kern="1200" baseline="0">
              <a:solidFill>
                <a:schemeClr val="tx1"/>
              </a:solidFill>
              <a:effectLst/>
              <a:latin typeface="+mn-lt"/>
              <a:ea typeface="+mn-ea"/>
              <a:cs typeface="+mn-cs"/>
            </a:rPr>
            <a:t> Icon: </a:t>
          </a:r>
          <a:r>
            <a:rPr lang="en-GB" sz="2400" b="0" i="0" kern="1200">
              <a:solidFill>
                <a:schemeClr val="tx1"/>
              </a:solidFill>
              <a:effectLst/>
              <a:latin typeface="+mn-lt"/>
              <a:ea typeface="+mn-ea"/>
              <a:cs typeface="+mn-cs"/>
            </a:rPr>
            <a:t>https://www.facebook.com/flaticon (2022). </a:t>
          </a:r>
          <a:r>
            <a:rPr lang="en-GB" sz="2400" b="0" i="1" kern="1200">
              <a:solidFill>
                <a:schemeClr val="tx1"/>
              </a:solidFill>
              <a:effectLst/>
              <a:latin typeface="+mn-lt"/>
              <a:ea typeface="+mn-ea"/>
              <a:cs typeface="+mn-cs"/>
            </a:rPr>
            <a:t>App development Icon - 7991055</a:t>
          </a:r>
          <a:r>
            <a:rPr lang="en-GB" sz="2400" b="0" i="0" kern="1200">
              <a:solidFill>
                <a:schemeClr val="tx1"/>
              </a:solidFill>
              <a:effectLst/>
              <a:latin typeface="+mn-lt"/>
              <a:ea typeface="+mn-ea"/>
              <a:cs typeface="+mn-cs"/>
            </a:rPr>
            <a:t>. [online] Flaticon. Available at: https://www.flaticon.com/free-icon/app-development_7991055?term=software&amp;page=1&amp;position=6&amp;origin=search&amp;related_id=7991055 [Accessed 13 Mar. 2023].</a:t>
          </a:r>
        </a:p>
        <a:p>
          <a:pPr algn="just"/>
          <a:r>
            <a:rPr lang="en-GB" sz="2400" b="0" i="0" kern="1200">
              <a:solidFill>
                <a:schemeClr val="tx1"/>
              </a:solidFill>
              <a:effectLst/>
              <a:latin typeface="+mn-lt"/>
              <a:ea typeface="+mn-ea"/>
              <a:cs typeface="+mn-cs"/>
            </a:rPr>
            <a:t>Research</a:t>
          </a:r>
          <a:r>
            <a:rPr lang="en-GB" sz="2400" b="0" i="0" kern="1200" baseline="0">
              <a:solidFill>
                <a:schemeClr val="tx1"/>
              </a:solidFill>
              <a:effectLst/>
              <a:latin typeface="+mn-lt"/>
              <a:ea typeface="+mn-ea"/>
              <a:cs typeface="+mn-cs"/>
            </a:rPr>
            <a:t> and Development Icon</a:t>
          </a:r>
          <a:r>
            <a:rPr lang="en-GB" sz="2400" b="0" i="0" kern="1200">
              <a:solidFill>
                <a:schemeClr val="tx1"/>
              </a:solidFill>
              <a:effectLst/>
              <a:latin typeface="+mn-lt"/>
              <a:ea typeface="+mn-ea"/>
              <a:cs typeface="+mn-cs"/>
            </a:rPr>
            <a:t>https://www.facebook.com/flaticon (2021). </a:t>
          </a:r>
          <a:r>
            <a:rPr lang="en-GB" sz="2400" b="0" i="1" kern="1200">
              <a:solidFill>
                <a:schemeClr val="tx1"/>
              </a:solidFill>
              <a:effectLst/>
              <a:latin typeface="+mn-lt"/>
              <a:ea typeface="+mn-ea"/>
              <a:cs typeface="+mn-cs"/>
            </a:rPr>
            <a:t>Research and development Icon - 4599902</a:t>
          </a:r>
          <a:r>
            <a:rPr lang="en-GB" sz="2400" b="0" i="0" kern="1200">
              <a:solidFill>
                <a:schemeClr val="tx1"/>
              </a:solidFill>
              <a:effectLst/>
              <a:latin typeface="+mn-lt"/>
              <a:ea typeface="+mn-ea"/>
              <a:cs typeface="+mn-cs"/>
            </a:rPr>
            <a:t>. [online] Flaticon. Available at: https://www.flaticon.com/free-icon/research-and-development_4599902?term=research+and+developement&amp;page=1&amp;position=8&amp;origin=search&amp;related_id=4599902 [Accessed 13 Mar. 2023].</a:t>
          </a:r>
        </a:p>
        <a:p>
          <a:pPr algn="just"/>
          <a:r>
            <a:rPr lang="en-GB" sz="2400" b="0" i="0" kern="1200">
              <a:solidFill>
                <a:schemeClr val="tx1"/>
              </a:solidFill>
              <a:effectLst/>
              <a:latin typeface="+mn-lt"/>
              <a:ea typeface="+mn-ea"/>
              <a:cs typeface="+mn-cs"/>
            </a:rPr>
            <a:t>Security</a:t>
          </a:r>
          <a:r>
            <a:rPr lang="en-GB" sz="2400" b="0" i="0" kern="1200" baseline="0">
              <a:solidFill>
                <a:schemeClr val="tx1"/>
              </a:solidFill>
              <a:effectLst/>
              <a:latin typeface="+mn-lt"/>
              <a:ea typeface="+mn-ea"/>
              <a:cs typeface="+mn-cs"/>
            </a:rPr>
            <a:t> Icon:</a:t>
          </a:r>
          <a:r>
            <a:rPr lang="en-GB" sz="2400" b="0" i="0" kern="1200">
              <a:solidFill>
                <a:schemeClr val="tx1"/>
              </a:solidFill>
              <a:effectLst/>
              <a:latin typeface="+mn-lt"/>
              <a:ea typeface="+mn-ea"/>
              <a:cs typeface="+mn-cs"/>
            </a:rPr>
            <a:t>‌https://www.facebook.com/flaticon (2020). </a:t>
          </a:r>
          <a:r>
            <a:rPr lang="en-GB" sz="2400" b="0" i="1" kern="1200">
              <a:solidFill>
                <a:schemeClr val="tx1"/>
              </a:solidFill>
              <a:effectLst/>
              <a:latin typeface="+mn-lt"/>
              <a:ea typeface="+mn-ea"/>
              <a:cs typeface="+mn-cs"/>
            </a:rPr>
            <a:t>Security Icon - 2592258</a:t>
          </a:r>
          <a:r>
            <a:rPr lang="en-GB" sz="2400" b="0" i="0" kern="1200">
              <a:solidFill>
                <a:schemeClr val="tx1"/>
              </a:solidFill>
              <a:effectLst/>
              <a:latin typeface="+mn-lt"/>
              <a:ea typeface="+mn-ea"/>
              <a:cs typeface="+mn-cs"/>
            </a:rPr>
            <a:t>. [online] Flaticon. Available at: https://www.flaticon.com/free-icon/security_2592258?term=security&amp;page=1&amp;position=14&amp;origin=search&amp;related_id=2592258 [Accessed 13 Mar. 2023].</a:t>
          </a:r>
        </a:p>
        <a:p>
          <a:pPr algn="just"/>
          <a:r>
            <a:rPr lang="en-GB" sz="2400" b="0" i="0" kern="1200">
              <a:solidFill>
                <a:schemeClr val="tx1"/>
              </a:solidFill>
              <a:effectLst/>
              <a:latin typeface="+mn-lt"/>
              <a:ea typeface="+mn-ea"/>
              <a:cs typeface="+mn-cs"/>
            </a:rPr>
            <a:t>Insurance</a:t>
          </a:r>
          <a:r>
            <a:rPr lang="en-GB" sz="2400" b="0" i="0" kern="1200" baseline="0">
              <a:solidFill>
                <a:schemeClr val="tx1"/>
              </a:solidFill>
              <a:effectLst/>
              <a:latin typeface="+mn-lt"/>
              <a:ea typeface="+mn-ea"/>
              <a:cs typeface="+mn-cs"/>
            </a:rPr>
            <a:t> :</a:t>
          </a:r>
          <a:r>
            <a:rPr lang="en-GB" sz="2400" b="0" i="0" kern="1200">
              <a:solidFill>
                <a:schemeClr val="tx1"/>
              </a:solidFill>
              <a:effectLst/>
              <a:latin typeface="+mn-lt"/>
              <a:ea typeface="+mn-ea"/>
              <a:cs typeface="+mn-cs"/>
            </a:rPr>
            <a:t>https://www.facebook.com/flaticon (2020). </a:t>
          </a:r>
          <a:r>
            <a:rPr lang="en-GB" sz="2400" b="0" i="1" kern="1200">
              <a:solidFill>
                <a:schemeClr val="tx1"/>
              </a:solidFill>
              <a:effectLst/>
              <a:latin typeface="+mn-lt"/>
              <a:ea typeface="+mn-ea"/>
              <a:cs typeface="+mn-cs"/>
            </a:rPr>
            <a:t>Insurance Icon - 3188255</a:t>
          </a:r>
          <a:r>
            <a:rPr lang="en-GB" sz="2400" b="0" i="0" kern="1200">
              <a:solidFill>
                <a:schemeClr val="tx1"/>
              </a:solidFill>
              <a:effectLst/>
              <a:latin typeface="+mn-lt"/>
              <a:ea typeface="+mn-ea"/>
              <a:cs typeface="+mn-cs"/>
            </a:rPr>
            <a:t>. [online] Flaticon. Available at: https://www.flaticon.com/free-icon/insurance_3188255?term=insurance&amp;page=1&amp;position=15&amp;origin=search&amp;related_id=3188255 [Accessed 13 Mar. 2023].</a:t>
          </a:r>
        </a:p>
        <a:p>
          <a:pPr algn="just"/>
          <a:r>
            <a:rPr lang="en-GB" sz="2400" b="0" i="0" kern="1200">
              <a:solidFill>
                <a:schemeClr val="tx1"/>
              </a:solidFill>
              <a:effectLst/>
              <a:latin typeface="+mn-lt"/>
              <a:ea typeface="+mn-ea"/>
              <a:cs typeface="+mn-cs"/>
            </a:rPr>
            <a:t>Rent</a:t>
          </a:r>
          <a:r>
            <a:rPr lang="en-GB" sz="2400" b="0" i="0" kern="1200" baseline="0">
              <a:solidFill>
                <a:schemeClr val="tx1"/>
              </a:solidFill>
              <a:effectLst/>
              <a:latin typeface="+mn-lt"/>
              <a:ea typeface="+mn-ea"/>
              <a:cs typeface="+mn-cs"/>
            </a:rPr>
            <a:t> Icon:</a:t>
          </a:r>
          <a:r>
            <a:rPr lang="en-GB" sz="2400" b="0" i="0" kern="1200">
              <a:solidFill>
                <a:schemeClr val="tx1"/>
              </a:solidFill>
              <a:effectLst/>
              <a:latin typeface="+mn-lt"/>
              <a:ea typeface="+mn-ea"/>
              <a:cs typeface="+mn-cs"/>
            </a:rPr>
            <a:t>https://www.facebook.com/flaticon (2017). </a:t>
          </a:r>
          <a:r>
            <a:rPr lang="en-GB" sz="2400" b="0" i="1" kern="1200">
              <a:solidFill>
                <a:schemeClr val="tx1"/>
              </a:solidFill>
              <a:effectLst/>
              <a:latin typeface="+mn-lt"/>
              <a:ea typeface="+mn-ea"/>
              <a:cs typeface="+mn-cs"/>
            </a:rPr>
            <a:t>For rent Icon - 580670</a:t>
          </a:r>
          <a:r>
            <a:rPr lang="en-GB" sz="2400" b="0" i="0" kern="1200">
              <a:solidFill>
                <a:schemeClr val="tx1"/>
              </a:solidFill>
              <a:effectLst/>
              <a:latin typeface="+mn-lt"/>
              <a:ea typeface="+mn-ea"/>
              <a:cs typeface="+mn-cs"/>
            </a:rPr>
            <a:t>. [online] Flaticon. Available at: https://www.flaticon.com/free-icon/for-rent_580670?term=rent&amp;page=1&amp;position=10&amp;origin=search&amp;related_id=580670 [Accessed 13 Mar. 2023].</a:t>
          </a:r>
        </a:p>
        <a:p>
          <a:pPr algn="just"/>
          <a:r>
            <a:rPr lang="en-GB" sz="2400" b="0" i="0" kern="1200">
              <a:solidFill>
                <a:schemeClr val="tx1"/>
              </a:solidFill>
              <a:effectLst/>
              <a:latin typeface="+mn-lt"/>
              <a:ea typeface="+mn-ea"/>
              <a:cs typeface="+mn-cs"/>
            </a:rPr>
            <a:t>Property Icon: https://www.facebook.com/flaticon (2017). </a:t>
          </a:r>
          <a:r>
            <a:rPr lang="en-GB" sz="2400" b="0" i="1" kern="1200">
              <a:solidFill>
                <a:schemeClr val="tx1"/>
              </a:solidFill>
              <a:effectLst/>
              <a:latin typeface="+mn-lt"/>
              <a:ea typeface="+mn-ea"/>
              <a:cs typeface="+mn-cs"/>
            </a:rPr>
            <a:t>House Icon - 602175</a:t>
          </a:r>
          <a:r>
            <a:rPr lang="en-GB" sz="2400" b="0" i="0" kern="1200">
              <a:solidFill>
                <a:schemeClr val="tx1"/>
              </a:solidFill>
              <a:effectLst/>
              <a:latin typeface="+mn-lt"/>
              <a:ea typeface="+mn-ea"/>
              <a:cs typeface="+mn-cs"/>
            </a:rPr>
            <a:t>. [online] Flaticon. Available at: https://www.flaticon.com/free-icon/house_602175?term=property&amp;page=1&amp;position=5&amp;origin=search&amp;related_id=602175 [Accessed 13 Mar. 2023]</a:t>
          </a:r>
        </a:p>
        <a:p>
          <a:pPr algn="just"/>
          <a:r>
            <a:rPr lang="en-GB" sz="2400" b="0" i="0" kern="1200">
              <a:solidFill>
                <a:schemeClr val="tx1"/>
              </a:solidFill>
              <a:effectLst/>
              <a:latin typeface="+mn-lt"/>
              <a:ea typeface="+mn-ea"/>
              <a:cs typeface="+mn-cs"/>
            </a:rPr>
            <a:t>Financing</a:t>
          </a:r>
          <a:r>
            <a:rPr lang="en-GB" sz="2400" b="0" i="0" kern="1200" baseline="0">
              <a:solidFill>
                <a:schemeClr val="tx1"/>
              </a:solidFill>
              <a:effectLst/>
              <a:latin typeface="+mn-lt"/>
              <a:ea typeface="+mn-ea"/>
              <a:cs typeface="+mn-cs"/>
            </a:rPr>
            <a:t> Icon:</a:t>
          </a:r>
          <a:r>
            <a:rPr lang="en-GB" sz="2400" b="0" i="0" kern="1200">
              <a:solidFill>
                <a:schemeClr val="tx1"/>
              </a:solidFill>
              <a:effectLst/>
              <a:latin typeface="+mn-lt"/>
              <a:ea typeface="+mn-ea"/>
              <a:cs typeface="+mn-cs"/>
            </a:rPr>
            <a:t>https://www.facebook.com/flaticon (2020). </a:t>
          </a:r>
          <a:r>
            <a:rPr lang="en-GB" sz="2400" b="0" i="1" kern="1200">
              <a:solidFill>
                <a:schemeClr val="tx1"/>
              </a:solidFill>
              <a:effectLst/>
              <a:latin typeface="+mn-lt"/>
              <a:ea typeface="+mn-ea"/>
              <a:cs typeface="+mn-cs"/>
            </a:rPr>
            <a:t>Loan Icon - 2660516</a:t>
          </a:r>
          <a:r>
            <a:rPr lang="en-GB" sz="2400" b="0" i="0" kern="1200">
              <a:solidFill>
                <a:schemeClr val="tx1"/>
              </a:solidFill>
              <a:effectLst/>
              <a:latin typeface="+mn-lt"/>
              <a:ea typeface="+mn-ea"/>
              <a:cs typeface="+mn-cs"/>
            </a:rPr>
            <a:t>. [online] Flaticon. Available at: https://www.flaticon.com/free-icon/loan_2660516?term=loan&amp;page=1&amp;position=17&amp;origin=search&amp;related_id=2660516 [Accessed 13 Mar. 2023].</a:t>
          </a:r>
        </a:p>
        <a:p>
          <a:pPr algn="just"/>
          <a:r>
            <a:rPr lang="en-GB" sz="2400" b="0" i="0" kern="1200">
              <a:solidFill>
                <a:schemeClr val="tx1"/>
              </a:solidFill>
              <a:effectLst/>
              <a:latin typeface="+mn-lt"/>
              <a:ea typeface="+mn-ea"/>
              <a:cs typeface="+mn-cs"/>
            </a:rPr>
            <a:t>Utilities Icon: https://www.facebook.com/flaticon (2021). </a:t>
          </a:r>
          <a:r>
            <a:rPr lang="en-GB" sz="2400" b="0" i="1" kern="1200">
              <a:solidFill>
                <a:schemeClr val="tx1"/>
              </a:solidFill>
              <a:effectLst/>
              <a:latin typeface="+mn-lt"/>
              <a:ea typeface="+mn-ea"/>
              <a:cs typeface="+mn-cs"/>
            </a:rPr>
            <a:t>Utilities Icon - 6008718</a:t>
          </a:r>
          <a:r>
            <a:rPr lang="en-GB" sz="2400" b="0" i="0" kern="1200">
              <a:solidFill>
                <a:schemeClr val="tx1"/>
              </a:solidFill>
              <a:effectLst/>
              <a:latin typeface="+mn-lt"/>
              <a:ea typeface="+mn-ea"/>
              <a:cs typeface="+mn-cs"/>
            </a:rPr>
            <a:t>. [online] Flaticon. Available at: https://www.flaticon.com/free-icon/utilities_6008718?term=utilities&amp;page=1&amp;position=6&amp;origin=search&amp;related_id=6008718 [Accessed 13 Mar. 2023].</a:t>
          </a:r>
        </a:p>
        <a:p>
          <a:pPr algn="just"/>
          <a:r>
            <a:rPr lang="en-GB" sz="2400" b="0" i="0" kern="1200">
              <a:solidFill>
                <a:schemeClr val="tx1"/>
              </a:solidFill>
              <a:effectLst/>
              <a:latin typeface="+mn-lt"/>
              <a:ea typeface="+mn-ea"/>
              <a:cs typeface="+mn-cs"/>
            </a:rPr>
            <a:t>Aquisitions</a:t>
          </a:r>
          <a:r>
            <a:rPr lang="en-GB" sz="2400" b="0" i="0" kern="1200" baseline="0">
              <a:solidFill>
                <a:schemeClr val="tx1"/>
              </a:solidFill>
              <a:effectLst/>
              <a:latin typeface="+mn-lt"/>
              <a:ea typeface="+mn-ea"/>
              <a:cs typeface="+mn-cs"/>
            </a:rPr>
            <a:t> Icon:</a:t>
          </a:r>
          <a:r>
            <a:rPr lang="en-GB" sz="2400" b="0" i="0" kern="1200">
              <a:solidFill>
                <a:schemeClr val="tx1"/>
              </a:solidFill>
              <a:effectLst/>
              <a:latin typeface="+mn-lt"/>
              <a:ea typeface="+mn-ea"/>
              <a:cs typeface="+mn-cs"/>
            </a:rPr>
            <a:t>https://www.facebook.com/flaticon (2020). </a:t>
          </a:r>
          <a:r>
            <a:rPr lang="en-GB" sz="2400" b="0" i="1" kern="1200">
              <a:solidFill>
                <a:schemeClr val="tx1"/>
              </a:solidFill>
              <a:effectLst/>
              <a:latin typeface="+mn-lt"/>
              <a:ea typeface="+mn-ea"/>
              <a:cs typeface="+mn-cs"/>
            </a:rPr>
            <a:t>Investment Icon - 2510702</a:t>
          </a:r>
          <a:r>
            <a:rPr lang="en-GB" sz="2400" b="0" i="0" kern="1200">
              <a:solidFill>
                <a:schemeClr val="tx1"/>
              </a:solidFill>
              <a:effectLst/>
              <a:latin typeface="+mn-lt"/>
              <a:ea typeface="+mn-ea"/>
              <a:cs typeface="+mn-cs"/>
            </a:rPr>
            <a:t>. [online] Flaticon. Available at: https://www.flaticon.com/free-icon/investment_2510702?term=investements&amp;page=1&amp;position=11&amp;origin=search&amp;related_id=2510702 [Accessed 13 Mar. 2023].‌</a:t>
          </a:r>
        </a:p>
        <a:p>
          <a:pPr algn="just"/>
          <a:r>
            <a:rPr lang="en-US" sz="2400" kern="1200" baseline="0">
              <a:solidFill>
                <a:schemeClr val="tx1"/>
              </a:solidFill>
              <a:effectLst/>
              <a:latin typeface="+mn-lt"/>
              <a:ea typeface="+mn-ea"/>
              <a:cs typeface="+mn-cs"/>
            </a:rPr>
            <a:t>1 month subscription icon: </a:t>
          </a:r>
          <a:r>
            <a:rPr lang="en-GB" sz="2400" b="0" i="0" kern="1200">
              <a:solidFill>
                <a:schemeClr val="tx1"/>
              </a:solidFill>
              <a:effectLst/>
              <a:latin typeface="+mn-lt"/>
              <a:ea typeface="+mn-ea"/>
              <a:cs typeface="+mn-cs"/>
            </a:rPr>
            <a:t>https://www.facebook.com/flaticon (2020). </a:t>
          </a:r>
          <a:r>
            <a:rPr lang="en-GB" sz="2400" b="0" i="1" kern="1200">
              <a:solidFill>
                <a:schemeClr val="tx1"/>
              </a:solidFill>
              <a:effectLst/>
              <a:latin typeface="+mn-lt"/>
              <a:ea typeface="+mn-ea"/>
              <a:cs typeface="+mn-cs"/>
            </a:rPr>
            <a:t>Subscription Icon - 3966554</a:t>
          </a:r>
          <a:r>
            <a:rPr lang="en-GB" sz="2400" b="0" i="0" kern="1200">
              <a:solidFill>
                <a:schemeClr val="tx1"/>
              </a:solidFill>
              <a:effectLst/>
              <a:latin typeface="+mn-lt"/>
              <a:ea typeface="+mn-ea"/>
              <a:cs typeface="+mn-cs"/>
            </a:rPr>
            <a:t>. [online] Flaticon. Available at: https://www.flaticon.com/free-icon/subscription_3966554?term=subscription&amp;page=1&amp;position=10&amp;origin=search&amp;related_id=3966554 [Accessed 13 Mar. 2023].</a:t>
          </a:r>
          <a:endParaRPr lang="en-US" sz="2400" b="0" i="0" kern="1200" baseline="0">
            <a:solidFill>
              <a:schemeClr val="tx1"/>
            </a:solidFill>
            <a:effectLst/>
            <a:latin typeface="+mn-lt"/>
            <a:ea typeface="+mn-ea"/>
            <a:cs typeface="+mn-cs"/>
          </a:endParaRPr>
        </a:p>
        <a:p>
          <a:pPr algn="just"/>
          <a:r>
            <a:rPr lang="en-US" sz="2400" kern="1200" baseline="0">
              <a:solidFill>
                <a:schemeClr val="tx1"/>
              </a:solidFill>
              <a:effectLst/>
              <a:latin typeface="+mn-lt"/>
              <a:ea typeface="+mn-ea"/>
              <a:cs typeface="+mn-cs"/>
            </a:rPr>
            <a:t>Pound Icon: </a:t>
          </a:r>
          <a:r>
            <a:rPr lang="en-GB" sz="2400" b="0" i="0" kern="1200">
              <a:solidFill>
                <a:schemeClr val="tx1"/>
              </a:solidFill>
              <a:effectLst/>
              <a:latin typeface="+mn-lt"/>
              <a:ea typeface="+mn-ea"/>
              <a:cs typeface="+mn-cs"/>
            </a:rPr>
            <a:t>https://www.facebook.com/flaticon (2019). </a:t>
          </a:r>
          <a:r>
            <a:rPr lang="en-GB" sz="2400" b="0" i="1" kern="1200">
              <a:solidFill>
                <a:schemeClr val="tx1"/>
              </a:solidFill>
              <a:effectLst/>
              <a:latin typeface="+mn-lt"/>
              <a:ea typeface="+mn-ea"/>
              <a:cs typeface="+mn-cs"/>
            </a:rPr>
            <a:t>Pound sterling Icon - 1490840</a:t>
          </a:r>
          <a:r>
            <a:rPr lang="en-GB" sz="2400" b="0" i="0" kern="1200">
              <a:solidFill>
                <a:schemeClr val="tx1"/>
              </a:solidFill>
              <a:effectLst/>
              <a:latin typeface="+mn-lt"/>
              <a:ea typeface="+mn-ea"/>
              <a:cs typeface="+mn-cs"/>
            </a:rPr>
            <a:t>. [online] Flaticon. Available at: https://www.flaticon.com/free-icon/pound-sterling_1490840?term=pound&amp;page=1&amp;position=3&amp;origin=search&amp;related_id=1490840 [Accessed 13 Mar. 2023]]‌</a:t>
          </a:r>
        </a:p>
        <a:p>
          <a:pPr algn="just"/>
          <a:r>
            <a:rPr lang="en-GB" sz="2400" b="0" i="0" kern="1200">
              <a:solidFill>
                <a:schemeClr val="tx1"/>
              </a:solidFill>
              <a:effectLst/>
              <a:latin typeface="+mn-lt"/>
              <a:ea typeface="+mn-ea"/>
              <a:cs typeface="+mn-cs"/>
            </a:rPr>
            <a:t>Carbon intake</a:t>
          </a:r>
          <a:r>
            <a:rPr lang="en-GB" sz="2400" b="0" i="0" kern="1200" baseline="0">
              <a:solidFill>
                <a:schemeClr val="tx1"/>
              </a:solidFill>
              <a:effectLst/>
              <a:latin typeface="+mn-lt"/>
              <a:ea typeface="+mn-ea"/>
              <a:cs typeface="+mn-cs"/>
            </a:rPr>
            <a:t> image -</a:t>
          </a:r>
          <a:r>
            <a:rPr lang="en-GB" sz="2400" b="0" i="0" kern="1200">
              <a:solidFill>
                <a:schemeClr val="tx1"/>
              </a:solidFill>
              <a:effectLst/>
              <a:latin typeface="+mn-lt"/>
              <a:ea typeface="+mn-ea"/>
              <a:cs typeface="+mn-cs"/>
            </a:rPr>
            <a:t>“Eventuri Audi S1 2.0 TFSI Black Carbon intake - AReeve Performance,” </a:t>
          </a:r>
          <a:r>
            <a:rPr lang="en-GB" sz="2400" b="0" i="1" kern="1200">
              <a:solidFill>
                <a:schemeClr val="tx1"/>
              </a:solidFill>
              <a:effectLst/>
              <a:latin typeface="+mn-lt"/>
              <a:ea typeface="+mn-ea"/>
              <a:cs typeface="+mn-cs"/>
            </a:rPr>
            <a:t>AReeve Performance</a:t>
          </a:r>
          <a:r>
            <a:rPr lang="en-GB" sz="2400" b="0" i="0" kern="1200">
              <a:solidFill>
                <a:schemeClr val="tx1"/>
              </a:solidFill>
              <a:effectLst/>
              <a:latin typeface="+mn-lt"/>
              <a:ea typeface="+mn-ea"/>
              <a:cs typeface="+mn-cs"/>
            </a:rPr>
            <a:t>, Jan. 24, 2023. https://arperformance.co.uk/product/eventuri-audi-s1-2-0-tfsi-black-carbon-intake/ (accessed Mar. 13, 2023)</a:t>
          </a:r>
        </a:p>
        <a:p>
          <a:pPr algn="just"/>
          <a:r>
            <a:rPr lang="en-GB" sz="2400" b="0" i="0" kern="1200">
              <a:solidFill>
                <a:schemeClr val="tx1"/>
              </a:solidFill>
              <a:effectLst/>
              <a:latin typeface="+mn-lt"/>
              <a:ea typeface="+mn-ea"/>
              <a:cs typeface="+mn-cs"/>
            </a:rPr>
            <a:t>Brakes image - “Brakes | Taylors Garage Droxford,” </a:t>
          </a:r>
          <a:r>
            <a:rPr lang="en-GB" sz="2400" b="0" i="1" kern="1200">
              <a:solidFill>
                <a:schemeClr val="tx1"/>
              </a:solidFill>
              <a:effectLst/>
              <a:latin typeface="+mn-lt"/>
              <a:ea typeface="+mn-ea"/>
              <a:cs typeface="+mn-cs"/>
            </a:rPr>
            <a:t>Taylors Garage Droxford</a:t>
          </a:r>
          <a:r>
            <a:rPr lang="en-GB" sz="2400" b="0" i="0" kern="1200">
              <a:solidFill>
                <a:schemeClr val="tx1"/>
              </a:solidFill>
              <a:effectLst/>
              <a:latin typeface="+mn-lt"/>
              <a:ea typeface="+mn-ea"/>
              <a:cs typeface="+mn-cs"/>
            </a:rPr>
            <a:t>, Aug. 18, 2022. https://www.taylorsgarage.co.uk/services-item/brakes/ (accessed Mar. 13, 2023).</a:t>
          </a:r>
        </a:p>
        <a:p>
          <a:pPr algn="just"/>
          <a:r>
            <a:rPr lang="en-GB" sz="2400" b="0" i="0" kern="1200">
              <a:solidFill>
                <a:schemeClr val="tx1"/>
              </a:solidFill>
              <a:effectLst/>
              <a:latin typeface="+mn-lt"/>
              <a:ea typeface="+mn-ea"/>
              <a:cs typeface="+mn-cs"/>
            </a:rPr>
            <a:t>Turbo</a:t>
          </a:r>
          <a:r>
            <a:rPr lang="en-GB" sz="2400" b="0" i="0" kern="1200" baseline="0">
              <a:solidFill>
                <a:schemeClr val="tx1"/>
              </a:solidFill>
              <a:effectLst/>
              <a:latin typeface="+mn-lt"/>
              <a:ea typeface="+mn-ea"/>
              <a:cs typeface="+mn-cs"/>
            </a:rPr>
            <a:t> image- </a:t>
          </a:r>
          <a:r>
            <a:rPr lang="en-GB" sz="2400" b="0" i="0" kern="1200">
              <a:solidFill>
                <a:schemeClr val="tx1"/>
              </a:solidFill>
              <a:effectLst/>
              <a:latin typeface="+mn-lt"/>
              <a:ea typeface="+mn-ea"/>
              <a:cs typeface="+mn-cs"/>
            </a:rPr>
            <a:t>Hellion S550 Mustang GT Twin Turbo, “Hellion S550 Mustang GT Twin Turbo ‘Street Sleeper System’ 2018+ RHD,” </a:t>
          </a:r>
          <a:r>
            <a:rPr lang="en-GB" sz="2400" b="0" i="1" kern="1200">
              <a:solidFill>
                <a:schemeClr val="tx1"/>
              </a:solidFill>
              <a:effectLst/>
              <a:latin typeface="+mn-lt"/>
              <a:ea typeface="+mn-ea"/>
              <a:cs typeface="+mn-cs"/>
            </a:rPr>
            <a:t>SteedaUK</a:t>
          </a:r>
          <a:r>
            <a:rPr lang="en-GB" sz="2400" b="0" i="0" kern="1200">
              <a:solidFill>
                <a:schemeClr val="tx1"/>
              </a:solidFill>
              <a:effectLst/>
              <a:latin typeface="+mn-lt"/>
              <a:ea typeface="+mn-ea"/>
              <a:cs typeface="+mn-cs"/>
            </a:rPr>
            <a:t>, 2018. https://www.steeda.co.uk/products/hellion-s550-mustang-gt-twin-turbo-street-sleeper-system-2018?currency=GBP&amp;variant=43381371863258&amp;utm_medium=cpc&amp;utm_source=google&amp;utm_campaign=Google%20Shopping (accessed Mar. 13, 2023).</a:t>
          </a:r>
        </a:p>
        <a:p>
          <a:pPr algn="just"/>
          <a:r>
            <a:rPr lang="en-GB" sz="2400" b="0" i="0" kern="1200">
              <a:solidFill>
                <a:schemeClr val="tx1"/>
              </a:solidFill>
              <a:effectLst/>
              <a:latin typeface="+mn-lt"/>
              <a:ea typeface="+mn-ea"/>
              <a:cs typeface="+mn-cs"/>
            </a:rPr>
            <a:t>BMW M2</a:t>
          </a:r>
          <a:r>
            <a:rPr lang="en-GB" sz="2400" b="0" i="0" kern="1200" baseline="0">
              <a:solidFill>
                <a:schemeClr val="tx1"/>
              </a:solidFill>
              <a:effectLst/>
              <a:latin typeface="+mn-lt"/>
              <a:ea typeface="+mn-ea"/>
              <a:cs typeface="+mn-cs"/>
            </a:rPr>
            <a:t> image - </a:t>
          </a:r>
          <a:r>
            <a:rPr lang="en-GB" sz="2400" b="0" i="0" kern="1200">
              <a:solidFill>
                <a:schemeClr val="tx1"/>
              </a:solidFill>
              <a:effectLst/>
              <a:latin typeface="+mn-lt"/>
              <a:ea typeface="+mn-ea"/>
              <a:cs typeface="+mn-cs"/>
            </a:rPr>
            <a:t>T. Gear, “The 444bhp BMW M2 CS is here to bring balance to the Force,” Top Gear, Nov. 05, 2019. https://www.topgear.com/car-news/444bhp-bmw-m2-cs-here-bring-balance-force (accessed Mar. 13, 2023).</a:t>
          </a:r>
        </a:p>
        <a:p>
          <a:pPr marL="0" marR="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r>
            <a:rPr lang="en-GB" sz="2400" b="0" i="0" kern="1200">
              <a:solidFill>
                <a:schemeClr val="tx1"/>
              </a:solidFill>
              <a:effectLst/>
              <a:latin typeface="+mn-lt"/>
              <a:ea typeface="+mn-ea"/>
              <a:cs typeface="+mn-cs"/>
            </a:rPr>
            <a:t>Logo</a:t>
          </a:r>
          <a:r>
            <a:rPr lang="en-GB" sz="2400" b="0" i="0" kern="1200" baseline="0">
              <a:solidFill>
                <a:schemeClr val="tx1"/>
              </a:solidFill>
              <a:effectLst/>
              <a:latin typeface="+mn-lt"/>
              <a:ea typeface="+mn-ea"/>
              <a:cs typeface="+mn-cs"/>
            </a:rPr>
            <a:t> - </a:t>
          </a:r>
          <a:r>
            <a:rPr lang="en-GB" sz="2400" b="0" i="0" kern="1200">
              <a:solidFill>
                <a:schemeClr val="tx1"/>
              </a:solidFill>
              <a:effectLst/>
              <a:latin typeface="+mn-lt"/>
              <a:ea typeface="+mn-ea"/>
              <a:cs typeface="+mn-cs"/>
            </a:rPr>
            <a:t>“Login,” Adobe.com, 2023. https://express.adobe.com/sp/design/post/urn:aaid:sc:EU:91b77354-91c4-4ce4-a3bb-4cc37763f176/?workflow=logomaker&amp;autoDownload=true (accessed Mar. 13, 2023).</a:t>
          </a:r>
        </a:p>
        <a:p>
          <a:pPr marL="0" marR="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r>
            <a:rPr lang="en-GB" sz="2400" b="0" i="0" kern="1200">
              <a:solidFill>
                <a:schemeClr val="tx1"/>
              </a:solidFill>
              <a:effectLst/>
              <a:latin typeface="+mn-lt"/>
              <a:ea typeface="+mn-ea"/>
              <a:cs typeface="+mn-cs"/>
            </a:rPr>
            <a:t>Car scent image - “CAR FRESHENER CS SCENTS CORONADO CHERRY : Amazon.co.uk: Automotive,” Amazon.co.uk, 2023. https://www.amazon.co.uk/CAR-FRESHENER-SCENTS-CORONADO-CHERRY/dp/B00VJUO04M (accessed Mar. 13, 2023).</a:t>
          </a:r>
        </a:p>
        <a:p>
          <a:pPr marL="0" marR="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r>
            <a:rPr lang="en-GB" sz="2400" b="0" i="0" kern="1200">
              <a:solidFill>
                <a:schemeClr val="tx1"/>
              </a:solidFill>
              <a:effectLst/>
              <a:latin typeface="+mn-lt"/>
              <a:ea typeface="+mn-ea"/>
              <a:cs typeface="+mn-cs"/>
            </a:rPr>
            <a:t>Car</a:t>
          </a:r>
          <a:r>
            <a:rPr lang="en-GB" sz="2400" b="0" i="0" kern="1200" baseline="0">
              <a:solidFill>
                <a:schemeClr val="tx1"/>
              </a:solidFill>
              <a:effectLst/>
              <a:latin typeface="+mn-lt"/>
              <a:ea typeface="+mn-ea"/>
              <a:cs typeface="+mn-cs"/>
            </a:rPr>
            <a:t> additive - “Redex Petrol Octane Booster - 250ML | Halfords UK,” Halfords.com, 2023. https://www.halfords.com/motoring/engine-oils-and-fluids/fuel-and-oil-additives/redex-petrol-octane-booster---250ml-627870.html?istCompanyId=b8708c57-7a02-4cf6-b2c0-dc36b54a327e&amp;istFeedId=367c5610-f937-4c81-8609-f84582324cd6&amp;istItemId=prmwiptra&amp;istBid=t&amp;_$ja=tsid:|cid:17372421495|agid:|tid:|crid:|nw:x|rnd:6923161962478293993|dvc:c|adp:|mt:|loc:9044951&amp;gclid=Cj0KCQjwk7ugBhDIARIsAGuvgPYbliMYm56rB1yrbgc0HOEc65esy6eq3-rAnOO6pfv9ovKfS09w67gaAlBUEALw_wcB (accessed Mar. 13, 2023).</a:t>
          </a:r>
        </a:p>
        <a:p>
          <a:pPr marL="0" marR="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r>
            <a:rPr lang="en-GB" sz="2400" b="0" i="0" kern="1200" baseline="0">
              <a:solidFill>
                <a:schemeClr val="tx1"/>
              </a:solidFill>
              <a:effectLst/>
              <a:latin typeface="+mn-lt"/>
              <a:ea typeface="+mn-ea"/>
              <a:cs typeface="+mn-cs"/>
            </a:rPr>
            <a:t>‌Black shirt image  - “Ultimate Crew T-Shirt - Black - L,” David Gandy Wellwear, 2014. https://www.davidgandywellwear.com/ultimate-crew-t-shirt/13254031.html?affil=thggpsad&amp;switchcurrency=GBP&amp;shippingcountry=GB&amp;variation=13254034&amp;gclid=Cj0KCQjwk7ugBhDIARIsAGuvgPbUVyGSL3-5MgTUr314wU9kSQIVxwTCdM27CMCr9eH4DEtdVSdIJIsaAoxeEALw_wcB&amp;gclsrc=aw.ds (accessed Mar. 13, 2023).</a:t>
          </a:r>
        </a:p>
        <a:p>
          <a:pPr marL="0" marR="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r>
            <a:rPr lang="en-GB" sz="2400" b="0" i="0" kern="1200" baseline="0">
              <a:solidFill>
                <a:schemeClr val="tx1"/>
              </a:solidFill>
              <a:effectLst/>
              <a:latin typeface="+mn-lt"/>
              <a:ea typeface="+mn-ea"/>
              <a:cs typeface="+mn-cs"/>
            </a:rPr>
            <a:t>‌Car shampoo image  - “Chemical Guys Mr Pink Suds Car Shampoo Gallon,” Nonpaints.com, 2021. https://www.nonpaints.com/en/chemical-guys-mr-pink-suds-car-shampoo-gallon?utm_source=google&amp;utm_medium=surfaces&amp;utm_campaign=shopping%20feed&amp;utm_content=free%20google%20shopping%20clicks&amp;gclid=Cj0KCQjwk7ugBhDIARIsAGuvgPYG9n6s2rMbwaxVUFr7ntequQddZlc9li0bnsnfaQL0tqDHasLNkMYaAqoVEALw_wcB (accessed Mar. 13, 2023).</a:t>
          </a:r>
        </a:p>
        <a:p>
          <a:pPr marL="0" marR="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r>
            <a:rPr lang="en-GB" sz="2400" b="0" i="0" kern="1200" baseline="0">
              <a:solidFill>
                <a:schemeClr val="tx1"/>
              </a:solidFill>
              <a:effectLst/>
              <a:latin typeface="+mn-lt"/>
              <a:ea typeface="+mn-ea"/>
              <a:cs typeface="+mn-cs"/>
            </a:rPr>
            <a:t>‌</a:t>
          </a:r>
        </a:p>
        <a:p>
          <a:r>
            <a:rPr lang="en-GB" sz="2400" b="0" i="0" kern="1200">
              <a:solidFill>
                <a:schemeClr val="tx1"/>
              </a:solidFill>
              <a:effectLst/>
              <a:latin typeface="+mn-lt"/>
              <a:ea typeface="+mn-ea"/>
              <a:cs typeface="+mn-cs"/>
            </a:rPr>
            <a:t>‌</a:t>
          </a:r>
        </a:p>
        <a:p>
          <a:r>
            <a:rPr lang="en-US" baseline="0">
              <a:latin typeface="Segoe UI" panose="020B0502040204020203" pitchFamily="34" charset="0"/>
              <a:cs typeface="Segoe UI" panose="020B0502040204020203" pitchFamily="34" charset="0"/>
            </a:rPr>
            <a:t>[1] “Industry Ratios (benchmarking): Receivables turnover (days),” Readyratios.com, 2021. https://www.readyratios.com/sec/ratio/receivables-turnover/ (accessed Mar. 12, 2023).</a:t>
          </a:r>
        </a:p>
        <a:p>
          <a:pPr marL="0" marR="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r>
            <a:rPr lang="en-US" baseline="0">
              <a:latin typeface="Segoe UI" panose="020B0502040204020203" pitchFamily="34" charset="0"/>
              <a:cs typeface="Segoe UI" panose="020B0502040204020203" pitchFamily="34" charset="0"/>
            </a:rPr>
            <a:t>[2] - The idea of summer/winter break </a:t>
          </a:r>
          <a:r>
            <a:rPr lang="en-GB" sz="2400" b="0" i="0" kern="1200">
              <a:solidFill>
                <a:schemeClr val="tx1"/>
              </a:solidFill>
              <a:effectLst/>
              <a:latin typeface="+mn-lt"/>
              <a:ea typeface="+mn-ea"/>
              <a:cs typeface="+mn-cs"/>
            </a:rPr>
            <a:t>Ucl.ac.uk. (2022). </a:t>
          </a:r>
          <a:r>
            <a:rPr lang="en-GB" sz="2400" b="0" i="1" kern="1200">
              <a:solidFill>
                <a:schemeClr val="tx1"/>
              </a:solidFill>
              <a:effectLst/>
              <a:latin typeface="+mn-lt"/>
              <a:ea typeface="+mn-ea"/>
              <a:cs typeface="+mn-cs"/>
            </a:rPr>
            <a:t>MSIN0047_T2_22-23: Student Examples From Past (Level 7)</a:t>
          </a:r>
          <a:r>
            <a:rPr lang="en-GB" sz="2400" b="0" i="0" kern="1200">
              <a:solidFill>
                <a:schemeClr val="tx1"/>
              </a:solidFill>
              <a:effectLst/>
              <a:latin typeface="+mn-lt"/>
              <a:ea typeface="+mn-ea"/>
              <a:cs typeface="+mn-cs"/>
            </a:rPr>
            <a:t>. [online] Available at: https://moodle.ucl.ac.uk/mod/folder/view.php?id=4695699 [Accessed 13 Mar. 2023]. Author - Mel Anyamene.</a:t>
          </a:r>
        </a:p>
        <a:p>
          <a:pPr marL="0" marR="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r>
            <a:rPr lang="en-GB" sz="2400" b="0" i="0" kern="1200">
              <a:solidFill>
                <a:schemeClr val="tx1"/>
              </a:solidFill>
              <a:effectLst/>
              <a:latin typeface="+mn-lt"/>
              <a:ea typeface="+mn-ea"/>
              <a:cs typeface="+mn-cs"/>
            </a:rPr>
            <a:t>[3] - “Raise private equity from investment bankers companys valuation table,” </a:t>
          </a:r>
          <a:r>
            <a:rPr lang="en-GB" sz="2400" b="0" i="1" kern="1200">
              <a:solidFill>
                <a:schemeClr val="tx1"/>
              </a:solidFill>
              <a:effectLst/>
              <a:latin typeface="+mn-lt"/>
              <a:ea typeface="+mn-ea"/>
              <a:cs typeface="+mn-cs"/>
            </a:rPr>
            <a:t>Slideteam.net</a:t>
          </a:r>
          <a:r>
            <a:rPr lang="en-GB" sz="2400" b="0" i="0" kern="1200">
              <a:solidFill>
                <a:schemeClr val="tx1"/>
              </a:solidFill>
              <a:effectLst/>
              <a:latin typeface="+mn-lt"/>
              <a:ea typeface="+mn-ea"/>
              <a:cs typeface="+mn-cs"/>
            </a:rPr>
            <a:t>, Mar. 2022. https://www.slideteam.net/raise-private-equity-from-investment-bankers-companys-valuation-table.html (accessed Mar. 13, 2023).</a:t>
          </a:r>
        </a:p>
        <a:p>
          <a:pPr marL="0" marR="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r>
            <a:rPr lang="en-GB" sz="2400" b="0" i="0" kern="1200">
              <a:solidFill>
                <a:schemeClr val="tx1"/>
              </a:solidFill>
              <a:effectLst/>
              <a:latin typeface="+mn-lt"/>
              <a:ea typeface="+mn-ea"/>
              <a:cs typeface="+mn-cs"/>
            </a:rPr>
            <a:t>[4] - Stock model template</a:t>
          </a:r>
          <a:r>
            <a:rPr lang="en-GB" sz="2400" b="0" i="0" kern="1200" baseline="0">
              <a:solidFill>
                <a:schemeClr val="tx1"/>
              </a:solidFill>
              <a:effectLst/>
              <a:latin typeface="+mn-lt"/>
              <a:ea typeface="+mn-ea"/>
              <a:cs typeface="+mn-cs"/>
            </a:rPr>
            <a:t> </a:t>
          </a:r>
          <a:r>
            <a:rPr lang="en-GB" sz="2400" b="0" i="0" kern="1200">
              <a:solidFill>
                <a:schemeClr val="tx1"/>
              </a:solidFill>
              <a:effectLst/>
              <a:latin typeface="+mn-lt"/>
              <a:ea typeface="+mn-ea"/>
              <a:cs typeface="+mn-cs"/>
            </a:rPr>
            <a:t>“UCL Moodle: Log in to the site,” </a:t>
          </a:r>
          <a:r>
            <a:rPr lang="en-GB" sz="2400" b="0" i="1" kern="1200">
              <a:solidFill>
                <a:schemeClr val="tx1"/>
              </a:solidFill>
              <a:effectLst/>
              <a:latin typeface="+mn-lt"/>
              <a:ea typeface="+mn-ea"/>
              <a:cs typeface="+mn-cs"/>
            </a:rPr>
            <a:t>Ucl.ac.uk</a:t>
          </a:r>
          <a:r>
            <a:rPr lang="en-GB" sz="2400" b="0" i="0" kern="1200">
              <a:solidFill>
                <a:schemeClr val="tx1"/>
              </a:solidFill>
              <a:effectLst/>
              <a:latin typeface="+mn-lt"/>
              <a:ea typeface="+mn-ea"/>
              <a:cs typeface="+mn-cs"/>
            </a:rPr>
            <a:t>, 2022. https://moodle.ucl.ac.uk/mod/folder/view.php?id=4636021 (accessed Mar. 13, 2023). Simon Hulme</a:t>
          </a:r>
        </a:p>
        <a:p>
          <a:pPr marL="0" marR="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r>
            <a:rPr lang="en-GB" sz="2400" b="0" i="0" kern="1200">
              <a:solidFill>
                <a:schemeClr val="tx1"/>
              </a:solidFill>
              <a:effectLst/>
              <a:latin typeface="+mn-lt"/>
              <a:ea typeface="+mn-ea"/>
              <a:cs typeface="+mn-cs"/>
            </a:rPr>
            <a:t>[5] - Depreciation Template</a:t>
          </a:r>
          <a:r>
            <a:rPr lang="en-GB" sz="2400" b="0" i="0" kern="1200" baseline="0">
              <a:solidFill>
                <a:schemeClr val="tx1"/>
              </a:solidFill>
              <a:effectLst/>
              <a:latin typeface="+mn-lt"/>
              <a:ea typeface="+mn-ea"/>
              <a:cs typeface="+mn-cs"/>
            </a:rPr>
            <a:t>-</a:t>
          </a:r>
          <a:r>
            <a:rPr lang="en-GB" sz="2400" b="0" i="0" kern="1200">
              <a:solidFill>
                <a:schemeClr val="tx1"/>
              </a:solidFill>
              <a:effectLst/>
              <a:latin typeface="+mn-lt"/>
              <a:ea typeface="+mn-ea"/>
              <a:cs typeface="+mn-cs"/>
            </a:rPr>
            <a:t>“UCL Moodle: Log in to the site,” </a:t>
          </a:r>
          <a:r>
            <a:rPr lang="en-GB" sz="2400" b="0" i="1" kern="1200">
              <a:solidFill>
                <a:schemeClr val="tx1"/>
              </a:solidFill>
              <a:effectLst/>
              <a:latin typeface="+mn-lt"/>
              <a:ea typeface="+mn-ea"/>
              <a:cs typeface="+mn-cs"/>
            </a:rPr>
            <a:t>Ucl.ac.uk</a:t>
          </a:r>
          <a:r>
            <a:rPr lang="en-GB" sz="2400" b="0" i="0" kern="1200">
              <a:solidFill>
                <a:schemeClr val="tx1"/>
              </a:solidFill>
              <a:effectLst/>
              <a:latin typeface="+mn-lt"/>
              <a:ea typeface="+mn-ea"/>
              <a:cs typeface="+mn-cs"/>
            </a:rPr>
            <a:t>, 2022. https://moodle.ucl.ac.uk/mod/folder/view.php?id=4636021 (accessed Mar. 13, 2023). Simon</a:t>
          </a:r>
          <a:r>
            <a:rPr lang="en-GB" sz="2400" b="0" i="0" kern="1200" baseline="0">
              <a:solidFill>
                <a:schemeClr val="tx1"/>
              </a:solidFill>
              <a:effectLst/>
              <a:latin typeface="+mn-lt"/>
              <a:ea typeface="+mn-ea"/>
              <a:cs typeface="+mn-cs"/>
            </a:rPr>
            <a:t> Hulme</a:t>
          </a:r>
        </a:p>
        <a:p>
          <a:pPr marL="0" marR="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r>
            <a:rPr lang="en-GB" sz="2400" b="0" i="0" kern="1200" baseline="0">
              <a:solidFill>
                <a:schemeClr val="tx1"/>
              </a:solidFill>
              <a:effectLst/>
              <a:latin typeface="+mn-lt"/>
              <a:ea typeface="+mn-ea"/>
              <a:cs typeface="+mn-cs"/>
            </a:rPr>
            <a:t>[6] - </a:t>
          </a:r>
          <a:r>
            <a:rPr lang="en-GB" sz="2400" b="0" i="0" kern="1200">
              <a:solidFill>
                <a:schemeClr val="tx1"/>
              </a:solidFill>
              <a:effectLst/>
              <a:latin typeface="+mn-lt"/>
              <a:ea typeface="+mn-ea"/>
              <a:cs typeface="+mn-cs"/>
            </a:rPr>
            <a:t>HM Revenue &amp; Customs, “Corporation Tax rates and allowances,” </a:t>
          </a:r>
          <a:r>
            <a:rPr lang="en-GB" sz="2400" b="0" i="1" kern="1200">
              <a:solidFill>
                <a:schemeClr val="tx1"/>
              </a:solidFill>
              <a:effectLst/>
              <a:latin typeface="+mn-lt"/>
              <a:ea typeface="+mn-ea"/>
              <a:cs typeface="+mn-cs"/>
            </a:rPr>
            <a:t>GOV.UK</a:t>
          </a:r>
          <a:r>
            <a:rPr lang="en-GB" sz="2400" b="0" i="0" kern="1200">
              <a:solidFill>
                <a:schemeClr val="tx1"/>
              </a:solidFill>
              <a:effectLst/>
              <a:latin typeface="+mn-lt"/>
              <a:ea typeface="+mn-ea"/>
              <a:cs typeface="+mn-cs"/>
            </a:rPr>
            <a:t>, Oct. 20, 2016. https://www.gov.uk/government/publications/rates-and-allowances-corporation-tax/rates-and-allowances-corporation-tax (accessed Mar. 13, 2023).</a:t>
          </a:r>
        </a:p>
        <a:p>
          <a:r>
            <a:rPr lang="en-GB" sz="2400" b="0" i="0" kern="1200">
              <a:solidFill>
                <a:schemeClr val="tx1"/>
              </a:solidFill>
              <a:effectLst/>
              <a:latin typeface="+mn-lt"/>
              <a:ea typeface="+mn-ea"/>
              <a:cs typeface="+mn-cs"/>
            </a:rPr>
            <a:t>‌</a:t>
          </a:r>
        </a:p>
        <a:p>
          <a:pPr marL="0" marR="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endParaRPr lang="en-GB" sz="2400" b="0" i="0" kern="1200">
            <a:solidFill>
              <a:schemeClr val="tx1"/>
            </a:solidFill>
            <a:effectLst/>
            <a:latin typeface="+mn-lt"/>
            <a:ea typeface="+mn-ea"/>
            <a:cs typeface="+mn-cs"/>
          </a:endParaRPr>
        </a:p>
        <a:p>
          <a:r>
            <a:rPr lang="en-GB" sz="2400" b="0" i="0" kern="1200">
              <a:solidFill>
                <a:schemeClr val="tx1"/>
              </a:solidFill>
              <a:effectLst/>
              <a:latin typeface="+mn-lt"/>
              <a:ea typeface="+mn-ea"/>
              <a:cs typeface="+mn-cs"/>
            </a:rPr>
            <a:t>‌</a:t>
          </a:r>
        </a:p>
        <a:p>
          <a:pPr marL="0" marR="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endParaRPr lang="en-GB" sz="2400" b="0" i="0" kern="1200">
            <a:solidFill>
              <a:schemeClr val="tx1"/>
            </a:solidFill>
            <a:effectLst/>
            <a:latin typeface="+mn-lt"/>
            <a:ea typeface="+mn-ea"/>
            <a:cs typeface="+mn-cs"/>
          </a:endParaRPr>
        </a:p>
        <a:p>
          <a:r>
            <a:rPr lang="en-GB" sz="2400" b="0" i="0" kern="1200">
              <a:solidFill>
                <a:schemeClr val="tx1"/>
              </a:solidFill>
              <a:effectLst/>
              <a:latin typeface="+mn-lt"/>
              <a:ea typeface="+mn-ea"/>
              <a:cs typeface="+mn-cs"/>
            </a:rPr>
            <a:t>‌</a:t>
          </a:r>
        </a:p>
        <a:p>
          <a:pPr marL="0" marR="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endParaRPr lang="en-GB" sz="2400" b="0" i="0" kern="1200">
            <a:solidFill>
              <a:schemeClr val="tx1"/>
            </a:solidFill>
            <a:effectLst/>
            <a:latin typeface="+mn-lt"/>
            <a:ea typeface="+mn-ea"/>
            <a:cs typeface="+mn-cs"/>
          </a:endParaRPr>
        </a:p>
        <a:p>
          <a:r>
            <a:rPr lang="en-GB" sz="2400" b="0" i="0" kern="1200">
              <a:solidFill>
                <a:schemeClr val="tx1"/>
              </a:solidFill>
              <a:effectLst/>
              <a:latin typeface="+mn-lt"/>
              <a:ea typeface="+mn-ea"/>
              <a:cs typeface="+mn-cs"/>
            </a:rPr>
            <a:t>‌</a:t>
          </a:r>
        </a:p>
        <a:p>
          <a:pPr marL="0" marR="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endParaRPr lang="en-GB" sz="2400" b="0" i="0" kern="1200">
            <a:solidFill>
              <a:schemeClr val="tx1"/>
            </a:solidFill>
            <a:effectLst/>
            <a:latin typeface="+mn-lt"/>
            <a:ea typeface="+mn-ea"/>
            <a:cs typeface="+mn-cs"/>
          </a:endParaRPr>
        </a:p>
        <a:p>
          <a:r>
            <a:rPr lang="en-GB" sz="2400" b="0" i="0" kern="1200">
              <a:solidFill>
                <a:schemeClr val="tx1"/>
              </a:solidFill>
              <a:effectLst/>
              <a:latin typeface="+mn-lt"/>
              <a:ea typeface="+mn-ea"/>
              <a:cs typeface="+mn-cs"/>
            </a:rPr>
            <a:t>‌</a:t>
          </a:r>
        </a:p>
        <a:p>
          <a:pPr marL="0" marR="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endParaRPr lang="en-US" baseline="0">
            <a:latin typeface="Segoe UI" panose="020B0502040204020203" pitchFamily="34" charset="0"/>
            <a:cs typeface="Segoe UI" panose="020B0502040204020203" pitchFamily="34" charset="0"/>
          </a:endParaRPr>
        </a:p>
        <a:p>
          <a:pPr marL="0" marR="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r>
            <a:rPr lang="en-US" baseline="0">
              <a:latin typeface="Segoe UI" panose="020B0502040204020203" pitchFamily="34" charset="0"/>
              <a:cs typeface="Segoe UI" panose="020B0502040204020203" pitchFamily="34" charset="0"/>
            </a:rPr>
            <a:t>‌</a:t>
          </a:r>
        </a:p>
        <a:p>
          <a:pPr marL="0" marR="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endParaRPr lang="en-US" baseline="0">
            <a:latin typeface="Segoe UI" panose="020B0502040204020203" pitchFamily="34" charset="0"/>
            <a:cs typeface="Segoe UI" panose="020B0502040204020203" pitchFamily="34" charset="0"/>
          </a:endParaRPr>
        </a:p>
        <a:p>
          <a:pPr algn="just"/>
          <a:endParaRPr lang="en-US">
            <a:latin typeface="Segoe UI" panose="020B0502040204020203" pitchFamily="34" charset="0"/>
            <a:cs typeface="Segoe UI" panose="020B0502040204020203" pitchFamily="34" charset="0"/>
          </a:endParaRPr>
        </a:p>
      </xdr:txBody>
    </xdr:sp>
    <xdr:clientData/>
  </xdr:twoCellAnchor>
  <xdr:twoCellAnchor editAs="oneCell">
    <xdr:from>
      <xdr:col>0</xdr:col>
      <xdr:colOff>0</xdr:colOff>
      <xdr:row>0</xdr:row>
      <xdr:rowOff>17162</xdr:rowOff>
    </xdr:from>
    <xdr:to>
      <xdr:col>4</xdr:col>
      <xdr:colOff>12013</xdr:colOff>
      <xdr:row>4</xdr:row>
      <xdr:rowOff>163343</xdr:rowOff>
    </xdr:to>
    <xdr:pic>
      <xdr:nvPicPr>
        <xdr:cNvPr id="480" name="Picture 1">
          <a:extLst>
            <a:ext uri="{FF2B5EF4-FFF2-40B4-BE49-F238E27FC236}">
              <a16:creationId xmlns:a16="http://schemas.microsoft.com/office/drawing/2014/main" id="{AAA27089-89D6-4E48-A78D-5AD5681A5110}"/>
            </a:ext>
          </a:extLst>
        </xdr:cNvPr>
        <xdr:cNvPicPr>
          <a:picLocks noChangeAspect="1"/>
        </xdr:cNvPicPr>
      </xdr:nvPicPr>
      <xdr:blipFill>
        <a:blip xmlns:r="http://schemas.openxmlformats.org/officeDocument/2006/relationships" r:embed="rId11"/>
        <a:stretch>
          <a:fillRect/>
        </a:stretch>
      </xdr:blipFill>
      <xdr:spPr>
        <a:xfrm>
          <a:off x="0" y="17162"/>
          <a:ext cx="2996513" cy="958981"/>
        </a:xfrm>
        <a:prstGeom prst="rect">
          <a:avLst/>
        </a:prstGeom>
      </xdr:spPr>
    </xdr:pic>
    <xdr:clientData/>
  </xdr:twoCellAnchor>
  <xdr:twoCellAnchor>
    <xdr:from>
      <xdr:col>0</xdr:col>
      <xdr:colOff>597432</xdr:colOff>
      <xdr:row>39</xdr:row>
      <xdr:rowOff>160812</xdr:rowOff>
    </xdr:from>
    <xdr:to>
      <xdr:col>8</xdr:col>
      <xdr:colOff>96286</xdr:colOff>
      <xdr:row>40</xdr:row>
      <xdr:rowOff>155048</xdr:rowOff>
    </xdr:to>
    <xdr:sp macro="" textlink="">
      <xdr:nvSpPr>
        <xdr:cNvPr id="1020" name="Subtitle 4">
          <a:extLst>
            <a:ext uri="{FF2B5EF4-FFF2-40B4-BE49-F238E27FC236}">
              <a16:creationId xmlns:a16="http://schemas.microsoft.com/office/drawing/2014/main" id="{E198F9D9-3F5E-4BFF-97B7-3BB414DF1902}"/>
            </a:ext>
          </a:extLst>
        </xdr:cNvPr>
        <xdr:cNvSpPr>
          <a:spLocks noGrp="1"/>
        </xdr:cNvSpPr>
      </xdr:nvSpPr>
      <xdr:spPr>
        <a:xfrm>
          <a:off x="597432" y="8100028"/>
          <a:ext cx="5152070" cy="189885"/>
        </a:xfrm>
        <a:prstGeom prst="rect">
          <a:avLst/>
        </a:prstGeom>
      </xdr:spPr>
      <xdr:txBody>
        <a:bodyPr vert="horz" wrap="square" lIns="91440" tIns="45720" rIns="91440" bIns="45720" rtlCol="0">
          <a:no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US" sz="2400" b="1" u="sng">
              <a:latin typeface="+mn-lt"/>
              <a:cs typeface="Segoe UI" panose="020B0502040204020203" pitchFamily="34" charset="0"/>
            </a:rPr>
            <a:t>Business</a:t>
          </a:r>
          <a:r>
            <a:rPr lang="en-US" sz="2400" b="1" u="sng" baseline="0">
              <a:latin typeface="+mn-lt"/>
              <a:cs typeface="Segoe UI" panose="020B0502040204020203" pitchFamily="34" charset="0"/>
            </a:rPr>
            <a:t> Model</a:t>
          </a:r>
        </a:p>
        <a:p>
          <a:pPr marL="0" marR="0" lvl="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endParaRPr lang="en-US" sz="1500" kern="1200" baseline="0">
            <a:solidFill>
              <a:schemeClr val="tx1"/>
            </a:solidFill>
            <a:effectLst/>
            <a:latin typeface="+mn-lt"/>
            <a:ea typeface="+mn-ea"/>
            <a:cs typeface="+mn-cs"/>
          </a:endParaRPr>
        </a:p>
        <a:p>
          <a:pPr marL="0" marR="0" lvl="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r>
            <a:rPr lang="en-US" sz="1500" kern="1200" baseline="0">
              <a:solidFill>
                <a:schemeClr val="tx1"/>
              </a:solidFill>
              <a:effectLst/>
              <a:latin typeface="+mn-lt"/>
              <a:ea typeface="+mn-ea"/>
              <a:cs typeface="+mn-cs"/>
            </a:rPr>
            <a:t>We  give the oppurtunity for people to get a chance to be driven around the infamous Silverstone Race Track with Lewis in his bespoke built car through a monthly raffle. </a:t>
          </a:r>
          <a:endParaRPr lang="en-GB" sz="1500">
            <a:effectLst/>
          </a:endParaRPr>
        </a:p>
        <a:p>
          <a:pPr marL="0" marR="0" lvl="0" indent="0" algn="just" defTabSz="914400" rtl="0" eaLnBrk="1" fontAlgn="auto" latinLnBrk="0" hangingPunct="1">
            <a:lnSpc>
              <a:spcPct val="90000"/>
            </a:lnSpc>
            <a:spcBef>
              <a:spcPts val="1000"/>
            </a:spcBef>
            <a:spcAft>
              <a:spcPts val="0"/>
            </a:spcAft>
            <a:buClrTx/>
            <a:buSzTx/>
            <a:buFont typeface="Arial" panose="020B0604020202020204" pitchFamily="34" charset="0"/>
            <a:buNone/>
            <a:tabLst/>
            <a:defRPr/>
          </a:pPr>
          <a:r>
            <a:rPr lang="en-US" sz="1500" b="0" kern="1200" baseline="0">
              <a:solidFill>
                <a:schemeClr val="tx1"/>
              </a:solidFill>
              <a:effectLst/>
              <a:latin typeface="+mn-lt"/>
              <a:ea typeface="+mn-ea"/>
              <a:cs typeface="Segoe UI" panose="020B0502040204020203" pitchFamily="34" charset="0"/>
            </a:rPr>
            <a:t>T</a:t>
          </a:r>
          <a:r>
            <a:rPr lang="en-US" sz="1500" kern="1200" baseline="0">
              <a:solidFill>
                <a:schemeClr val="tx1"/>
              </a:solidFill>
              <a:effectLst/>
              <a:latin typeface="+mn-lt"/>
              <a:ea typeface="+mn-ea"/>
              <a:cs typeface="+mn-cs"/>
            </a:rPr>
            <a:t>o enter the raffle you have to follow us on Youtube and Instagram. You will earn 30 raffle tickets per engineered product you buy and 5 tickets per month through our subscription and 100 tickets if you subscribe to our annual package. The subscription also gives you access to exclusive behind the scenes videos and 1 of 1 T -  shirts released every month.</a:t>
          </a:r>
          <a:endParaRPr lang="en-GB" sz="1500">
            <a:effectLst/>
          </a:endParaRPr>
        </a:p>
        <a:p>
          <a:pPr algn="just"/>
          <a:endParaRPr lang="en-US" sz="2400" b="1" baseline="0">
            <a:latin typeface="+mn-lt"/>
            <a:cs typeface="Segoe UI" panose="020B0502040204020203" pitchFamily="34" charset="0"/>
          </a:endParaRPr>
        </a:p>
      </xdr:txBody>
    </xdr:sp>
    <xdr:clientData/>
  </xdr:twoCellAnchor>
  <xdr:twoCellAnchor editAs="oneCell">
    <xdr:from>
      <xdr:col>10</xdr:col>
      <xdr:colOff>234781</xdr:colOff>
      <xdr:row>70</xdr:row>
      <xdr:rowOff>4806</xdr:rowOff>
    </xdr:from>
    <xdr:to>
      <xdr:col>11</xdr:col>
      <xdr:colOff>541983</xdr:colOff>
      <xdr:row>72</xdr:row>
      <xdr:rowOff>40428</xdr:rowOff>
    </xdr:to>
    <xdr:pic>
      <xdr:nvPicPr>
        <xdr:cNvPr id="1022" name="Picture 1">
          <a:extLst>
            <a:ext uri="{FF2B5EF4-FFF2-40B4-BE49-F238E27FC236}">
              <a16:creationId xmlns:a16="http://schemas.microsoft.com/office/drawing/2014/main" id="{D006C3F6-84C9-4190-BB52-A039A172E2E7}"/>
            </a:ext>
          </a:extLst>
        </xdr:cNvPr>
        <xdr:cNvPicPr>
          <a:picLocks noChangeAspect="1"/>
        </xdr:cNvPicPr>
      </xdr:nvPicPr>
      <xdr:blipFill>
        <a:blip xmlns:r="http://schemas.openxmlformats.org/officeDocument/2006/relationships" r:embed="rId11"/>
        <a:stretch>
          <a:fillRect/>
        </a:stretch>
      </xdr:blipFill>
      <xdr:spPr>
        <a:xfrm>
          <a:off x="7226646" y="14009130"/>
          <a:ext cx="980302" cy="442022"/>
        </a:xfrm>
        <a:prstGeom prst="rect">
          <a:avLst/>
        </a:prstGeom>
      </xdr:spPr>
    </xdr:pic>
    <xdr:clientData/>
  </xdr:twoCellAnchor>
  <xdr:twoCellAnchor editAs="oneCell">
    <xdr:from>
      <xdr:col>15</xdr:col>
      <xdr:colOff>109155</xdr:colOff>
      <xdr:row>71</xdr:row>
      <xdr:rowOff>105719</xdr:rowOff>
    </xdr:from>
    <xdr:to>
      <xdr:col>16</xdr:col>
      <xdr:colOff>416357</xdr:colOff>
      <xdr:row>73</xdr:row>
      <xdr:rowOff>141341</xdr:rowOff>
    </xdr:to>
    <xdr:pic>
      <xdr:nvPicPr>
        <xdr:cNvPr id="498" name="Picture 1">
          <a:extLst>
            <a:ext uri="{FF2B5EF4-FFF2-40B4-BE49-F238E27FC236}">
              <a16:creationId xmlns:a16="http://schemas.microsoft.com/office/drawing/2014/main" id="{8C8DF375-B1DB-491B-8860-633316EAFB35}"/>
            </a:ext>
          </a:extLst>
        </xdr:cNvPr>
        <xdr:cNvPicPr>
          <a:picLocks noChangeAspect="1"/>
        </xdr:cNvPicPr>
      </xdr:nvPicPr>
      <xdr:blipFill>
        <a:blip xmlns:r="http://schemas.openxmlformats.org/officeDocument/2006/relationships" r:embed="rId11"/>
        <a:stretch>
          <a:fillRect/>
        </a:stretch>
      </xdr:blipFill>
      <xdr:spPr>
        <a:xfrm>
          <a:off x="10447641" y="14305692"/>
          <a:ext cx="980302" cy="442022"/>
        </a:xfrm>
        <a:prstGeom prst="rect">
          <a:avLst/>
        </a:prstGeom>
      </xdr:spPr>
    </xdr:pic>
    <xdr:clientData/>
  </xdr:twoCellAnchor>
  <xdr:twoCellAnchor editAs="oneCell">
    <xdr:from>
      <xdr:col>14</xdr:col>
      <xdr:colOff>608232</xdr:colOff>
      <xdr:row>53</xdr:row>
      <xdr:rowOff>155145</xdr:rowOff>
    </xdr:from>
    <xdr:to>
      <xdr:col>16</xdr:col>
      <xdr:colOff>246109</xdr:colOff>
      <xdr:row>56</xdr:row>
      <xdr:rowOff>56978</xdr:rowOff>
    </xdr:to>
    <xdr:pic>
      <xdr:nvPicPr>
        <xdr:cNvPr id="502" name="Picture 1">
          <a:extLst>
            <a:ext uri="{FF2B5EF4-FFF2-40B4-BE49-F238E27FC236}">
              <a16:creationId xmlns:a16="http://schemas.microsoft.com/office/drawing/2014/main" id="{47608809-E77F-4090-92C0-3D5FE2840813}"/>
            </a:ext>
          </a:extLst>
        </xdr:cNvPr>
        <xdr:cNvPicPr>
          <a:picLocks noChangeAspect="1"/>
        </xdr:cNvPicPr>
      </xdr:nvPicPr>
      <xdr:blipFill>
        <a:blip xmlns:r="http://schemas.openxmlformats.org/officeDocument/2006/relationships" r:embed="rId11"/>
        <a:stretch>
          <a:fillRect/>
        </a:stretch>
      </xdr:blipFill>
      <xdr:spPr>
        <a:xfrm>
          <a:off x="10270529" y="11362037"/>
          <a:ext cx="976526" cy="519671"/>
        </a:xfrm>
        <a:prstGeom prst="rect">
          <a:avLst/>
        </a:prstGeom>
      </xdr:spPr>
    </xdr:pic>
    <xdr:clientData/>
  </xdr:twoCellAnchor>
  <xdr:twoCellAnchor editAs="oneCell">
    <xdr:from>
      <xdr:col>10</xdr:col>
      <xdr:colOff>315100</xdr:colOff>
      <xdr:row>54</xdr:row>
      <xdr:rowOff>188096</xdr:rowOff>
    </xdr:from>
    <xdr:to>
      <xdr:col>12</xdr:col>
      <xdr:colOff>264522</xdr:colOff>
      <xdr:row>57</xdr:row>
      <xdr:rowOff>162697</xdr:rowOff>
    </xdr:to>
    <xdr:pic>
      <xdr:nvPicPr>
        <xdr:cNvPr id="1027" name="Picture 1">
          <a:extLst>
            <a:ext uri="{FF2B5EF4-FFF2-40B4-BE49-F238E27FC236}">
              <a16:creationId xmlns:a16="http://schemas.microsoft.com/office/drawing/2014/main" id="{EFFF7074-2846-4AF6-A83E-5DA39B341FFC}"/>
            </a:ext>
          </a:extLst>
        </xdr:cNvPr>
        <xdr:cNvPicPr>
          <a:picLocks noChangeAspect="1"/>
        </xdr:cNvPicPr>
      </xdr:nvPicPr>
      <xdr:blipFill>
        <a:blip xmlns:r="http://schemas.openxmlformats.org/officeDocument/2006/relationships" r:embed="rId11"/>
        <a:stretch>
          <a:fillRect/>
        </a:stretch>
      </xdr:blipFill>
      <xdr:spPr>
        <a:xfrm>
          <a:off x="7306965" y="11062042"/>
          <a:ext cx="1295622" cy="5842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241906</xdr:colOff>
      <xdr:row>13</xdr:row>
      <xdr:rowOff>36285</xdr:rowOff>
    </xdr:from>
    <xdr:to>
      <xdr:col>2</xdr:col>
      <xdr:colOff>521371</xdr:colOff>
      <xdr:row>20</xdr:row>
      <xdr:rowOff>173182</xdr:rowOff>
    </xdr:to>
    <xdr:pic>
      <xdr:nvPicPr>
        <xdr:cNvPr id="5" name="Picture 4">
          <a:extLst>
            <a:ext uri="{FF2B5EF4-FFF2-40B4-BE49-F238E27FC236}">
              <a16:creationId xmlns:a16="http://schemas.microsoft.com/office/drawing/2014/main" id="{4E8E6E75-9672-0EF6-6A51-DD28EFF04248}"/>
            </a:ext>
          </a:extLst>
        </xdr:cNvPr>
        <xdr:cNvPicPr>
          <a:picLocks noChangeAspect="1"/>
        </xdr:cNvPicPr>
      </xdr:nvPicPr>
      <xdr:blipFill>
        <a:blip xmlns:r="http://schemas.openxmlformats.org/officeDocument/2006/relationships" r:embed="rId1"/>
        <a:stretch>
          <a:fillRect/>
        </a:stretch>
      </xdr:blipFill>
      <xdr:spPr>
        <a:xfrm>
          <a:off x="241906" y="3488376"/>
          <a:ext cx="1503283" cy="1510806"/>
        </a:xfrm>
        <a:prstGeom prst="rect">
          <a:avLst/>
        </a:prstGeom>
      </xdr:spPr>
    </xdr:pic>
    <xdr:clientData/>
  </xdr:twoCellAnchor>
  <xdr:twoCellAnchor editAs="oneCell">
    <xdr:from>
      <xdr:col>0</xdr:col>
      <xdr:colOff>164495</xdr:colOff>
      <xdr:row>34</xdr:row>
      <xdr:rowOff>43541</xdr:rowOff>
    </xdr:from>
    <xdr:to>
      <xdr:col>2</xdr:col>
      <xdr:colOff>478972</xdr:colOff>
      <xdr:row>42</xdr:row>
      <xdr:rowOff>19352</xdr:rowOff>
    </xdr:to>
    <xdr:pic>
      <xdr:nvPicPr>
        <xdr:cNvPr id="6" name="Picture 5">
          <a:extLst>
            <a:ext uri="{FF2B5EF4-FFF2-40B4-BE49-F238E27FC236}">
              <a16:creationId xmlns:a16="http://schemas.microsoft.com/office/drawing/2014/main" id="{E8F093BF-C6C5-4ADE-B615-73DB7FA734D5}"/>
            </a:ext>
          </a:extLst>
        </xdr:cNvPr>
        <xdr:cNvPicPr>
          <a:picLocks noChangeAspect="1"/>
        </xdr:cNvPicPr>
      </xdr:nvPicPr>
      <xdr:blipFill>
        <a:blip xmlns:r="http://schemas.openxmlformats.org/officeDocument/2006/relationships" r:embed="rId1"/>
        <a:stretch>
          <a:fillRect/>
        </a:stretch>
      </xdr:blipFill>
      <xdr:spPr>
        <a:xfrm>
          <a:off x="164495" y="7808684"/>
          <a:ext cx="1524001" cy="1524001"/>
        </a:xfrm>
        <a:prstGeom prst="rect">
          <a:avLst/>
        </a:prstGeom>
      </xdr:spPr>
    </xdr:pic>
    <xdr:clientData/>
  </xdr:twoCellAnchor>
  <xdr:twoCellAnchor editAs="oneCell">
    <xdr:from>
      <xdr:col>0</xdr:col>
      <xdr:colOff>147561</xdr:colOff>
      <xdr:row>55</xdr:row>
      <xdr:rowOff>135465</xdr:rowOff>
    </xdr:from>
    <xdr:to>
      <xdr:col>2</xdr:col>
      <xdr:colOff>462038</xdr:colOff>
      <xdr:row>63</xdr:row>
      <xdr:rowOff>111276</xdr:rowOff>
    </xdr:to>
    <xdr:pic>
      <xdr:nvPicPr>
        <xdr:cNvPr id="7" name="Picture 6">
          <a:extLst>
            <a:ext uri="{FF2B5EF4-FFF2-40B4-BE49-F238E27FC236}">
              <a16:creationId xmlns:a16="http://schemas.microsoft.com/office/drawing/2014/main" id="{31100D70-56F7-4BA6-AA1D-C116D63A573C}"/>
            </a:ext>
          </a:extLst>
        </xdr:cNvPr>
        <xdr:cNvPicPr>
          <a:picLocks noChangeAspect="1"/>
        </xdr:cNvPicPr>
      </xdr:nvPicPr>
      <xdr:blipFill>
        <a:blip xmlns:r="http://schemas.openxmlformats.org/officeDocument/2006/relationships" r:embed="rId1"/>
        <a:stretch>
          <a:fillRect/>
        </a:stretch>
      </xdr:blipFill>
      <xdr:spPr>
        <a:xfrm>
          <a:off x="147561" y="12412132"/>
          <a:ext cx="1524001" cy="1524001"/>
        </a:xfrm>
        <a:prstGeom prst="rect">
          <a:avLst/>
        </a:prstGeom>
      </xdr:spPr>
    </xdr:pic>
    <xdr:clientData/>
  </xdr:twoCellAnchor>
  <xdr:twoCellAnchor editAs="oneCell">
    <xdr:from>
      <xdr:col>8</xdr:col>
      <xdr:colOff>533400</xdr:colOff>
      <xdr:row>54</xdr:row>
      <xdr:rowOff>195941</xdr:rowOff>
    </xdr:from>
    <xdr:to>
      <xdr:col>9</xdr:col>
      <xdr:colOff>1197428</xdr:colOff>
      <xdr:row>63</xdr:row>
      <xdr:rowOff>130627</xdr:rowOff>
    </xdr:to>
    <xdr:pic>
      <xdr:nvPicPr>
        <xdr:cNvPr id="10" name="Picture 9">
          <a:extLst>
            <a:ext uri="{FF2B5EF4-FFF2-40B4-BE49-F238E27FC236}">
              <a16:creationId xmlns:a16="http://schemas.microsoft.com/office/drawing/2014/main" id="{A66DD765-E46D-D9E7-294D-4D14AB3485A6}"/>
            </a:ext>
          </a:extLst>
        </xdr:cNvPr>
        <xdr:cNvPicPr>
          <a:picLocks noChangeAspect="1"/>
        </xdr:cNvPicPr>
      </xdr:nvPicPr>
      <xdr:blipFill>
        <a:blip xmlns:r="http://schemas.openxmlformats.org/officeDocument/2006/relationships" r:embed="rId2"/>
        <a:stretch>
          <a:fillRect/>
        </a:stretch>
      </xdr:blipFill>
      <xdr:spPr>
        <a:xfrm>
          <a:off x="10755086" y="12387941"/>
          <a:ext cx="1698171" cy="1698171"/>
        </a:xfrm>
        <a:prstGeom prst="rect">
          <a:avLst/>
        </a:prstGeom>
      </xdr:spPr>
    </xdr:pic>
    <xdr:clientData/>
  </xdr:twoCellAnchor>
  <xdr:twoCellAnchor>
    <xdr:from>
      <xdr:col>8</xdr:col>
      <xdr:colOff>516466</xdr:colOff>
      <xdr:row>76</xdr:row>
      <xdr:rowOff>283030</xdr:rowOff>
    </xdr:from>
    <xdr:to>
      <xdr:col>9</xdr:col>
      <xdr:colOff>1435704</xdr:colOff>
      <xdr:row>85</xdr:row>
      <xdr:rowOff>175382</xdr:rowOff>
    </xdr:to>
    <xdr:grpSp>
      <xdr:nvGrpSpPr>
        <xdr:cNvPr id="12" name="Group 11">
          <a:extLst>
            <a:ext uri="{FF2B5EF4-FFF2-40B4-BE49-F238E27FC236}">
              <a16:creationId xmlns:a16="http://schemas.microsoft.com/office/drawing/2014/main" id="{CE897BD3-4F57-4177-6612-7472DFF31BB4}"/>
            </a:ext>
          </a:extLst>
        </xdr:cNvPr>
        <xdr:cNvGrpSpPr/>
      </xdr:nvGrpSpPr>
      <xdr:grpSpPr>
        <a:xfrm>
          <a:off x="10734193" y="17508848"/>
          <a:ext cx="1946784" cy="1855079"/>
          <a:chOff x="10745195" y="17055995"/>
          <a:chExt cx="1950180" cy="1990093"/>
        </a:xfrm>
      </xdr:grpSpPr>
      <xdr:pic>
        <xdr:nvPicPr>
          <xdr:cNvPr id="9" name="Picture 8">
            <a:extLst>
              <a:ext uri="{FF2B5EF4-FFF2-40B4-BE49-F238E27FC236}">
                <a16:creationId xmlns:a16="http://schemas.microsoft.com/office/drawing/2014/main" id="{26C35A63-1057-FE04-0F00-E926ABD78098}"/>
              </a:ext>
            </a:extLst>
          </xdr:cNvPr>
          <xdr:cNvPicPr>
            <a:picLocks noChangeAspect="1"/>
          </xdr:cNvPicPr>
        </xdr:nvPicPr>
        <xdr:blipFill>
          <a:blip xmlns:r="http://schemas.openxmlformats.org/officeDocument/2006/relationships" r:embed="rId3"/>
          <a:stretch>
            <a:fillRect/>
          </a:stretch>
        </xdr:blipFill>
        <xdr:spPr>
          <a:xfrm>
            <a:off x="10745195" y="17055995"/>
            <a:ext cx="1950180" cy="1990093"/>
          </a:xfrm>
          <a:prstGeom prst="rect">
            <a:avLst/>
          </a:prstGeom>
        </xdr:spPr>
      </xdr:pic>
      <xdr:pic>
        <xdr:nvPicPr>
          <xdr:cNvPr id="11" name="Picture 10">
            <a:extLst>
              <a:ext uri="{FF2B5EF4-FFF2-40B4-BE49-F238E27FC236}">
                <a16:creationId xmlns:a16="http://schemas.microsoft.com/office/drawing/2014/main" id="{A3C3E29C-0A37-2DBD-BBBE-BEAFFE91DA48}"/>
              </a:ext>
            </a:extLst>
          </xdr:cNvPr>
          <xdr:cNvPicPr>
            <a:picLocks noChangeAspect="1"/>
          </xdr:cNvPicPr>
        </xdr:nvPicPr>
        <xdr:blipFill>
          <a:blip xmlns:r="http://schemas.openxmlformats.org/officeDocument/2006/relationships" r:embed="rId4"/>
          <a:stretch>
            <a:fillRect/>
          </a:stretch>
        </xdr:blipFill>
        <xdr:spPr>
          <a:xfrm>
            <a:off x="11370706" y="18207576"/>
            <a:ext cx="689065" cy="693135"/>
          </a:xfrm>
          <a:prstGeom prst="rect">
            <a:avLst/>
          </a:prstGeom>
        </xdr:spPr>
      </xdr:pic>
    </xdr:grpSp>
    <xdr:clientData/>
  </xdr:twoCellAnchor>
  <xdr:twoCellAnchor>
    <xdr:from>
      <xdr:col>0</xdr:col>
      <xdr:colOff>0</xdr:colOff>
      <xdr:row>77</xdr:row>
      <xdr:rowOff>57345</xdr:rowOff>
    </xdr:from>
    <xdr:to>
      <xdr:col>3</xdr:col>
      <xdr:colOff>72571</xdr:colOff>
      <xdr:row>86</xdr:row>
      <xdr:rowOff>8964</xdr:rowOff>
    </xdr:to>
    <xdr:grpSp>
      <xdr:nvGrpSpPr>
        <xdr:cNvPr id="14" name="Group 13">
          <a:extLst>
            <a:ext uri="{FF2B5EF4-FFF2-40B4-BE49-F238E27FC236}">
              <a16:creationId xmlns:a16="http://schemas.microsoft.com/office/drawing/2014/main" id="{A78556F1-F2A5-E95F-13D2-1FBA054E2F21}"/>
            </a:ext>
          </a:extLst>
        </xdr:cNvPr>
        <xdr:cNvGrpSpPr/>
      </xdr:nvGrpSpPr>
      <xdr:grpSpPr>
        <a:xfrm>
          <a:off x="0" y="17606436"/>
          <a:ext cx="1908298" cy="1787346"/>
          <a:chOff x="0" y="17153039"/>
          <a:chExt cx="1901371" cy="1923854"/>
        </a:xfrm>
      </xdr:grpSpPr>
      <xdr:pic>
        <xdr:nvPicPr>
          <xdr:cNvPr id="8" name="Picture 7">
            <a:extLst>
              <a:ext uri="{FF2B5EF4-FFF2-40B4-BE49-F238E27FC236}">
                <a16:creationId xmlns:a16="http://schemas.microsoft.com/office/drawing/2014/main" id="{AFBCD261-2AAA-0B09-7901-F9CEB024D1C9}"/>
              </a:ext>
            </a:extLst>
          </xdr:cNvPr>
          <xdr:cNvPicPr>
            <a:picLocks noChangeAspect="1"/>
          </xdr:cNvPicPr>
        </xdr:nvPicPr>
        <xdr:blipFill>
          <a:blip xmlns:r="http://schemas.openxmlformats.org/officeDocument/2006/relationships" r:embed="rId5"/>
          <a:stretch>
            <a:fillRect/>
          </a:stretch>
        </xdr:blipFill>
        <xdr:spPr>
          <a:xfrm>
            <a:off x="0" y="17153039"/>
            <a:ext cx="1901371" cy="1923854"/>
          </a:xfrm>
          <a:prstGeom prst="rect">
            <a:avLst/>
          </a:prstGeom>
        </xdr:spPr>
      </xdr:pic>
      <xdr:pic>
        <xdr:nvPicPr>
          <xdr:cNvPr id="13" name="Picture 12">
            <a:extLst>
              <a:ext uri="{FF2B5EF4-FFF2-40B4-BE49-F238E27FC236}">
                <a16:creationId xmlns:a16="http://schemas.microsoft.com/office/drawing/2014/main" id="{2445180E-0A5A-41C8-B561-5A13AAB75F2A}"/>
              </a:ext>
            </a:extLst>
          </xdr:cNvPr>
          <xdr:cNvPicPr>
            <a:picLocks noChangeAspect="1"/>
          </xdr:cNvPicPr>
        </xdr:nvPicPr>
        <xdr:blipFill>
          <a:blip xmlns:r="http://schemas.openxmlformats.org/officeDocument/2006/relationships" r:embed="rId4"/>
          <a:stretch>
            <a:fillRect/>
          </a:stretch>
        </xdr:blipFill>
        <xdr:spPr>
          <a:xfrm>
            <a:off x="606113" y="18257266"/>
            <a:ext cx="689065" cy="69313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267067</xdr:colOff>
      <xdr:row>2</xdr:row>
      <xdr:rowOff>119451</xdr:rowOff>
    </xdr:from>
    <xdr:to>
      <xdr:col>3</xdr:col>
      <xdr:colOff>2023247</xdr:colOff>
      <xdr:row>9</xdr:row>
      <xdr:rowOff>60158</xdr:rowOff>
    </xdr:to>
    <xdr:sp macro="" textlink="">
      <xdr:nvSpPr>
        <xdr:cNvPr id="12" name="Subtitle 4">
          <a:extLst>
            <a:ext uri="{FF2B5EF4-FFF2-40B4-BE49-F238E27FC236}">
              <a16:creationId xmlns:a16="http://schemas.microsoft.com/office/drawing/2014/main" id="{00000000-0008-0000-0300-000002000000}"/>
            </a:ext>
          </a:extLst>
        </xdr:cNvPr>
        <xdr:cNvSpPr>
          <a:spLocks noGrp="1"/>
        </xdr:cNvSpPr>
      </xdr:nvSpPr>
      <xdr:spPr>
        <a:xfrm>
          <a:off x="267067" y="820975"/>
          <a:ext cx="6557990" cy="1621945"/>
        </a:xfrm>
        <a:prstGeom prst="rect">
          <a:avLst/>
        </a:prstGeom>
        <a:solidFill>
          <a:schemeClr val="accent2">
            <a:lumMod val="60000"/>
            <a:lumOff val="40000"/>
          </a:schemeClr>
        </a:solidFill>
      </xdr:spPr>
      <xdr:txBody>
        <a:bodyPr vert="horz" wrap="square" lIns="91440" tIns="45720" rIns="91440" bIns="45720" rtlCol="0">
          <a:normAutofit fontScale="62500" lnSpcReduction="20000"/>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GB" sz="2900" b="1">
              <a:solidFill>
                <a:schemeClr val="tx1"/>
              </a:solidFill>
            </a:rPr>
            <a:t>ECOMMERCE:</a:t>
          </a:r>
        </a:p>
        <a:p>
          <a:pPr marL="342900" indent="-342900" algn="just">
            <a:buFont typeface="Arial" panose="020B0604020202020204" pitchFamily="34" charset="0"/>
            <a:buChar char="•"/>
          </a:pPr>
          <a:r>
            <a:rPr lang="en-GB"/>
            <a:t> During</a:t>
          </a:r>
          <a:r>
            <a:rPr lang="en-GB" baseline="0"/>
            <a:t> periods of expected increased demands, the price is dropped to make use of the low cost high volume concept. </a:t>
          </a:r>
        </a:p>
        <a:p>
          <a:pPr marL="342900" indent="-342900" algn="just">
            <a:buFont typeface="Arial" panose="020B0604020202020204" pitchFamily="34" charset="0"/>
            <a:buChar char="•"/>
          </a:pPr>
          <a:r>
            <a:rPr lang="en-GB" baseline="0"/>
            <a:t>The annual montly growth rates have been adjusted based on expected demand for the product.</a:t>
          </a:r>
        </a:p>
        <a:p>
          <a:pPr marL="342900" indent="-342900" algn="just">
            <a:buFont typeface="Arial" panose="020B0604020202020204" pitchFamily="34" charset="0"/>
            <a:buChar char="•"/>
          </a:pPr>
          <a:r>
            <a:rPr lang="en-GB" baseline="0"/>
            <a:t>The main periods of increased demand are summer and the last months of the year. </a:t>
          </a:r>
          <a:endParaRPr lang="en-US"/>
        </a:p>
      </xdr:txBody>
    </xdr:sp>
    <xdr:clientData/>
  </xdr:twoCellAnchor>
  <xdr:twoCellAnchor>
    <xdr:from>
      <xdr:col>0</xdr:col>
      <xdr:colOff>259373</xdr:colOff>
      <xdr:row>9</xdr:row>
      <xdr:rowOff>135227</xdr:rowOff>
    </xdr:from>
    <xdr:to>
      <xdr:col>3</xdr:col>
      <xdr:colOff>2035341</xdr:colOff>
      <xdr:row>18</xdr:row>
      <xdr:rowOff>20053</xdr:rowOff>
    </xdr:to>
    <xdr:sp macro="" textlink="">
      <xdr:nvSpPr>
        <xdr:cNvPr id="13" name="Subtitle 4">
          <a:extLst>
            <a:ext uri="{FF2B5EF4-FFF2-40B4-BE49-F238E27FC236}">
              <a16:creationId xmlns:a16="http://schemas.microsoft.com/office/drawing/2014/main" id="{00000000-0008-0000-0300-000003000000}"/>
            </a:ext>
          </a:extLst>
        </xdr:cNvPr>
        <xdr:cNvSpPr>
          <a:spLocks noGrp="1"/>
        </xdr:cNvSpPr>
      </xdr:nvSpPr>
      <xdr:spPr>
        <a:xfrm>
          <a:off x="259373" y="2531516"/>
          <a:ext cx="6588600" cy="1689563"/>
        </a:xfrm>
        <a:prstGeom prst="rect">
          <a:avLst/>
        </a:prstGeom>
        <a:solidFill>
          <a:schemeClr val="accent2">
            <a:lumMod val="60000"/>
            <a:lumOff val="40000"/>
          </a:schemeClr>
        </a:solidFill>
      </xdr:spPr>
      <xdr:txBody>
        <a:bodyPr vert="horz" wrap="square" lIns="91440" tIns="45720" rIns="91440" bIns="45720" rtlCol="0">
          <a:normAutofit fontScale="62500" lnSpcReduction="20000"/>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GB" sz="2900" b="1">
              <a:solidFill>
                <a:schemeClr val="tx1"/>
              </a:solidFill>
            </a:rPr>
            <a:t>SUBSCRIPTION:</a:t>
          </a:r>
        </a:p>
        <a:p>
          <a:pPr marL="342900" indent="-342900" algn="just">
            <a:buFont typeface="Arial" panose="020B0604020202020204" pitchFamily="34" charset="0"/>
            <a:buChar char="•"/>
          </a:pPr>
          <a:r>
            <a:rPr lang="en-GB"/>
            <a:t>The</a:t>
          </a:r>
          <a:r>
            <a:rPr lang="en-GB" baseline="0"/>
            <a:t> price of the subscription is not increased in accordance to inflation to reduce percentage of customers leaving.</a:t>
          </a:r>
        </a:p>
        <a:p>
          <a:pPr marL="342900" indent="-342900" algn="just">
            <a:buFont typeface="Arial" panose="020B0604020202020204" pitchFamily="34" charset="0"/>
            <a:buChar char="•"/>
          </a:pPr>
          <a:r>
            <a:rPr lang="en-GB" baseline="0"/>
            <a:t>Growth rates are also not incorporated for the above reason until year 2026, to not increases prices. </a:t>
          </a:r>
        </a:p>
        <a:p>
          <a:pPr marL="342900" indent="-342900" algn="just">
            <a:buFont typeface="Arial" panose="020B0604020202020204" pitchFamily="34" charset="0"/>
            <a:buChar char="•"/>
          </a:pPr>
          <a:r>
            <a:rPr lang="en-GB" baseline="0"/>
            <a:t>The premium package is assumed to be the most popular since it gives access to videos at the cheapest price point, this is assigned the largest gross margin. </a:t>
          </a:r>
        </a:p>
      </xdr:txBody>
    </xdr:sp>
    <xdr:clientData/>
  </xdr:twoCellAnchor>
  <xdr:twoCellAnchor editAs="oneCell">
    <xdr:from>
      <xdr:col>0</xdr:col>
      <xdr:colOff>579847</xdr:colOff>
      <xdr:row>35</xdr:row>
      <xdr:rowOff>21772</xdr:rowOff>
    </xdr:from>
    <xdr:to>
      <xdr:col>0</xdr:col>
      <xdr:colOff>1331687</xdr:colOff>
      <xdr:row>39</xdr:row>
      <xdr:rowOff>1236</xdr:rowOff>
    </xdr:to>
    <xdr:pic>
      <xdr:nvPicPr>
        <xdr:cNvPr id="4" name="Picture 3">
          <a:extLst>
            <a:ext uri="{FF2B5EF4-FFF2-40B4-BE49-F238E27FC236}">
              <a16:creationId xmlns:a16="http://schemas.microsoft.com/office/drawing/2014/main" id="{D66E2F84-3848-4E78-B4FC-7C56400E56AA}"/>
            </a:ext>
          </a:extLst>
        </xdr:cNvPr>
        <xdr:cNvPicPr>
          <a:picLocks noChangeAspect="1"/>
        </xdr:cNvPicPr>
      </xdr:nvPicPr>
      <xdr:blipFill>
        <a:blip xmlns:r="http://schemas.openxmlformats.org/officeDocument/2006/relationships" r:embed="rId1"/>
        <a:stretch>
          <a:fillRect/>
        </a:stretch>
      </xdr:blipFill>
      <xdr:spPr>
        <a:xfrm>
          <a:off x="579847" y="8294915"/>
          <a:ext cx="751840" cy="757791"/>
        </a:xfrm>
        <a:prstGeom prst="rect">
          <a:avLst/>
        </a:prstGeom>
      </xdr:spPr>
    </xdr:pic>
    <xdr:clientData/>
  </xdr:twoCellAnchor>
  <xdr:twoCellAnchor editAs="oneCell">
    <xdr:from>
      <xdr:col>0</xdr:col>
      <xdr:colOff>600166</xdr:colOff>
      <xdr:row>53</xdr:row>
      <xdr:rowOff>109584</xdr:rowOff>
    </xdr:from>
    <xdr:to>
      <xdr:col>0</xdr:col>
      <xdr:colOff>1372325</xdr:colOff>
      <xdr:row>57</xdr:row>
      <xdr:rowOff>100161</xdr:rowOff>
    </xdr:to>
    <xdr:pic>
      <xdr:nvPicPr>
        <xdr:cNvPr id="5" name="Picture 4">
          <a:extLst>
            <a:ext uri="{FF2B5EF4-FFF2-40B4-BE49-F238E27FC236}">
              <a16:creationId xmlns:a16="http://schemas.microsoft.com/office/drawing/2014/main" id="{B66D75B4-F8AA-42CB-95B6-41A072C94EBD}"/>
            </a:ext>
          </a:extLst>
        </xdr:cNvPr>
        <xdr:cNvPicPr>
          <a:picLocks noChangeAspect="1"/>
        </xdr:cNvPicPr>
      </xdr:nvPicPr>
      <xdr:blipFill>
        <a:blip xmlns:r="http://schemas.openxmlformats.org/officeDocument/2006/relationships" r:embed="rId2"/>
        <a:stretch>
          <a:fillRect/>
        </a:stretch>
      </xdr:blipFill>
      <xdr:spPr>
        <a:xfrm>
          <a:off x="600166" y="12029441"/>
          <a:ext cx="772159" cy="774349"/>
        </a:xfrm>
        <a:prstGeom prst="rect">
          <a:avLst/>
        </a:prstGeom>
      </xdr:spPr>
    </xdr:pic>
    <xdr:clientData/>
  </xdr:twoCellAnchor>
  <xdr:twoCellAnchor>
    <xdr:from>
      <xdr:col>0</xdr:col>
      <xdr:colOff>650240</xdr:colOff>
      <xdr:row>78</xdr:row>
      <xdr:rowOff>172720</xdr:rowOff>
    </xdr:from>
    <xdr:to>
      <xdr:col>0</xdr:col>
      <xdr:colOff>1554480</xdr:colOff>
      <xdr:row>82</xdr:row>
      <xdr:rowOff>193040</xdr:rowOff>
    </xdr:to>
    <xdr:grpSp>
      <xdr:nvGrpSpPr>
        <xdr:cNvPr id="6" name="Group 5">
          <a:extLst>
            <a:ext uri="{FF2B5EF4-FFF2-40B4-BE49-F238E27FC236}">
              <a16:creationId xmlns:a16="http://schemas.microsoft.com/office/drawing/2014/main" id="{D88315CA-F538-41A5-9BAE-5C2579924DA4}"/>
            </a:ext>
          </a:extLst>
        </xdr:cNvPr>
        <xdr:cNvGrpSpPr/>
      </xdr:nvGrpSpPr>
      <xdr:grpSpPr>
        <a:xfrm>
          <a:off x="650240" y="17797043"/>
          <a:ext cx="904240" cy="905223"/>
          <a:chOff x="0" y="17153039"/>
          <a:chExt cx="1901371" cy="1923854"/>
        </a:xfrm>
      </xdr:grpSpPr>
      <xdr:pic>
        <xdr:nvPicPr>
          <xdr:cNvPr id="7" name="Picture 6">
            <a:extLst>
              <a:ext uri="{FF2B5EF4-FFF2-40B4-BE49-F238E27FC236}">
                <a16:creationId xmlns:a16="http://schemas.microsoft.com/office/drawing/2014/main" id="{C50CC7A7-2388-8512-D4F4-5FB5E513F779}"/>
              </a:ext>
            </a:extLst>
          </xdr:cNvPr>
          <xdr:cNvPicPr>
            <a:picLocks noChangeAspect="1"/>
          </xdr:cNvPicPr>
        </xdr:nvPicPr>
        <xdr:blipFill>
          <a:blip xmlns:r="http://schemas.openxmlformats.org/officeDocument/2006/relationships" r:embed="rId3"/>
          <a:stretch>
            <a:fillRect/>
          </a:stretch>
        </xdr:blipFill>
        <xdr:spPr>
          <a:xfrm>
            <a:off x="0" y="17153039"/>
            <a:ext cx="1901371" cy="1923854"/>
          </a:xfrm>
          <a:prstGeom prst="rect">
            <a:avLst/>
          </a:prstGeom>
        </xdr:spPr>
      </xdr:pic>
      <xdr:pic>
        <xdr:nvPicPr>
          <xdr:cNvPr id="8" name="Picture 7">
            <a:extLst>
              <a:ext uri="{FF2B5EF4-FFF2-40B4-BE49-F238E27FC236}">
                <a16:creationId xmlns:a16="http://schemas.microsoft.com/office/drawing/2014/main" id="{CEAC2DC5-7869-C27C-842C-35250446CD44}"/>
              </a:ext>
            </a:extLst>
          </xdr:cNvPr>
          <xdr:cNvPicPr>
            <a:picLocks noChangeAspect="1"/>
          </xdr:cNvPicPr>
        </xdr:nvPicPr>
        <xdr:blipFill>
          <a:blip xmlns:r="http://schemas.openxmlformats.org/officeDocument/2006/relationships" r:embed="rId4"/>
          <a:stretch>
            <a:fillRect/>
          </a:stretch>
        </xdr:blipFill>
        <xdr:spPr>
          <a:xfrm>
            <a:off x="606113" y="18257266"/>
            <a:ext cx="689065" cy="693135"/>
          </a:xfrm>
          <a:prstGeom prst="rect">
            <a:avLst/>
          </a:prstGeom>
        </xdr:spPr>
      </xdr:pic>
    </xdr:grpSp>
    <xdr:clientData/>
  </xdr:twoCellAnchor>
  <xdr:twoCellAnchor>
    <xdr:from>
      <xdr:col>0</xdr:col>
      <xdr:colOff>630322</xdr:colOff>
      <xdr:row>96</xdr:row>
      <xdr:rowOff>180474</xdr:rowOff>
    </xdr:from>
    <xdr:to>
      <xdr:col>0</xdr:col>
      <xdr:colOff>1534026</xdr:colOff>
      <xdr:row>100</xdr:row>
      <xdr:rowOff>350922</xdr:rowOff>
    </xdr:to>
    <xdr:grpSp>
      <xdr:nvGrpSpPr>
        <xdr:cNvPr id="9" name="Group 8">
          <a:extLst>
            <a:ext uri="{FF2B5EF4-FFF2-40B4-BE49-F238E27FC236}">
              <a16:creationId xmlns:a16="http://schemas.microsoft.com/office/drawing/2014/main" id="{EFC71779-62CC-411C-8A9B-A5339BE277CB}"/>
            </a:ext>
          </a:extLst>
        </xdr:cNvPr>
        <xdr:cNvGrpSpPr/>
      </xdr:nvGrpSpPr>
      <xdr:grpSpPr>
        <a:xfrm>
          <a:off x="630322" y="21688539"/>
          <a:ext cx="903704" cy="957028"/>
          <a:chOff x="10745195" y="17055995"/>
          <a:chExt cx="1950180" cy="1990093"/>
        </a:xfrm>
      </xdr:grpSpPr>
      <xdr:pic>
        <xdr:nvPicPr>
          <xdr:cNvPr id="10" name="Picture 9">
            <a:extLst>
              <a:ext uri="{FF2B5EF4-FFF2-40B4-BE49-F238E27FC236}">
                <a16:creationId xmlns:a16="http://schemas.microsoft.com/office/drawing/2014/main" id="{F4562FF2-4110-DC0F-F2F7-CFBDB96EFF01}"/>
              </a:ext>
            </a:extLst>
          </xdr:cNvPr>
          <xdr:cNvPicPr>
            <a:picLocks noChangeAspect="1"/>
          </xdr:cNvPicPr>
        </xdr:nvPicPr>
        <xdr:blipFill>
          <a:blip xmlns:r="http://schemas.openxmlformats.org/officeDocument/2006/relationships" r:embed="rId5"/>
          <a:stretch>
            <a:fillRect/>
          </a:stretch>
        </xdr:blipFill>
        <xdr:spPr>
          <a:xfrm>
            <a:off x="10745195" y="17055995"/>
            <a:ext cx="1950180" cy="1990093"/>
          </a:xfrm>
          <a:prstGeom prst="rect">
            <a:avLst/>
          </a:prstGeom>
        </xdr:spPr>
      </xdr:pic>
      <xdr:pic>
        <xdr:nvPicPr>
          <xdr:cNvPr id="11" name="Picture 10">
            <a:extLst>
              <a:ext uri="{FF2B5EF4-FFF2-40B4-BE49-F238E27FC236}">
                <a16:creationId xmlns:a16="http://schemas.microsoft.com/office/drawing/2014/main" id="{4E3EEA8A-1EC5-721D-48C0-85A91708539B}"/>
              </a:ext>
            </a:extLst>
          </xdr:cNvPr>
          <xdr:cNvPicPr>
            <a:picLocks noChangeAspect="1"/>
          </xdr:cNvPicPr>
        </xdr:nvPicPr>
        <xdr:blipFill>
          <a:blip xmlns:r="http://schemas.openxmlformats.org/officeDocument/2006/relationships" r:embed="rId4"/>
          <a:stretch>
            <a:fillRect/>
          </a:stretch>
        </xdr:blipFill>
        <xdr:spPr>
          <a:xfrm>
            <a:off x="11370706" y="18207576"/>
            <a:ext cx="689065" cy="693135"/>
          </a:xfrm>
          <a:prstGeom prst="rect">
            <a:avLst/>
          </a:prstGeom>
        </xdr:spPr>
      </xdr:pic>
    </xdr:grpSp>
    <xdr:clientData/>
  </xdr:twoCellAnchor>
  <xdr:twoCellAnchor>
    <xdr:from>
      <xdr:col>0</xdr:col>
      <xdr:colOff>271403</xdr:colOff>
      <xdr:row>18</xdr:row>
      <xdr:rowOff>117180</xdr:rowOff>
    </xdr:from>
    <xdr:to>
      <xdr:col>3</xdr:col>
      <xdr:colOff>2025314</xdr:colOff>
      <xdr:row>24</xdr:row>
      <xdr:rowOff>90237</xdr:rowOff>
    </xdr:to>
    <xdr:sp macro="" textlink="">
      <xdr:nvSpPr>
        <xdr:cNvPr id="14" name="Subtitle 4">
          <a:extLst>
            <a:ext uri="{FF2B5EF4-FFF2-40B4-BE49-F238E27FC236}">
              <a16:creationId xmlns:a16="http://schemas.microsoft.com/office/drawing/2014/main" id="{EA33105A-934F-4550-B398-9DF2EC9CD534}"/>
            </a:ext>
          </a:extLst>
        </xdr:cNvPr>
        <xdr:cNvSpPr>
          <a:spLocks noGrp="1"/>
        </xdr:cNvSpPr>
      </xdr:nvSpPr>
      <xdr:spPr>
        <a:xfrm>
          <a:off x="271403" y="4318206"/>
          <a:ext cx="6566543" cy="1196268"/>
        </a:xfrm>
        <a:prstGeom prst="rect">
          <a:avLst/>
        </a:prstGeom>
        <a:solidFill>
          <a:schemeClr val="accent2">
            <a:lumMod val="60000"/>
            <a:lumOff val="40000"/>
          </a:schemeClr>
        </a:solidFill>
      </xdr:spPr>
      <xdr:txBody>
        <a:bodyPr vert="horz" wrap="square" lIns="91440" tIns="45720" rIns="91440" bIns="45720" rtlCol="0">
          <a:normAutofit fontScale="62500" lnSpcReduction="20000"/>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pPr algn="just"/>
          <a:r>
            <a:rPr lang="en-GB" sz="2900" b="1">
              <a:solidFill>
                <a:schemeClr val="tx1"/>
              </a:solidFill>
            </a:rPr>
            <a:t>STORE:</a:t>
          </a:r>
        </a:p>
        <a:p>
          <a:pPr marL="342900" indent="-342900" algn="just">
            <a:buFont typeface="Arial" panose="020B0604020202020204" pitchFamily="34" charset="0"/>
            <a:buChar char="•"/>
          </a:pPr>
          <a:r>
            <a:rPr lang="en-GB" baseline="0"/>
            <a:t>The store is anticipated to open in January 2026, selling all the items a lower gross margin than the same itemssold through ecommerce. </a:t>
          </a:r>
        </a:p>
        <a:p>
          <a:pPr marL="342900" indent="-342900" algn="just">
            <a:buFont typeface="Arial" panose="020B0604020202020204" pitchFamily="34" charset="0"/>
            <a:buChar char="•"/>
          </a:pPr>
          <a:r>
            <a:rPr lang="en-GB" baseline="0"/>
            <a:t>The same seasnonality as products sold through ecommerce has been applied. </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272686</xdr:colOff>
      <xdr:row>12</xdr:row>
      <xdr:rowOff>45341</xdr:rowOff>
    </xdr:from>
    <xdr:to>
      <xdr:col>4</xdr:col>
      <xdr:colOff>480196</xdr:colOff>
      <xdr:row>23</xdr:row>
      <xdr:rowOff>104288</xdr:rowOff>
    </xdr:to>
    <xdr:pic>
      <xdr:nvPicPr>
        <xdr:cNvPr id="14" name="Picture 1" descr="Intake systems | Eventuri">
          <a:extLst>
            <a:ext uri="{FF2B5EF4-FFF2-40B4-BE49-F238E27FC236}">
              <a16:creationId xmlns:a16="http://schemas.microsoft.com/office/drawing/2014/main" id="{3F4E4C2C-DC8D-4B8C-B996-D0F5EEBE36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9806" y="2676781"/>
          <a:ext cx="2178550" cy="2294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142240</xdr:colOff>
      <xdr:row>33</xdr:row>
      <xdr:rowOff>43776</xdr:rowOff>
    </xdr:from>
    <xdr:to>
      <xdr:col>5</xdr:col>
      <xdr:colOff>116496</xdr:colOff>
      <xdr:row>41</xdr:row>
      <xdr:rowOff>179564</xdr:rowOff>
    </xdr:to>
    <xdr:pic>
      <xdr:nvPicPr>
        <xdr:cNvPr id="3" name="Picture 2" descr="Performance Brakes | Kits, Pads, Rotors, Calipers – CARiD.com">
          <a:extLst>
            <a:ext uri="{FF2B5EF4-FFF2-40B4-BE49-F238E27FC236}">
              <a16:creationId xmlns:a16="http://schemas.microsoft.com/office/drawing/2014/main" id="{E4966605-6831-40A7-AFE9-07E725924C0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9360" y="6972896"/>
          <a:ext cx="2615856" cy="1761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598246</xdr:colOff>
      <xdr:row>51</xdr:row>
      <xdr:rowOff>33688</xdr:rowOff>
    </xdr:from>
    <xdr:to>
      <xdr:col>4</xdr:col>
      <xdr:colOff>574718</xdr:colOff>
      <xdr:row>60</xdr:row>
      <xdr:rowOff>175074</xdr:rowOff>
    </xdr:to>
    <xdr:pic>
      <xdr:nvPicPr>
        <xdr:cNvPr id="4" name="Picture 3" descr="Turbochargers - Hellion Turbo">
          <a:extLst>
            <a:ext uri="{FF2B5EF4-FFF2-40B4-BE49-F238E27FC236}">
              <a16:creationId xmlns:a16="http://schemas.microsoft.com/office/drawing/2014/main" id="{6BC5478D-E654-4BAA-A0AC-AFD5A08FE5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5366" y="10630568"/>
          <a:ext cx="1947512" cy="1970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346346</xdr:colOff>
      <xdr:row>70</xdr:row>
      <xdr:rowOff>168755</xdr:rowOff>
    </xdr:from>
    <xdr:to>
      <xdr:col>4</xdr:col>
      <xdr:colOff>553856</xdr:colOff>
      <xdr:row>82</xdr:row>
      <xdr:rowOff>24502</xdr:rowOff>
    </xdr:to>
    <xdr:pic>
      <xdr:nvPicPr>
        <xdr:cNvPr id="18" name="Picture 12" descr="Intake systems | Eventuri">
          <a:extLst>
            <a:ext uri="{FF2B5EF4-FFF2-40B4-BE49-F238E27FC236}">
              <a16:creationId xmlns:a16="http://schemas.microsoft.com/office/drawing/2014/main" id="{FCFFD6C4-F622-F540-8E62-5F11156CDC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33466" y="14687395"/>
          <a:ext cx="2178550" cy="2294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73786</xdr:colOff>
      <xdr:row>94</xdr:row>
      <xdr:rowOff>71120</xdr:rowOff>
    </xdr:from>
    <xdr:to>
      <xdr:col>5</xdr:col>
      <xdr:colOff>27446</xdr:colOff>
      <xdr:row>103</xdr:row>
      <xdr:rowOff>2540</xdr:rowOff>
    </xdr:to>
    <xdr:pic>
      <xdr:nvPicPr>
        <xdr:cNvPr id="2" name="Picture 1" descr="Performance Brakes | Kits, Pads, Rotors, Calipers – CARiD.com">
          <a:extLst>
            <a:ext uri="{FF2B5EF4-FFF2-40B4-BE49-F238E27FC236}">
              <a16:creationId xmlns:a16="http://schemas.microsoft.com/office/drawing/2014/main" id="{C0E58CFB-35C6-49B1-BFD0-DA28BC4A82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0906" y="19497040"/>
          <a:ext cx="2595260" cy="1747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467360</xdr:colOff>
      <xdr:row>115</xdr:row>
      <xdr:rowOff>111760</xdr:rowOff>
    </xdr:from>
    <xdr:to>
      <xdr:col>4</xdr:col>
      <xdr:colOff>443832</xdr:colOff>
      <xdr:row>125</xdr:row>
      <xdr:rowOff>42326</xdr:rowOff>
    </xdr:to>
    <xdr:pic>
      <xdr:nvPicPr>
        <xdr:cNvPr id="5" name="Picture 4" descr="Turbochargers - Hellion Turbo">
          <a:extLst>
            <a:ext uri="{FF2B5EF4-FFF2-40B4-BE49-F238E27FC236}">
              <a16:creationId xmlns:a16="http://schemas.microsoft.com/office/drawing/2014/main" id="{C119E5A4-4FC5-4E37-94FB-B54B6E4F4EE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54480" y="23825200"/>
          <a:ext cx="1947512" cy="19625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60960</xdr:colOff>
      <xdr:row>9</xdr:row>
      <xdr:rowOff>0</xdr:rowOff>
    </xdr:from>
    <xdr:to>
      <xdr:col>5</xdr:col>
      <xdr:colOff>142240</xdr:colOff>
      <xdr:row>12</xdr:row>
      <xdr:rowOff>109912</xdr:rowOff>
    </xdr:to>
    <xdr:pic>
      <xdr:nvPicPr>
        <xdr:cNvPr id="6" name="Picture 5">
          <a:extLst>
            <a:ext uri="{FF2B5EF4-FFF2-40B4-BE49-F238E27FC236}">
              <a16:creationId xmlns:a16="http://schemas.microsoft.com/office/drawing/2014/main" id="{472CC99D-927E-4748-BE1C-D5E72993F61D}"/>
            </a:ext>
          </a:extLst>
        </xdr:cNvPr>
        <xdr:cNvPicPr>
          <a:picLocks noChangeAspect="1"/>
        </xdr:cNvPicPr>
      </xdr:nvPicPr>
      <xdr:blipFill>
        <a:blip xmlns:r="http://schemas.openxmlformats.org/officeDocument/2006/relationships" r:embed="rId4"/>
        <a:stretch>
          <a:fillRect/>
        </a:stretch>
      </xdr:blipFill>
      <xdr:spPr>
        <a:xfrm>
          <a:off x="3119120" y="1991360"/>
          <a:ext cx="751840" cy="749992"/>
        </a:xfrm>
        <a:prstGeom prst="rect">
          <a:avLst/>
        </a:prstGeom>
      </xdr:spPr>
    </xdr:pic>
    <xdr:clientData/>
  </xdr:twoCellAnchor>
  <xdr:twoCellAnchor editAs="oneCell">
    <xdr:from>
      <xdr:col>4</xdr:col>
      <xdr:colOff>30480</xdr:colOff>
      <xdr:row>26</xdr:row>
      <xdr:rowOff>162560</xdr:rowOff>
    </xdr:from>
    <xdr:to>
      <xdr:col>5</xdr:col>
      <xdr:colOff>111760</xdr:colOff>
      <xdr:row>30</xdr:row>
      <xdr:rowOff>69272</xdr:rowOff>
    </xdr:to>
    <xdr:pic>
      <xdr:nvPicPr>
        <xdr:cNvPr id="7" name="Picture 6">
          <a:extLst>
            <a:ext uri="{FF2B5EF4-FFF2-40B4-BE49-F238E27FC236}">
              <a16:creationId xmlns:a16="http://schemas.microsoft.com/office/drawing/2014/main" id="{AF2A09E3-9673-48CE-8108-0EFE07495E1E}"/>
            </a:ext>
          </a:extLst>
        </xdr:cNvPr>
        <xdr:cNvPicPr>
          <a:picLocks noChangeAspect="1"/>
        </xdr:cNvPicPr>
      </xdr:nvPicPr>
      <xdr:blipFill>
        <a:blip xmlns:r="http://schemas.openxmlformats.org/officeDocument/2006/relationships" r:embed="rId4"/>
        <a:stretch>
          <a:fillRect/>
        </a:stretch>
      </xdr:blipFill>
      <xdr:spPr>
        <a:xfrm>
          <a:off x="3088640" y="5638800"/>
          <a:ext cx="751840" cy="749992"/>
        </a:xfrm>
        <a:prstGeom prst="rect">
          <a:avLst/>
        </a:prstGeom>
      </xdr:spPr>
    </xdr:pic>
    <xdr:clientData/>
  </xdr:twoCellAnchor>
  <xdr:twoCellAnchor editAs="oneCell">
    <xdr:from>
      <xdr:col>4</xdr:col>
      <xdr:colOff>20320</xdr:colOff>
      <xdr:row>46</xdr:row>
      <xdr:rowOff>162560</xdr:rowOff>
    </xdr:from>
    <xdr:to>
      <xdr:col>5</xdr:col>
      <xdr:colOff>101600</xdr:colOff>
      <xdr:row>50</xdr:row>
      <xdr:rowOff>69272</xdr:rowOff>
    </xdr:to>
    <xdr:pic>
      <xdr:nvPicPr>
        <xdr:cNvPr id="8" name="Picture 7">
          <a:extLst>
            <a:ext uri="{FF2B5EF4-FFF2-40B4-BE49-F238E27FC236}">
              <a16:creationId xmlns:a16="http://schemas.microsoft.com/office/drawing/2014/main" id="{A96CB9BC-E233-4129-90B8-DF799497391F}"/>
            </a:ext>
          </a:extLst>
        </xdr:cNvPr>
        <xdr:cNvPicPr>
          <a:picLocks noChangeAspect="1"/>
        </xdr:cNvPicPr>
      </xdr:nvPicPr>
      <xdr:blipFill>
        <a:blip xmlns:r="http://schemas.openxmlformats.org/officeDocument/2006/relationships" r:embed="rId4"/>
        <a:stretch>
          <a:fillRect/>
        </a:stretch>
      </xdr:blipFill>
      <xdr:spPr>
        <a:xfrm>
          <a:off x="3078480" y="9743440"/>
          <a:ext cx="751840" cy="749992"/>
        </a:xfrm>
        <a:prstGeom prst="rect">
          <a:avLst/>
        </a:prstGeom>
      </xdr:spPr>
    </xdr:pic>
    <xdr:clientData/>
  </xdr:twoCellAnchor>
  <xdr:twoCellAnchor editAs="oneCell">
    <xdr:from>
      <xdr:col>4</xdr:col>
      <xdr:colOff>10160</xdr:colOff>
      <xdr:row>67</xdr:row>
      <xdr:rowOff>132080</xdr:rowOff>
    </xdr:from>
    <xdr:to>
      <xdr:col>5</xdr:col>
      <xdr:colOff>111759</xdr:colOff>
      <xdr:row>71</xdr:row>
      <xdr:rowOff>52751</xdr:rowOff>
    </xdr:to>
    <xdr:pic>
      <xdr:nvPicPr>
        <xdr:cNvPr id="9" name="Picture 8">
          <a:extLst>
            <a:ext uri="{FF2B5EF4-FFF2-40B4-BE49-F238E27FC236}">
              <a16:creationId xmlns:a16="http://schemas.microsoft.com/office/drawing/2014/main" id="{93C7B552-64B4-4080-B355-86DD8C69DAC0}"/>
            </a:ext>
          </a:extLst>
        </xdr:cNvPr>
        <xdr:cNvPicPr>
          <a:picLocks noChangeAspect="1"/>
        </xdr:cNvPicPr>
      </xdr:nvPicPr>
      <xdr:blipFill>
        <a:blip xmlns:r="http://schemas.openxmlformats.org/officeDocument/2006/relationships" r:embed="rId5"/>
        <a:stretch>
          <a:fillRect/>
        </a:stretch>
      </xdr:blipFill>
      <xdr:spPr>
        <a:xfrm>
          <a:off x="3068320" y="14010640"/>
          <a:ext cx="772159" cy="763951"/>
        </a:xfrm>
        <a:prstGeom prst="rect">
          <a:avLst/>
        </a:prstGeom>
      </xdr:spPr>
    </xdr:pic>
    <xdr:clientData/>
  </xdr:twoCellAnchor>
  <xdr:twoCellAnchor editAs="oneCell">
    <xdr:from>
      <xdr:col>4</xdr:col>
      <xdr:colOff>20320</xdr:colOff>
      <xdr:row>89</xdr:row>
      <xdr:rowOff>142240</xdr:rowOff>
    </xdr:from>
    <xdr:to>
      <xdr:col>5</xdr:col>
      <xdr:colOff>121919</xdr:colOff>
      <xdr:row>93</xdr:row>
      <xdr:rowOff>62911</xdr:rowOff>
    </xdr:to>
    <xdr:pic>
      <xdr:nvPicPr>
        <xdr:cNvPr id="10" name="Picture 9">
          <a:extLst>
            <a:ext uri="{FF2B5EF4-FFF2-40B4-BE49-F238E27FC236}">
              <a16:creationId xmlns:a16="http://schemas.microsoft.com/office/drawing/2014/main" id="{A1537882-0BDA-4C6F-843A-8FE4C6918B81}"/>
            </a:ext>
          </a:extLst>
        </xdr:cNvPr>
        <xdr:cNvPicPr>
          <a:picLocks noChangeAspect="1"/>
        </xdr:cNvPicPr>
      </xdr:nvPicPr>
      <xdr:blipFill>
        <a:blip xmlns:r="http://schemas.openxmlformats.org/officeDocument/2006/relationships" r:embed="rId5"/>
        <a:stretch>
          <a:fillRect/>
        </a:stretch>
      </xdr:blipFill>
      <xdr:spPr>
        <a:xfrm>
          <a:off x="3078480" y="18521680"/>
          <a:ext cx="772159" cy="763951"/>
        </a:xfrm>
        <a:prstGeom prst="rect">
          <a:avLst/>
        </a:prstGeom>
      </xdr:spPr>
    </xdr:pic>
    <xdr:clientData/>
  </xdr:twoCellAnchor>
  <xdr:twoCellAnchor editAs="oneCell">
    <xdr:from>
      <xdr:col>4</xdr:col>
      <xdr:colOff>40640</xdr:colOff>
      <xdr:row>110</xdr:row>
      <xdr:rowOff>101600</xdr:rowOff>
    </xdr:from>
    <xdr:to>
      <xdr:col>5</xdr:col>
      <xdr:colOff>142239</xdr:colOff>
      <xdr:row>114</xdr:row>
      <xdr:rowOff>22271</xdr:rowOff>
    </xdr:to>
    <xdr:pic>
      <xdr:nvPicPr>
        <xdr:cNvPr id="11" name="Picture 10">
          <a:extLst>
            <a:ext uri="{FF2B5EF4-FFF2-40B4-BE49-F238E27FC236}">
              <a16:creationId xmlns:a16="http://schemas.microsoft.com/office/drawing/2014/main" id="{33D65A8E-C6DB-4E3D-B478-835DE4A41A6C}"/>
            </a:ext>
          </a:extLst>
        </xdr:cNvPr>
        <xdr:cNvPicPr>
          <a:picLocks noChangeAspect="1"/>
        </xdr:cNvPicPr>
      </xdr:nvPicPr>
      <xdr:blipFill>
        <a:blip xmlns:r="http://schemas.openxmlformats.org/officeDocument/2006/relationships" r:embed="rId5"/>
        <a:stretch>
          <a:fillRect/>
        </a:stretch>
      </xdr:blipFill>
      <xdr:spPr>
        <a:xfrm>
          <a:off x="3098800" y="22778720"/>
          <a:ext cx="772159" cy="763951"/>
        </a:xfrm>
        <a:prstGeom prst="rect">
          <a:avLst/>
        </a:prstGeom>
      </xdr:spPr>
    </xdr:pic>
    <xdr:clientData/>
  </xdr:twoCellAnchor>
  <xdr:twoCellAnchor>
    <xdr:from>
      <xdr:col>1</xdr:col>
      <xdr:colOff>487180</xdr:colOff>
      <xdr:row>135</xdr:row>
      <xdr:rowOff>62459</xdr:rowOff>
    </xdr:from>
    <xdr:to>
      <xdr:col>4</xdr:col>
      <xdr:colOff>149902</xdr:colOff>
      <xdr:row>144</xdr:row>
      <xdr:rowOff>37476</xdr:rowOff>
    </xdr:to>
    <xdr:grpSp>
      <xdr:nvGrpSpPr>
        <xdr:cNvPr id="12" name="Group 11">
          <a:extLst>
            <a:ext uri="{FF2B5EF4-FFF2-40B4-BE49-F238E27FC236}">
              <a16:creationId xmlns:a16="http://schemas.microsoft.com/office/drawing/2014/main" id="{815FF32C-80C2-443E-A7CC-0F1DF2938D34}"/>
            </a:ext>
          </a:extLst>
        </xdr:cNvPr>
        <xdr:cNvGrpSpPr/>
      </xdr:nvGrpSpPr>
      <xdr:grpSpPr>
        <a:xfrm>
          <a:off x="1573967" y="27419508"/>
          <a:ext cx="1636427" cy="1773837"/>
          <a:chOff x="0" y="17153039"/>
          <a:chExt cx="1901371" cy="1923854"/>
        </a:xfrm>
      </xdr:grpSpPr>
      <xdr:pic>
        <xdr:nvPicPr>
          <xdr:cNvPr id="13" name="Picture 12">
            <a:extLst>
              <a:ext uri="{FF2B5EF4-FFF2-40B4-BE49-F238E27FC236}">
                <a16:creationId xmlns:a16="http://schemas.microsoft.com/office/drawing/2014/main" id="{ECA57D90-35AB-A9C8-D588-DDF18D95D765}"/>
              </a:ext>
            </a:extLst>
          </xdr:cNvPr>
          <xdr:cNvPicPr>
            <a:picLocks noChangeAspect="1"/>
          </xdr:cNvPicPr>
        </xdr:nvPicPr>
        <xdr:blipFill>
          <a:blip xmlns:r="http://schemas.openxmlformats.org/officeDocument/2006/relationships" r:embed="rId6"/>
          <a:stretch>
            <a:fillRect/>
          </a:stretch>
        </xdr:blipFill>
        <xdr:spPr>
          <a:xfrm>
            <a:off x="0" y="17153039"/>
            <a:ext cx="1901371" cy="1923854"/>
          </a:xfrm>
          <a:prstGeom prst="rect">
            <a:avLst/>
          </a:prstGeom>
        </xdr:spPr>
      </xdr:pic>
      <xdr:pic>
        <xdr:nvPicPr>
          <xdr:cNvPr id="15" name="Picture 14">
            <a:extLst>
              <a:ext uri="{FF2B5EF4-FFF2-40B4-BE49-F238E27FC236}">
                <a16:creationId xmlns:a16="http://schemas.microsoft.com/office/drawing/2014/main" id="{EE538115-6BEA-6A1B-A7A6-AFC444BBDEE5}"/>
              </a:ext>
            </a:extLst>
          </xdr:cNvPr>
          <xdr:cNvPicPr>
            <a:picLocks noChangeAspect="1"/>
          </xdr:cNvPicPr>
        </xdr:nvPicPr>
        <xdr:blipFill>
          <a:blip xmlns:r="http://schemas.openxmlformats.org/officeDocument/2006/relationships" r:embed="rId7"/>
          <a:stretch>
            <a:fillRect/>
          </a:stretch>
        </xdr:blipFill>
        <xdr:spPr>
          <a:xfrm>
            <a:off x="606113" y="18257266"/>
            <a:ext cx="689065" cy="693135"/>
          </a:xfrm>
          <a:prstGeom prst="rect">
            <a:avLst/>
          </a:prstGeom>
        </xdr:spPr>
      </xdr:pic>
    </xdr:grpSp>
    <xdr:clientData/>
  </xdr:twoCellAnchor>
  <xdr:twoCellAnchor>
    <xdr:from>
      <xdr:col>1</xdr:col>
      <xdr:colOff>377252</xdr:colOff>
      <xdr:row>154</xdr:row>
      <xdr:rowOff>139908</xdr:rowOff>
    </xdr:from>
    <xdr:to>
      <xdr:col>4</xdr:col>
      <xdr:colOff>249835</xdr:colOff>
      <xdr:row>164</xdr:row>
      <xdr:rowOff>0</xdr:rowOff>
    </xdr:to>
    <xdr:grpSp>
      <xdr:nvGrpSpPr>
        <xdr:cNvPr id="16" name="Group 15">
          <a:extLst>
            <a:ext uri="{FF2B5EF4-FFF2-40B4-BE49-F238E27FC236}">
              <a16:creationId xmlns:a16="http://schemas.microsoft.com/office/drawing/2014/main" id="{18E748E6-C6C9-48BC-8F34-55E182CFCFA9}"/>
            </a:ext>
          </a:extLst>
        </xdr:cNvPr>
        <xdr:cNvGrpSpPr/>
      </xdr:nvGrpSpPr>
      <xdr:grpSpPr>
        <a:xfrm>
          <a:off x="1464039" y="31356924"/>
          <a:ext cx="1846288" cy="1858781"/>
          <a:chOff x="0" y="17153039"/>
          <a:chExt cx="1901371" cy="1923854"/>
        </a:xfrm>
      </xdr:grpSpPr>
      <xdr:pic>
        <xdr:nvPicPr>
          <xdr:cNvPr id="17" name="Picture 16">
            <a:extLst>
              <a:ext uri="{FF2B5EF4-FFF2-40B4-BE49-F238E27FC236}">
                <a16:creationId xmlns:a16="http://schemas.microsoft.com/office/drawing/2014/main" id="{7F8F5008-AFD7-3D00-3136-20B7F01705F7}"/>
              </a:ext>
            </a:extLst>
          </xdr:cNvPr>
          <xdr:cNvPicPr>
            <a:picLocks noChangeAspect="1"/>
          </xdr:cNvPicPr>
        </xdr:nvPicPr>
        <xdr:blipFill>
          <a:blip xmlns:r="http://schemas.openxmlformats.org/officeDocument/2006/relationships" r:embed="rId6"/>
          <a:stretch>
            <a:fillRect/>
          </a:stretch>
        </xdr:blipFill>
        <xdr:spPr>
          <a:xfrm>
            <a:off x="0" y="17153039"/>
            <a:ext cx="1901371" cy="1923854"/>
          </a:xfrm>
          <a:prstGeom prst="rect">
            <a:avLst/>
          </a:prstGeom>
        </xdr:spPr>
      </xdr:pic>
      <xdr:pic>
        <xdr:nvPicPr>
          <xdr:cNvPr id="19" name="Picture 18">
            <a:extLst>
              <a:ext uri="{FF2B5EF4-FFF2-40B4-BE49-F238E27FC236}">
                <a16:creationId xmlns:a16="http://schemas.microsoft.com/office/drawing/2014/main" id="{60E151BA-0EA7-A2B4-99B7-B03EC4D494AC}"/>
              </a:ext>
            </a:extLst>
          </xdr:cNvPr>
          <xdr:cNvPicPr>
            <a:picLocks noChangeAspect="1"/>
          </xdr:cNvPicPr>
        </xdr:nvPicPr>
        <xdr:blipFill>
          <a:blip xmlns:r="http://schemas.openxmlformats.org/officeDocument/2006/relationships" r:embed="rId7"/>
          <a:stretch>
            <a:fillRect/>
          </a:stretch>
        </xdr:blipFill>
        <xdr:spPr>
          <a:xfrm>
            <a:off x="606113" y="18257266"/>
            <a:ext cx="689065" cy="693135"/>
          </a:xfrm>
          <a:prstGeom prst="rect">
            <a:avLst/>
          </a:prstGeom>
        </xdr:spPr>
      </xdr:pic>
    </xdr:grpSp>
    <xdr:clientData/>
  </xdr:twoCellAnchor>
  <xdr:twoCellAnchor>
    <xdr:from>
      <xdr:col>1</xdr:col>
      <xdr:colOff>329783</xdr:colOff>
      <xdr:row>175</xdr:row>
      <xdr:rowOff>54964</xdr:rowOff>
    </xdr:from>
    <xdr:to>
      <xdr:col>4</xdr:col>
      <xdr:colOff>202366</xdr:colOff>
      <xdr:row>184</xdr:row>
      <xdr:rowOff>114925</xdr:rowOff>
    </xdr:to>
    <xdr:grpSp>
      <xdr:nvGrpSpPr>
        <xdr:cNvPr id="20" name="Group 19">
          <a:extLst>
            <a:ext uri="{FF2B5EF4-FFF2-40B4-BE49-F238E27FC236}">
              <a16:creationId xmlns:a16="http://schemas.microsoft.com/office/drawing/2014/main" id="{A26D1948-5F43-4FF3-A7BC-5CF0EEA60B58}"/>
            </a:ext>
          </a:extLst>
        </xdr:cNvPr>
        <xdr:cNvGrpSpPr/>
      </xdr:nvGrpSpPr>
      <xdr:grpSpPr>
        <a:xfrm>
          <a:off x="1416570" y="35531685"/>
          <a:ext cx="1846288" cy="1858781"/>
          <a:chOff x="0" y="17153039"/>
          <a:chExt cx="1901371" cy="1923854"/>
        </a:xfrm>
      </xdr:grpSpPr>
      <xdr:pic>
        <xdr:nvPicPr>
          <xdr:cNvPr id="21" name="Picture 20">
            <a:extLst>
              <a:ext uri="{FF2B5EF4-FFF2-40B4-BE49-F238E27FC236}">
                <a16:creationId xmlns:a16="http://schemas.microsoft.com/office/drawing/2014/main" id="{1D77F627-415A-35B7-F78A-9AB53F338546}"/>
              </a:ext>
            </a:extLst>
          </xdr:cNvPr>
          <xdr:cNvPicPr>
            <a:picLocks noChangeAspect="1"/>
          </xdr:cNvPicPr>
        </xdr:nvPicPr>
        <xdr:blipFill>
          <a:blip xmlns:r="http://schemas.openxmlformats.org/officeDocument/2006/relationships" r:embed="rId6"/>
          <a:stretch>
            <a:fillRect/>
          </a:stretch>
        </xdr:blipFill>
        <xdr:spPr>
          <a:xfrm>
            <a:off x="0" y="17153039"/>
            <a:ext cx="1901371" cy="1923854"/>
          </a:xfrm>
          <a:prstGeom prst="rect">
            <a:avLst/>
          </a:prstGeom>
        </xdr:spPr>
      </xdr:pic>
      <xdr:pic>
        <xdr:nvPicPr>
          <xdr:cNvPr id="22" name="Picture 21">
            <a:extLst>
              <a:ext uri="{FF2B5EF4-FFF2-40B4-BE49-F238E27FC236}">
                <a16:creationId xmlns:a16="http://schemas.microsoft.com/office/drawing/2014/main" id="{F6D80F5F-8474-5C59-E55A-CBC6183C6152}"/>
              </a:ext>
            </a:extLst>
          </xdr:cNvPr>
          <xdr:cNvPicPr>
            <a:picLocks noChangeAspect="1"/>
          </xdr:cNvPicPr>
        </xdr:nvPicPr>
        <xdr:blipFill>
          <a:blip xmlns:r="http://schemas.openxmlformats.org/officeDocument/2006/relationships" r:embed="rId7"/>
          <a:stretch>
            <a:fillRect/>
          </a:stretch>
        </xdr:blipFill>
        <xdr:spPr>
          <a:xfrm>
            <a:off x="606113" y="18257266"/>
            <a:ext cx="689065" cy="693135"/>
          </a:xfrm>
          <a:prstGeom prst="rect">
            <a:avLst/>
          </a:prstGeom>
        </xdr:spPr>
      </xdr:pic>
    </xdr:grpSp>
    <xdr:clientData/>
  </xdr:twoCellAnchor>
  <xdr:twoCellAnchor>
    <xdr:from>
      <xdr:col>1</xdr:col>
      <xdr:colOff>287311</xdr:colOff>
      <xdr:row>195</xdr:row>
      <xdr:rowOff>37475</xdr:rowOff>
    </xdr:from>
    <xdr:to>
      <xdr:col>4</xdr:col>
      <xdr:colOff>260390</xdr:colOff>
      <xdr:row>204</xdr:row>
      <xdr:rowOff>93735</xdr:rowOff>
    </xdr:to>
    <xdr:grpSp>
      <xdr:nvGrpSpPr>
        <xdr:cNvPr id="23" name="Group 22">
          <a:extLst>
            <a:ext uri="{FF2B5EF4-FFF2-40B4-BE49-F238E27FC236}">
              <a16:creationId xmlns:a16="http://schemas.microsoft.com/office/drawing/2014/main" id="{F77D4998-A2E9-4D1E-8047-78FF19B5B791}"/>
            </a:ext>
          </a:extLst>
        </xdr:cNvPr>
        <xdr:cNvGrpSpPr/>
      </xdr:nvGrpSpPr>
      <xdr:grpSpPr>
        <a:xfrm>
          <a:off x="1374098" y="39574032"/>
          <a:ext cx="1946784" cy="1855080"/>
          <a:chOff x="10745195" y="17055995"/>
          <a:chExt cx="1950180" cy="1990093"/>
        </a:xfrm>
      </xdr:grpSpPr>
      <xdr:pic>
        <xdr:nvPicPr>
          <xdr:cNvPr id="24" name="Picture 23">
            <a:extLst>
              <a:ext uri="{FF2B5EF4-FFF2-40B4-BE49-F238E27FC236}">
                <a16:creationId xmlns:a16="http://schemas.microsoft.com/office/drawing/2014/main" id="{5D1AB046-C1A9-4615-4CB0-C4D6A1DB115A}"/>
              </a:ext>
            </a:extLst>
          </xdr:cNvPr>
          <xdr:cNvPicPr>
            <a:picLocks noChangeAspect="1"/>
          </xdr:cNvPicPr>
        </xdr:nvPicPr>
        <xdr:blipFill>
          <a:blip xmlns:r="http://schemas.openxmlformats.org/officeDocument/2006/relationships" r:embed="rId8"/>
          <a:stretch>
            <a:fillRect/>
          </a:stretch>
        </xdr:blipFill>
        <xdr:spPr>
          <a:xfrm>
            <a:off x="10745195" y="17055995"/>
            <a:ext cx="1950180" cy="1990093"/>
          </a:xfrm>
          <a:prstGeom prst="rect">
            <a:avLst/>
          </a:prstGeom>
        </xdr:spPr>
      </xdr:pic>
      <xdr:pic>
        <xdr:nvPicPr>
          <xdr:cNvPr id="25" name="Picture 24">
            <a:extLst>
              <a:ext uri="{FF2B5EF4-FFF2-40B4-BE49-F238E27FC236}">
                <a16:creationId xmlns:a16="http://schemas.microsoft.com/office/drawing/2014/main" id="{F4C5FF2D-DBC8-DA9B-F64B-D5B224C46AD7}"/>
              </a:ext>
            </a:extLst>
          </xdr:cNvPr>
          <xdr:cNvPicPr>
            <a:picLocks noChangeAspect="1"/>
          </xdr:cNvPicPr>
        </xdr:nvPicPr>
        <xdr:blipFill>
          <a:blip xmlns:r="http://schemas.openxmlformats.org/officeDocument/2006/relationships" r:embed="rId7"/>
          <a:stretch>
            <a:fillRect/>
          </a:stretch>
        </xdr:blipFill>
        <xdr:spPr>
          <a:xfrm>
            <a:off x="11370706" y="18207576"/>
            <a:ext cx="689065" cy="693135"/>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164124</xdr:colOff>
      <xdr:row>8</xdr:row>
      <xdr:rowOff>23446</xdr:rowOff>
    </xdr:from>
    <xdr:to>
      <xdr:col>6</xdr:col>
      <xdr:colOff>810623</xdr:colOff>
      <xdr:row>8</xdr:row>
      <xdr:rowOff>668216</xdr:rowOff>
    </xdr:to>
    <xdr:pic>
      <xdr:nvPicPr>
        <xdr:cNvPr id="2" name="Picture 1">
          <a:extLst>
            <a:ext uri="{FF2B5EF4-FFF2-40B4-BE49-F238E27FC236}">
              <a16:creationId xmlns:a16="http://schemas.microsoft.com/office/drawing/2014/main" id="{6DD12D68-7772-442F-96CA-26449E351C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28339" y="1676400"/>
          <a:ext cx="646499" cy="644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562708</xdr:colOff>
      <xdr:row>25</xdr:row>
      <xdr:rowOff>23235</xdr:rowOff>
    </xdr:from>
    <xdr:to>
      <xdr:col>4</xdr:col>
      <xdr:colOff>128954</xdr:colOff>
      <xdr:row>25</xdr:row>
      <xdr:rowOff>609600</xdr:rowOff>
    </xdr:to>
    <xdr:pic>
      <xdr:nvPicPr>
        <xdr:cNvPr id="3" name="Picture 2">
          <a:extLst>
            <a:ext uri="{FF2B5EF4-FFF2-40B4-BE49-F238E27FC236}">
              <a16:creationId xmlns:a16="http://schemas.microsoft.com/office/drawing/2014/main" id="{54B04473-F63A-D658-D412-FCB7EE0D44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90646" y="6846066"/>
          <a:ext cx="586154" cy="586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780178</xdr:colOff>
      <xdr:row>36</xdr:row>
      <xdr:rowOff>981977</xdr:rowOff>
    </xdr:from>
    <xdr:to>
      <xdr:col>4</xdr:col>
      <xdr:colOff>534437</xdr:colOff>
      <xdr:row>37</xdr:row>
      <xdr:rowOff>732097</xdr:rowOff>
    </xdr:to>
    <xdr:pic>
      <xdr:nvPicPr>
        <xdr:cNvPr id="18" name="Picture 3">
          <a:extLst>
            <a:ext uri="{FF2B5EF4-FFF2-40B4-BE49-F238E27FC236}">
              <a16:creationId xmlns:a16="http://schemas.microsoft.com/office/drawing/2014/main" id="{6AE190AB-FF8C-9A26-7668-EB7C005153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07352" y="14786325"/>
          <a:ext cx="775339" cy="778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1676401</xdr:colOff>
      <xdr:row>21</xdr:row>
      <xdr:rowOff>12161</xdr:rowOff>
    </xdr:from>
    <xdr:to>
      <xdr:col>14</xdr:col>
      <xdr:colOff>715107</xdr:colOff>
      <xdr:row>22</xdr:row>
      <xdr:rowOff>1</xdr:rowOff>
    </xdr:to>
    <xdr:pic>
      <xdr:nvPicPr>
        <xdr:cNvPr id="5" name="Picture 4">
          <a:extLst>
            <a:ext uri="{FF2B5EF4-FFF2-40B4-BE49-F238E27FC236}">
              <a16:creationId xmlns:a16="http://schemas.microsoft.com/office/drawing/2014/main" id="{FE0C31DA-6583-C135-E350-DC92ACA4260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397047" y="6014376"/>
          <a:ext cx="726829" cy="726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527539</xdr:colOff>
      <xdr:row>22</xdr:row>
      <xdr:rowOff>187570</xdr:rowOff>
    </xdr:from>
    <xdr:to>
      <xdr:col>9</xdr:col>
      <xdr:colOff>1242647</xdr:colOff>
      <xdr:row>24</xdr:row>
      <xdr:rowOff>5518</xdr:rowOff>
    </xdr:to>
    <xdr:pic>
      <xdr:nvPicPr>
        <xdr:cNvPr id="7" name="Picture 6">
          <a:extLst>
            <a:ext uri="{FF2B5EF4-FFF2-40B4-BE49-F238E27FC236}">
              <a16:creationId xmlns:a16="http://schemas.microsoft.com/office/drawing/2014/main" id="{7AA1BA4F-9CB0-52D8-4883-908A7E343F4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351477" y="6412524"/>
          <a:ext cx="715108" cy="714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35169</xdr:colOff>
      <xdr:row>10</xdr:row>
      <xdr:rowOff>199293</xdr:rowOff>
    </xdr:from>
    <xdr:to>
      <xdr:col>14</xdr:col>
      <xdr:colOff>1242647</xdr:colOff>
      <xdr:row>11</xdr:row>
      <xdr:rowOff>633047</xdr:rowOff>
    </xdr:to>
    <xdr:grpSp>
      <xdr:nvGrpSpPr>
        <xdr:cNvPr id="11" name="Group 10">
          <a:extLst>
            <a:ext uri="{FF2B5EF4-FFF2-40B4-BE49-F238E27FC236}">
              <a16:creationId xmlns:a16="http://schemas.microsoft.com/office/drawing/2014/main" id="{ED261FCA-915B-C5E4-DF5D-613BC05EC9CF}"/>
            </a:ext>
          </a:extLst>
        </xdr:cNvPr>
        <xdr:cNvGrpSpPr/>
      </xdr:nvGrpSpPr>
      <xdr:grpSpPr>
        <a:xfrm>
          <a:off x="17401395" y="3001487"/>
          <a:ext cx="1207478" cy="642689"/>
          <a:chOff x="17443938" y="3001108"/>
          <a:chExt cx="1207478" cy="644770"/>
        </a:xfrm>
      </xdr:grpSpPr>
      <xdr:pic>
        <xdr:nvPicPr>
          <xdr:cNvPr id="8" name="Picture 7">
            <a:extLst>
              <a:ext uri="{FF2B5EF4-FFF2-40B4-BE49-F238E27FC236}">
                <a16:creationId xmlns:a16="http://schemas.microsoft.com/office/drawing/2014/main" id="{35290FB4-7341-48A2-8480-6D37BC59B5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43938" y="3001108"/>
            <a:ext cx="646499" cy="64477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Graphic 9" descr="Add with solid fill">
            <a:extLst>
              <a:ext uri="{FF2B5EF4-FFF2-40B4-BE49-F238E27FC236}">
                <a16:creationId xmlns:a16="http://schemas.microsoft.com/office/drawing/2014/main" id="{31B571FD-2100-CA06-E3D2-58D361158C8E}"/>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8147324" y="3012832"/>
            <a:ext cx="504092" cy="504092"/>
          </a:xfrm>
          <a:prstGeom prst="rect">
            <a:avLst/>
          </a:prstGeom>
        </xdr:spPr>
      </xdr:pic>
    </xdr:grpSp>
    <xdr:clientData/>
  </xdr:twoCellAnchor>
  <xdr:twoCellAnchor editAs="oneCell">
    <xdr:from>
      <xdr:col>9</xdr:col>
      <xdr:colOff>140680</xdr:colOff>
      <xdr:row>37</xdr:row>
      <xdr:rowOff>726819</xdr:rowOff>
    </xdr:from>
    <xdr:to>
      <xdr:col>9</xdr:col>
      <xdr:colOff>902678</xdr:colOff>
      <xdr:row>39</xdr:row>
      <xdr:rowOff>23250</xdr:rowOff>
    </xdr:to>
    <xdr:pic>
      <xdr:nvPicPr>
        <xdr:cNvPr id="12" name="Picture 11">
          <a:extLst>
            <a:ext uri="{FF2B5EF4-FFF2-40B4-BE49-F238E27FC236}">
              <a16:creationId xmlns:a16="http://schemas.microsoft.com/office/drawing/2014/main" id="{CA2034ED-F304-6AFE-27D0-236B629845F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964618" y="13844942"/>
          <a:ext cx="761998" cy="7618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363416</xdr:colOff>
      <xdr:row>31</xdr:row>
      <xdr:rowOff>211014</xdr:rowOff>
    </xdr:from>
    <xdr:to>
      <xdr:col>9</xdr:col>
      <xdr:colOff>1055077</xdr:colOff>
      <xdr:row>32</xdr:row>
      <xdr:rowOff>619249</xdr:rowOff>
    </xdr:to>
    <xdr:pic>
      <xdr:nvPicPr>
        <xdr:cNvPr id="13" name="Picture 12">
          <a:extLst>
            <a:ext uri="{FF2B5EF4-FFF2-40B4-BE49-F238E27FC236}">
              <a16:creationId xmlns:a16="http://schemas.microsoft.com/office/drawing/2014/main" id="{D5016588-4CCA-A17D-8638-7BC0230C836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187354" y="11277599"/>
          <a:ext cx="691661" cy="689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199293</xdr:colOff>
      <xdr:row>73</xdr:row>
      <xdr:rowOff>128954</xdr:rowOff>
    </xdr:from>
    <xdr:to>
      <xdr:col>3</xdr:col>
      <xdr:colOff>879232</xdr:colOff>
      <xdr:row>74</xdr:row>
      <xdr:rowOff>609532</xdr:rowOff>
    </xdr:to>
    <xdr:pic>
      <xdr:nvPicPr>
        <xdr:cNvPr id="14" name="Picture 13">
          <a:extLst>
            <a:ext uri="{FF2B5EF4-FFF2-40B4-BE49-F238E27FC236}">
              <a16:creationId xmlns:a16="http://schemas.microsoft.com/office/drawing/2014/main" id="{C298D518-275A-E392-3DB5-D0D04FC4C96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927231" y="23282031"/>
          <a:ext cx="679939" cy="684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213097</xdr:colOff>
      <xdr:row>63</xdr:row>
      <xdr:rowOff>37802</xdr:rowOff>
    </xdr:from>
    <xdr:to>
      <xdr:col>3</xdr:col>
      <xdr:colOff>834420</xdr:colOff>
      <xdr:row>63</xdr:row>
      <xdr:rowOff>662329</xdr:rowOff>
    </xdr:to>
    <xdr:pic>
      <xdr:nvPicPr>
        <xdr:cNvPr id="19" name="Picture 14">
          <a:extLst>
            <a:ext uri="{FF2B5EF4-FFF2-40B4-BE49-F238E27FC236}">
              <a16:creationId xmlns:a16="http://schemas.microsoft.com/office/drawing/2014/main" id="{7AD8A482-1441-536C-76F4-9098CFAE271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40271" y="22759759"/>
          <a:ext cx="621323" cy="624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1524000</xdr:colOff>
      <xdr:row>36</xdr:row>
      <xdr:rowOff>0</xdr:rowOff>
    </xdr:from>
    <xdr:to>
      <xdr:col>14</xdr:col>
      <xdr:colOff>906067</xdr:colOff>
      <xdr:row>37</xdr:row>
      <xdr:rowOff>19050</xdr:rowOff>
    </xdr:to>
    <xdr:pic>
      <xdr:nvPicPr>
        <xdr:cNvPr id="16" name="Picture 15">
          <a:extLst>
            <a:ext uri="{FF2B5EF4-FFF2-40B4-BE49-F238E27FC236}">
              <a16:creationId xmlns:a16="http://schemas.microsoft.com/office/drawing/2014/main" id="{E8B8FA1C-AE85-77BE-C0E7-AAC3EFD4F6B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7240250" y="13182600"/>
          <a:ext cx="1058467" cy="104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229599</xdr:colOff>
      <xdr:row>63</xdr:row>
      <xdr:rowOff>1401</xdr:rowOff>
    </xdr:from>
    <xdr:to>
      <xdr:col>9</xdr:col>
      <xdr:colOff>850922</xdr:colOff>
      <xdr:row>63</xdr:row>
      <xdr:rowOff>625928</xdr:rowOff>
    </xdr:to>
    <xdr:pic>
      <xdr:nvPicPr>
        <xdr:cNvPr id="20" name="Picture 16">
          <a:extLst>
            <a:ext uri="{FF2B5EF4-FFF2-40B4-BE49-F238E27FC236}">
              <a16:creationId xmlns:a16="http://schemas.microsoft.com/office/drawing/2014/main" id="{36BAF73B-7AF5-445C-8858-C7FB6C6A1EF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072099" y="22723358"/>
          <a:ext cx="621323" cy="624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508523</xdr:colOff>
      <xdr:row>47</xdr:row>
      <xdr:rowOff>8020</xdr:rowOff>
    </xdr:from>
    <xdr:to>
      <xdr:col>8</xdr:col>
      <xdr:colOff>8020</xdr:colOff>
      <xdr:row>47</xdr:row>
      <xdr:rowOff>530155</xdr:rowOff>
    </xdr:to>
    <xdr:pic>
      <xdr:nvPicPr>
        <xdr:cNvPr id="21" name="Picture 20">
          <a:extLst>
            <a:ext uri="{FF2B5EF4-FFF2-40B4-BE49-F238E27FC236}">
              <a16:creationId xmlns:a16="http://schemas.microsoft.com/office/drawing/2014/main" id="{5266331D-E684-FF54-71E7-D0598F26F6A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flipH="1">
          <a:off x="8272902" y="18007262"/>
          <a:ext cx="518171" cy="522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468084</xdr:colOff>
      <xdr:row>7</xdr:row>
      <xdr:rowOff>195942</xdr:rowOff>
    </xdr:from>
    <xdr:to>
      <xdr:col>8</xdr:col>
      <xdr:colOff>238870</xdr:colOff>
      <xdr:row>8</xdr:row>
      <xdr:rowOff>759261</xdr:rowOff>
    </xdr:to>
    <xdr:pic>
      <xdr:nvPicPr>
        <xdr:cNvPr id="2" name="Picture 1">
          <a:extLst>
            <a:ext uri="{FF2B5EF4-FFF2-40B4-BE49-F238E27FC236}">
              <a16:creationId xmlns:a16="http://schemas.microsoft.com/office/drawing/2014/main" id="{E5E311ED-9259-4996-5555-214EDECA8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52113" y="2471056"/>
          <a:ext cx="794043" cy="791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696685</xdr:colOff>
      <xdr:row>27</xdr:row>
      <xdr:rowOff>21772</xdr:rowOff>
    </xdr:from>
    <xdr:to>
      <xdr:col>4</xdr:col>
      <xdr:colOff>175187</xdr:colOff>
      <xdr:row>27</xdr:row>
      <xdr:rowOff>732117</xdr:rowOff>
    </xdr:to>
    <xdr:pic>
      <xdr:nvPicPr>
        <xdr:cNvPr id="17" name="Picture 2">
          <a:extLst>
            <a:ext uri="{FF2B5EF4-FFF2-40B4-BE49-F238E27FC236}">
              <a16:creationId xmlns:a16="http://schemas.microsoft.com/office/drawing/2014/main" id="{C0C2DDCE-083B-5014-8EE1-88868D620E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41156" y="8762360"/>
          <a:ext cx="705322" cy="710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250371</xdr:colOff>
      <xdr:row>24</xdr:row>
      <xdr:rowOff>141514</xdr:rowOff>
    </xdr:from>
    <xdr:to>
      <xdr:col>14</xdr:col>
      <xdr:colOff>958259</xdr:colOff>
      <xdr:row>26</xdr:row>
      <xdr:rowOff>1</xdr:rowOff>
    </xdr:to>
    <xdr:pic>
      <xdr:nvPicPr>
        <xdr:cNvPr id="4" name="Picture 3">
          <a:extLst>
            <a:ext uri="{FF2B5EF4-FFF2-40B4-BE49-F238E27FC236}">
              <a16:creationId xmlns:a16="http://schemas.microsoft.com/office/drawing/2014/main" id="{2B044A3F-5148-03DA-8D8D-56E073CAF8D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157371" y="7119257"/>
          <a:ext cx="707888" cy="7075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544285</xdr:colOff>
      <xdr:row>27</xdr:row>
      <xdr:rowOff>10884</xdr:rowOff>
    </xdr:from>
    <xdr:to>
      <xdr:col>9</xdr:col>
      <xdr:colOff>1154158</xdr:colOff>
      <xdr:row>27</xdr:row>
      <xdr:rowOff>620485</xdr:rowOff>
    </xdr:to>
    <xdr:pic>
      <xdr:nvPicPr>
        <xdr:cNvPr id="5" name="Picture 4">
          <a:extLst>
            <a:ext uri="{FF2B5EF4-FFF2-40B4-BE49-F238E27FC236}">
              <a16:creationId xmlns:a16="http://schemas.microsoft.com/office/drawing/2014/main" id="{6F3CD5EB-FF09-EB3B-55DA-7164A0CECFB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874828" y="8055427"/>
          <a:ext cx="609873" cy="609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1545772</xdr:colOff>
      <xdr:row>11</xdr:row>
      <xdr:rowOff>10885</xdr:rowOff>
    </xdr:from>
    <xdr:to>
      <xdr:col>14</xdr:col>
      <xdr:colOff>1065964</xdr:colOff>
      <xdr:row>11</xdr:row>
      <xdr:rowOff>655655</xdr:rowOff>
    </xdr:to>
    <xdr:grpSp>
      <xdr:nvGrpSpPr>
        <xdr:cNvPr id="7" name="Group 6">
          <a:extLst>
            <a:ext uri="{FF2B5EF4-FFF2-40B4-BE49-F238E27FC236}">
              <a16:creationId xmlns:a16="http://schemas.microsoft.com/office/drawing/2014/main" id="{F0AADE92-5553-4F37-B136-9F02808E812B}"/>
            </a:ext>
          </a:extLst>
        </xdr:cNvPr>
        <xdr:cNvGrpSpPr/>
      </xdr:nvGrpSpPr>
      <xdr:grpSpPr>
        <a:xfrm>
          <a:off x="17721943" y="3831771"/>
          <a:ext cx="1207478" cy="644770"/>
          <a:chOff x="17443938" y="3001108"/>
          <a:chExt cx="1207478" cy="644770"/>
        </a:xfrm>
      </xdr:grpSpPr>
      <xdr:pic>
        <xdr:nvPicPr>
          <xdr:cNvPr id="8" name="Picture 7">
            <a:extLst>
              <a:ext uri="{FF2B5EF4-FFF2-40B4-BE49-F238E27FC236}">
                <a16:creationId xmlns:a16="http://schemas.microsoft.com/office/drawing/2014/main" id="{C201D265-325F-574A-8611-02B423AB42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43938" y="3001108"/>
            <a:ext cx="646499" cy="64477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 name="Graphic 8" descr="Add with solid fill">
            <a:extLst>
              <a:ext uri="{FF2B5EF4-FFF2-40B4-BE49-F238E27FC236}">
                <a16:creationId xmlns:a16="http://schemas.microsoft.com/office/drawing/2014/main" id="{37CEF9F3-4A4B-3C3B-ECF9-C282BE71862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8147324" y="3012832"/>
            <a:ext cx="504092" cy="504092"/>
          </a:xfrm>
          <a:prstGeom prst="rect">
            <a:avLst/>
          </a:prstGeom>
        </xdr:spPr>
      </xdr:pic>
    </xdr:grpSp>
    <xdr:clientData/>
  </xdr:twoCellAnchor>
  <xdr:twoCellAnchor editAs="oneCell">
    <xdr:from>
      <xdr:col>3</xdr:col>
      <xdr:colOff>1153886</xdr:colOff>
      <xdr:row>36</xdr:row>
      <xdr:rowOff>32658</xdr:rowOff>
    </xdr:from>
    <xdr:to>
      <xdr:col>4</xdr:col>
      <xdr:colOff>410728</xdr:colOff>
      <xdr:row>37</xdr:row>
      <xdr:rowOff>1</xdr:rowOff>
    </xdr:to>
    <xdr:pic>
      <xdr:nvPicPr>
        <xdr:cNvPr id="10" name="Picture 9">
          <a:extLst>
            <a:ext uri="{FF2B5EF4-FFF2-40B4-BE49-F238E27FC236}">
              <a16:creationId xmlns:a16="http://schemas.microsoft.com/office/drawing/2014/main" id="{60D57C3A-9BF2-42B6-AD4F-C8B43E05533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094515" y="12562115"/>
          <a:ext cx="486927" cy="489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1066801</xdr:colOff>
      <xdr:row>42</xdr:row>
      <xdr:rowOff>174173</xdr:rowOff>
    </xdr:from>
    <xdr:to>
      <xdr:col>4</xdr:col>
      <xdr:colOff>457202</xdr:colOff>
      <xdr:row>43</xdr:row>
      <xdr:rowOff>585757</xdr:rowOff>
    </xdr:to>
    <xdr:pic>
      <xdr:nvPicPr>
        <xdr:cNvPr id="11" name="Picture 10">
          <a:extLst>
            <a:ext uri="{FF2B5EF4-FFF2-40B4-BE49-F238E27FC236}">
              <a16:creationId xmlns:a16="http://schemas.microsoft.com/office/drawing/2014/main" id="{C122B1E8-AA6C-4056-267C-4FB78C8B05B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07430" y="14456230"/>
          <a:ext cx="620486" cy="618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315686</xdr:colOff>
      <xdr:row>35</xdr:row>
      <xdr:rowOff>174172</xdr:rowOff>
    </xdr:from>
    <xdr:to>
      <xdr:col>9</xdr:col>
      <xdr:colOff>905353</xdr:colOff>
      <xdr:row>37</xdr:row>
      <xdr:rowOff>21772</xdr:rowOff>
    </xdr:to>
    <xdr:pic>
      <xdr:nvPicPr>
        <xdr:cNvPr id="12" name="Picture 11">
          <a:extLst>
            <a:ext uri="{FF2B5EF4-FFF2-40B4-BE49-F238E27FC236}">
              <a16:creationId xmlns:a16="http://schemas.microsoft.com/office/drawing/2014/main" id="{29D54EC3-365E-BF9F-A139-4C2D1CE59C1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646229" y="12485915"/>
          <a:ext cx="589667" cy="5878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272144</xdr:colOff>
      <xdr:row>80</xdr:row>
      <xdr:rowOff>185058</xdr:rowOff>
    </xdr:from>
    <xdr:to>
      <xdr:col>3</xdr:col>
      <xdr:colOff>926892</xdr:colOff>
      <xdr:row>81</xdr:row>
      <xdr:rowOff>631372</xdr:rowOff>
    </xdr:to>
    <xdr:pic>
      <xdr:nvPicPr>
        <xdr:cNvPr id="13" name="Picture 12">
          <a:extLst>
            <a:ext uri="{FF2B5EF4-FFF2-40B4-BE49-F238E27FC236}">
              <a16:creationId xmlns:a16="http://schemas.microsoft.com/office/drawing/2014/main" id="{2DC231D1-DDCD-58EE-34B4-D0EF4582910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212773" y="22881772"/>
          <a:ext cx="654748" cy="653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87087</xdr:colOff>
      <xdr:row>70</xdr:row>
      <xdr:rowOff>185057</xdr:rowOff>
    </xdr:from>
    <xdr:to>
      <xdr:col>3</xdr:col>
      <xdr:colOff>696687</xdr:colOff>
      <xdr:row>71</xdr:row>
      <xdr:rowOff>587829</xdr:rowOff>
    </xdr:to>
    <xdr:pic>
      <xdr:nvPicPr>
        <xdr:cNvPr id="14" name="Picture 13">
          <a:extLst>
            <a:ext uri="{FF2B5EF4-FFF2-40B4-BE49-F238E27FC236}">
              <a16:creationId xmlns:a16="http://schemas.microsoft.com/office/drawing/2014/main" id="{1D90EA1A-A1F3-F90B-9120-AC1678E6F537}"/>
            </a:ext>
          </a:extLst>
        </xdr:cNvPr>
        <xdr:cNvPicPr>
          <a:picLocks noChangeAspect="1"/>
        </xdr:cNvPicPr>
      </xdr:nvPicPr>
      <xdr:blipFill>
        <a:blip xmlns:r="http://schemas.openxmlformats.org/officeDocument/2006/relationships" r:embed="rId11"/>
        <a:stretch>
          <a:fillRect/>
        </a:stretch>
      </xdr:blipFill>
      <xdr:spPr>
        <a:xfrm>
          <a:off x="4027716" y="20791714"/>
          <a:ext cx="609600" cy="609600"/>
        </a:xfrm>
        <a:prstGeom prst="rect">
          <a:avLst/>
        </a:prstGeom>
      </xdr:spPr>
    </xdr:pic>
    <xdr:clientData/>
  </xdr:twoCellAnchor>
  <xdr:twoCellAnchor editAs="oneCell">
    <xdr:from>
      <xdr:col>9</xdr:col>
      <xdr:colOff>283029</xdr:colOff>
      <xdr:row>42</xdr:row>
      <xdr:rowOff>163285</xdr:rowOff>
    </xdr:from>
    <xdr:to>
      <xdr:col>9</xdr:col>
      <xdr:colOff>1012371</xdr:colOff>
      <xdr:row>44</xdr:row>
      <xdr:rowOff>3499</xdr:rowOff>
    </xdr:to>
    <xdr:pic>
      <xdr:nvPicPr>
        <xdr:cNvPr id="15" name="Picture 14">
          <a:extLst>
            <a:ext uri="{FF2B5EF4-FFF2-40B4-BE49-F238E27FC236}">
              <a16:creationId xmlns:a16="http://schemas.microsoft.com/office/drawing/2014/main" id="{099AC123-A6E7-419A-8FD8-77EBE00DB14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613572" y="14608628"/>
          <a:ext cx="729342" cy="7219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130630</xdr:colOff>
      <xdr:row>70</xdr:row>
      <xdr:rowOff>185057</xdr:rowOff>
    </xdr:from>
    <xdr:to>
      <xdr:col>9</xdr:col>
      <xdr:colOff>740230</xdr:colOff>
      <xdr:row>71</xdr:row>
      <xdr:rowOff>587829</xdr:rowOff>
    </xdr:to>
    <xdr:pic>
      <xdr:nvPicPr>
        <xdr:cNvPr id="16" name="Picture 15">
          <a:extLst>
            <a:ext uri="{FF2B5EF4-FFF2-40B4-BE49-F238E27FC236}">
              <a16:creationId xmlns:a16="http://schemas.microsoft.com/office/drawing/2014/main" id="{46C12228-F9EC-479F-8731-F285EF56D51F}"/>
            </a:ext>
          </a:extLst>
        </xdr:cNvPr>
        <xdr:cNvPicPr>
          <a:picLocks noChangeAspect="1"/>
        </xdr:cNvPicPr>
      </xdr:nvPicPr>
      <xdr:blipFill>
        <a:blip xmlns:r="http://schemas.openxmlformats.org/officeDocument/2006/relationships" r:embed="rId11"/>
        <a:stretch>
          <a:fillRect/>
        </a:stretch>
      </xdr:blipFill>
      <xdr:spPr>
        <a:xfrm>
          <a:off x="10461173" y="20791714"/>
          <a:ext cx="609600" cy="609600"/>
        </a:xfrm>
        <a:prstGeom prst="rect">
          <a:avLst/>
        </a:prstGeom>
      </xdr:spPr>
    </xdr:pic>
    <xdr:clientData/>
  </xdr:twoCellAnchor>
  <xdr:twoCellAnchor editAs="oneCell">
    <xdr:from>
      <xdr:col>7</xdr:col>
      <xdr:colOff>620489</xdr:colOff>
      <xdr:row>51</xdr:row>
      <xdr:rowOff>2245</xdr:rowOff>
    </xdr:from>
    <xdr:to>
      <xdr:col>8</xdr:col>
      <xdr:colOff>76200</xdr:colOff>
      <xdr:row>51</xdr:row>
      <xdr:rowOff>478971</xdr:rowOff>
    </xdr:to>
    <xdr:pic>
      <xdr:nvPicPr>
        <xdr:cNvPr id="18" name="Picture 17">
          <a:extLst>
            <a:ext uri="{FF2B5EF4-FFF2-40B4-BE49-F238E27FC236}">
              <a16:creationId xmlns:a16="http://schemas.microsoft.com/office/drawing/2014/main" id="{B401D11E-9060-5C77-A70A-2E8F6992E7C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904518" y="16809788"/>
          <a:ext cx="478968" cy="476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454687</xdr:colOff>
      <xdr:row>232</xdr:row>
      <xdr:rowOff>70504</xdr:rowOff>
    </xdr:from>
    <xdr:to>
      <xdr:col>6</xdr:col>
      <xdr:colOff>494881</xdr:colOff>
      <xdr:row>255</xdr:row>
      <xdr:rowOff>6030</xdr:rowOff>
    </xdr:to>
    <xdr:graphicFrame macro="">
      <xdr:nvGraphicFramePr>
        <xdr:cNvPr id="30" name="Chart 1">
          <a:extLst>
            <a:ext uri="{FF2B5EF4-FFF2-40B4-BE49-F238E27FC236}">
              <a16:creationId xmlns:a16="http://schemas.microsoft.com/office/drawing/2014/main" id="{3AD29B64-76AC-55A2-6F48-63DFB5C8A9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461887</xdr:colOff>
      <xdr:row>273</xdr:row>
      <xdr:rowOff>145366</xdr:rowOff>
    </xdr:from>
    <xdr:to>
      <xdr:col>31</xdr:col>
      <xdr:colOff>426720</xdr:colOff>
      <xdr:row>300</xdr:row>
      <xdr:rowOff>30480</xdr:rowOff>
    </xdr:to>
    <xdr:graphicFrame macro="">
      <xdr:nvGraphicFramePr>
        <xdr:cNvPr id="38" name="Chart 5">
          <a:extLst>
            <a:ext uri="{FF2B5EF4-FFF2-40B4-BE49-F238E27FC236}">
              <a16:creationId xmlns:a16="http://schemas.microsoft.com/office/drawing/2014/main" id="{A3ABC677-C388-70D6-CCE4-E4CE023EA0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721638</xdr:colOff>
      <xdr:row>231</xdr:row>
      <xdr:rowOff>0</xdr:rowOff>
    </xdr:from>
    <xdr:to>
      <xdr:col>31</xdr:col>
      <xdr:colOff>396239</xdr:colOff>
      <xdr:row>260</xdr:row>
      <xdr:rowOff>63639</xdr:rowOff>
    </xdr:to>
    <xdr:graphicFrame macro="">
      <xdr:nvGraphicFramePr>
        <xdr:cNvPr id="34" name="Chart 7">
          <a:extLst>
            <a:ext uri="{FF2B5EF4-FFF2-40B4-BE49-F238E27FC236}">
              <a16:creationId xmlns:a16="http://schemas.microsoft.com/office/drawing/2014/main" id="{9AE8F604-CA0A-E1B1-FEB0-C60605270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285617</xdr:colOff>
      <xdr:row>273</xdr:row>
      <xdr:rowOff>115100</xdr:rowOff>
    </xdr:from>
    <xdr:to>
      <xdr:col>8</xdr:col>
      <xdr:colOff>49760</xdr:colOff>
      <xdr:row>301</xdr:row>
      <xdr:rowOff>90258</xdr:rowOff>
    </xdr:to>
    <xdr:graphicFrame macro="">
      <xdr:nvGraphicFramePr>
        <xdr:cNvPr id="19" name="Chart 9">
          <a:extLst>
            <a:ext uri="{FF2B5EF4-FFF2-40B4-BE49-F238E27FC236}">
              <a16:creationId xmlns:a16="http://schemas.microsoft.com/office/drawing/2014/main" id="{D9552F54-EDE6-4D0E-8E42-C9E594CFA5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1279476</xdr:colOff>
      <xdr:row>228</xdr:row>
      <xdr:rowOff>181026</xdr:rowOff>
    </xdr:from>
    <xdr:to>
      <xdr:col>17</xdr:col>
      <xdr:colOff>362211</xdr:colOff>
      <xdr:row>256</xdr:row>
      <xdr:rowOff>179191</xdr:rowOff>
    </xdr:to>
    <xdr:graphicFrame macro="">
      <xdr:nvGraphicFramePr>
        <xdr:cNvPr id="31" name="Chart 10">
          <a:extLst>
            <a:ext uri="{FF2B5EF4-FFF2-40B4-BE49-F238E27FC236}">
              <a16:creationId xmlns:a16="http://schemas.microsoft.com/office/drawing/2014/main" id="{240AE767-6B47-40A3-8A91-C0D6234D16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1024886</xdr:colOff>
      <xdr:row>304</xdr:row>
      <xdr:rowOff>16919</xdr:rowOff>
    </xdr:from>
    <xdr:to>
      <xdr:col>8</xdr:col>
      <xdr:colOff>763415</xdr:colOff>
      <xdr:row>332</xdr:row>
      <xdr:rowOff>22495</xdr:rowOff>
    </xdr:to>
    <xdr:graphicFrame macro="">
      <xdr:nvGraphicFramePr>
        <xdr:cNvPr id="17" name="Chart 11">
          <a:extLst>
            <a:ext uri="{FF2B5EF4-FFF2-40B4-BE49-F238E27FC236}">
              <a16:creationId xmlns:a16="http://schemas.microsoft.com/office/drawing/2014/main" id="{3B7A452E-76B1-47CA-9D77-E9869932D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647178</xdr:colOff>
      <xdr:row>273</xdr:row>
      <xdr:rowOff>101517</xdr:rowOff>
    </xdr:from>
    <xdr:to>
      <xdr:col>18</xdr:col>
      <xdr:colOff>30480</xdr:colOff>
      <xdr:row>301</xdr:row>
      <xdr:rowOff>121920</xdr:rowOff>
    </xdr:to>
    <xdr:graphicFrame macro="">
      <xdr:nvGraphicFramePr>
        <xdr:cNvPr id="36" name="Chart 12">
          <a:extLst>
            <a:ext uri="{FF2B5EF4-FFF2-40B4-BE49-F238E27FC236}">
              <a16:creationId xmlns:a16="http://schemas.microsoft.com/office/drawing/2014/main" id="{35C098D1-F129-61E0-9C7B-FF88D4C92B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151356</xdr:colOff>
      <xdr:row>211</xdr:row>
      <xdr:rowOff>68893</xdr:rowOff>
    </xdr:from>
    <xdr:to>
      <xdr:col>15</xdr:col>
      <xdr:colOff>146137</xdr:colOff>
      <xdr:row>226</xdr:row>
      <xdr:rowOff>20876</xdr:rowOff>
    </xdr:to>
    <xdr:graphicFrame macro="">
      <xdr:nvGraphicFramePr>
        <xdr:cNvPr id="2" name="Chart 1">
          <a:extLst>
            <a:ext uri="{FF2B5EF4-FFF2-40B4-BE49-F238E27FC236}">
              <a16:creationId xmlns:a16="http://schemas.microsoft.com/office/drawing/2014/main" id="{35370809-BCA2-EBDF-7CB6-4C96641B91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38100</xdr:colOff>
      <xdr:row>7</xdr:row>
      <xdr:rowOff>76200</xdr:rowOff>
    </xdr:from>
    <xdr:to>
      <xdr:col>12</xdr:col>
      <xdr:colOff>0</xdr:colOff>
      <xdr:row>35</xdr:row>
      <xdr:rowOff>139700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39</xdr:row>
      <xdr:rowOff>0</xdr:rowOff>
    </xdr:from>
    <xdr:to>
      <xdr:col>11</xdr:col>
      <xdr:colOff>787400</xdr:colOff>
      <xdr:row>67</xdr:row>
      <xdr:rowOff>63500</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26656</xdr:colOff>
      <xdr:row>70</xdr:row>
      <xdr:rowOff>127000</xdr:rowOff>
    </xdr:from>
    <xdr:to>
      <xdr:col>11</xdr:col>
      <xdr:colOff>814056</xdr:colOff>
      <xdr:row>99</xdr:row>
      <xdr:rowOff>0</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125186</xdr:colOff>
      <xdr:row>17</xdr:row>
      <xdr:rowOff>13816</xdr:rowOff>
    </xdr:from>
    <xdr:to>
      <xdr:col>20</xdr:col>
      <xdr:colOff>688034</xdr:colOff>
      <xdr:row>27</xdr:row>
      <xdr:rowOff>203060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10856686" y="4001616"/>
          <a:ext cx="6341348" cy="2221244"/>
        </a:xfrm>
        <a:prstGeom prst="rect">
          <a:avLst/>
        </a:prstGeom>
        <a:solidFill>
          <a:schemeClr val="accent2">
            <a:lumMod val="20000"/>
            <a:lumOff val="80000"/>
          </a:schemeClr>
        </a:solidFill>
        <a:ln w="9525" cmpd="sng">
          <a:solidFill>
            <a:schemeClr val="accent2">
              <a:lumMod val="75000"/>
            </a:schemeClr>
          </a:solidFill>
        </a:ln>
        <a:effectLst>
          <a:outerShdw blurRad="50800" dist="38100" dir="2700000" algn="tl" rotWithShape="0">
            <a:srgbClr val="002060">
              <a:alpha val="40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i="0" u="none" strike="noStrike">
              <a:solidFill>
                <a:schemeClr val="accent2">
                  <a:lumMod val="50000"/>
                </a:schemeClr>
              </a:solidFill>
              <a:effectLst/>
              <a:latin typeface="+mn-lt"/>
              <a:ea typeface="+mn-ea"/>
              <a:cs typeface="+mn-cs"/>
            </a:rPr>
            <a:t>Top</a:t>
          </a:r>
          <a:r>
            <a:rPr lang="en-GB" sz="1600" b="1" i="0" u="none" strike="noStrike" baseline="0">
              <a:solidFill>
                <a:schemeClr val="accent2">
                  <a:lumMod val="50000"/>
                </a:schemeClr>
              </a:solidFill>
              <a:effectLst/>
              <a:latin typeface="+mn-lt"/>
              <a:ea typeface="+mn-ea"/>
              <a:cs typeface="+mn-cs"/>
            </a:rPr>
            <a:t> Tip on Overall Picture</a:t>
          </a:r>
          <a:endParaRPr lang="en-GB" sz="1600">
            <a:solidFill>
              <a:schemeClr val="accent2">
                <a:lumMod val="50000"/>
              </a:schemeClr>
            </a:solidFill>
          </a:endParaRPr>
        </a:p>
        <a:p>
          <a:endParaRPr lang="en-GB" sz="1100" b="0" i="0" u="none" strike="noStrike">
            <a:solidFill>
              <a:schemeClr val="accent2">
                <a:lumMod val="50000"/>
              </a:schemeClr>
            </a:solidFill>
            <a:effectLst/>
            <a:latin typeface="+mn-lt"/>
            <a:ea typeface="+mn-ea"/>
            <a:cs typeface="+mn-cs"/>
          </a:endParaRPr>
        </a:p>
        <a:p>
          <a:r>
            <a:rPr lang="en-GB" sz="1100" b="0" i="0" u="none" strike="noStrike">
              <a:solidFill>
                <a:schemeClr val="accent2">
                  <a:lumMod val="50000"/>
                </a:schemeClr>
              </a:solidFill>
              <a:effectLst/>
              <a:latin typeface="+mn-lt"/>
              <a:ea typeface="+mn-ea"/>
              <a:cs typeface="+mn-cs"/>
            </a:rPr>
            <a:t>Your business must look like an investible proposition! The figures also must look credible.</a:t>
          </a:r>
        </a:p>
        <a:p>
          <a:endParaRPr lang="en-GB" sz="1100" b="0" i="0" u="none" strike="noStrike">
            <a:solidFill>
              <a:schemeClr val="accent2">
                <a:lumMod val="50000"/>
              </a:schemeClr>
            </a:solidFill>
            <a:effectLst/>
            <a:latin typeface="+mn-lt"/>
            <a:ea typeface="+mn-ea"/>
            <a:cs typeface="+mn-cs"/>
          </a:endParaRPr>
        </a:p>
        <a:p>
          <a:r>
            <a:rPr lang="en-GB" sz="1100" b="0" i="0" u="none" strike="noStrike">
              <a:solidFill>
                <a:schemeClr val="accent2">
                  <a:lumMod val="50000"/>
                </a:schemeClr>
              </a:solidFill>
              <a:effectLst/>
              <a:latin typeface="+mn-lt"/>
              <a:ea typeface="+mn-ea"/>
              <a:cs typeface="+mn-cs"/>
            </a:rPr>
            <a:t>How about showing three years of sales growth? And perhaps a small profit or loss in the first year (most likely in virtually in start-up</a:t>
          </a:r>
          <a:r>
            <a:rPr lang="en-GB" sz="1100" b="0" i="0" u="none" strike="noStrike" baseline="0">
              <a:solidFill>
                <a:schemeClr val="accent2">
                  <a:lumMod val="50000"/>
                </a:schemeClr>
              </a:solidFill>
              <a:effectLst/>
              <a:latin typeface="+mn-lt"/>
              <a:ea typeface="+mn-ea"/>
              <a:cs typeface="+mn-cs"/>
            </a:rPr>
            <a:t> scenarios) followed by a 'modest' Year 2 profit and a 'healthy' Year 3 profit?</a:t>
          </a:r>
        </a:p>
        <a:p>
          <a:endParaRPr lang="en-GB" sz="1100" b="0" i="0" u="none" strike="noStrike" baseline="0">
            <a:solidFill>
              <a:schemeClr val="accent2">
                <a:lumMod val="50000"/>
              </a:schemeClr>
            </a:solidFill>
            <a:effectLst/>
            <a:latin typeface="+mn-lt"/>
            <a:ea typeface="+mn-ea"/>
            <a:cs typeface="+mn-cs"/>
          </a:endParaRPr>
        </a:p>
        <a:p>
          <a:r>
            <a:rPr lang="en-GB" sz="1100" b="0" i="0" u="none" strike="noStrike" baseline="0">
              <a:solidFill>
                <a:schemeClr val="accent2">
                  <a:lumMod val="50000"/>
                </a:schemeClr>
              </a:solidFill>
              <a:effectLst/>
              <a:latin typeface="+mn-lt"/>
              <a:ea typeface="+mn-ea"/>
              <a:cs typeface="+mn-cs"/>
            </a:rPr>
            <a:t>What do we mean by 'modest' and 'healthy'? There are no fixed rules and will vary greatly from business to business. An established successful business in the UK would have a net margin in the region of 10% to 20%, but this level of profitability will vary greatly from industry to industry.</a:t>
          </a:r>
          <a:endParaRPr lang="en-GB" i="0">
            <a:solidFill>
              <a:schemeClr val="accent2">
                <a:lumMod val="50000"/>
              </a:schemeClr>
            </a:solidFill>
          </a:endParaRPr>
        </a:p>
        <a:p>
          <a:endParaRPr lang="en-GB" sz="1100" i="0">
            <a:solidFill>
              <a:schemeClr val="accent2">
                <a:lumMod val="50000"/>
              </a:schemeClr>
            </a:solidFill>
          </a:endParaRPr>
        </a:p>
      </xdr:txBody>
    </xdr:sp>
    <xdr:clientData/>
  </xdr:twoCellAnchor>
  <xdr:twoCellAnchor>
    <xdr:from>
      <xdr:col>13</xdr:col>
      <xdr:colOff>278005</xdr:colOff>
      <xdr:row>75</xdr:row>
      <xdr:rowOff>110531</xdr:rowOff>
    </xdr:from>
    <xdr:to>
      <xdr:col>21</xdr:col>
      <xdr:colOff>15353</xdr:colOff>
      <xdr:row>91</xdr:row>
      <xdr:rowOff>155223</xdr:rowOff>
    </xdr:to>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11101227" y="15294087"/>
          <a:ext cx="6397793" cy="3205580"/>
        </a:xfrm>
        <a:prstGeom prst="rect">
          <a:avLst/>
        </a:prstGeom>
        <a:solidFill>
          <a:schemeClr val="accent2">
            <a:lumMod val="20000"/>
            <a:lumOff val="80000"/>
          </a:schemeClr>
        </a:solidFill>
        <a:ln w="9525" cmpd="sng">
          <a:solidFill>
            <a:schemeClr val="accent2">
              <a:lumMod val="75000"/>
            </a:schemeClr>
          </a:solidFill>
        </a:ln>
        <a:effectLst>
          <a:outerShdw blurRad="50800" dist="38100" dir="2700000" algn="tl" rotWithShape="0">
            <a:srgbClr val="002060">
              <a:alpha val="40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i="0" u="none" strike="noStrike">
              <a:solidFill>
                <a:schemeClr val="accent2">
                  <a:lumMod val="50000"/>
                </a:schemeClr>
              </a:solidFill>
              <a:effectLst/>
              <a:latin typeface="+mn-lt"/>
              <a:ea typeface="+mn-ea"/>
              <a:cs typeface="+mn-cs"/>
            </a:rPr>
            <a:t>Top</a:t>
          </a:r>
          <a:r>
            <a:rPr lang="en-GB" sz="1600" b="1" i="0" u="none" strike="noStrike" baseline="0">
              <a:solidFill>
                <a:schemeClr val="accent2">
                  <a:lumMod val="50000"/>
                </a:schemeClr>
              </a:solidFill>
              <a:effectLst/>
              <a:latin typeface="+mn-lt"/>
              <a:ea typeface="+mn-ea"/>
              <a:cs typeface="+mn-cs"/>
            </a:rPr>
            <a:t> Tip on Cash Flow Forecast</a:t>
          </a:r>
          <a:endParaRPr lang="en-GB" sz="1600">
            <a:solidFill>
              <a:schemeClr val="accent2">
                <a:lumMod val="50000"/>
              </a:schemeClr>
            </a:solidFill>
          </a:endParaRPr>
        </a:p>
        <a:p>
          <a:endParaRPr lang="en-GB" sz="1100" b="0" i="0" u="none" strike="noStrike">
            <a:solidFill>
              <a:schemeClr val="accent2">
                <a:lumMod val="50000"/>
              </a:schemeClr>
            </a:solidFill>
            <a:effectLst/>
            <a:latin typeface="+mn-lt"/>
            <a:ea typeface="+mn-ea"/>
            <a:cs typeface="+mn-cs"/>
          </a:endParaRPr>
        </a:p>
        <a:p>
          <a:r>
            <a:rPr lang="en-GB" sz="1100" b="0" i="0" u="none" strike="noStrike">
              <a:solidFill>
                <a:schemeClr val="accent2">
                  <a:lumMod val="50000"/>
                </a:schemeClr>
              </a:solidFill>
              <a:effectLst/>
              <a:latin typeface="+mn-lt"/>
              <a:ea typeface="+mn-ea"/>
              <a:cs typeface="+mn-cs"/>
            </a:rPr>
            <a:t>Your business  should ideally be showing a growing positive cash flow after the start-up period. It is understandable to see it falling at the start, as assets are purchased and initial trading losses are incurred.</a:t>
          </a:r>
        </a:p>
        <a:p>
          <a:endParaRPr lang="en-GB" sz="1100" b="0" i="0" u="none" strike="noStrike">
            <a:solidFill>
              <a:schemeClr val="accent2">
                <a:lumMod val="50000"/>
              </a:schemeClr>
            </a:solidFill>
            <a:effectLst/>
            <a:latin typeface="+mn-lt"/>
            <a:ea typeface="+mn-ea"/>
            <a:cs typeface="+mn-cs"/>
          </a:endParaRPr>
        </a:p>
        <a:p>
          <a:r>
            <a:rPr lang="en-GB" sz="1100" b="0" i="0" u="none" strike="noStrike">
              <a:solidFill>
                <a:schemeClr val="accent2">
                  <a:lumMod val="50000"/>
                </a:schemeClr>
              </a:solidFill>
              <a:effectLst/>
              <a:latin typeface="+mn-lt"/>
              <a:ea typeface="+mn-ea"/>
              <a:cs typeface="+mn-cs"/>
            </a:rPr>
            <a:t>A key learning point is ensuring the business has sufficient cash to cover contingencies during the start-up</a:t>
          </a:r>
          <a:r>
            <a:rPr lang="en-GB" sz="1100" b="0" i="0" u="none" strike="noStrike" baseline="0">
              <a:solidFill>
                <a:schemeClr val="accent2">
                  <a:lumMod val="50000"/>
                </a:schemeClr>
              </a:solidFill>
              <a:effectLst/>
              <a:latin typeface="+mn-lt"/>
              <a:ea typeface="+mn-ea"/>
              <a:cs typeface="+mn-cs"/>
            </a:rPr>
            <a:t> period. What if sales are delayed? What if some extra unexpected costs are incurred? Is there enough contingency cash to cope with these scenarios? You don't fly a plane skimming the tree tops for good reason - why run a business like that?</a:t>
          </a:r>
        </a:p>
        <a:p>
          <a:endParaRPr lang="en-GB" sz="1100" b="0" i="0" u="none" strike="noStrike" baseline="0">
            <a:solidFill>
              <a:schemeClr val="accent2">
                <a:lumMod val="50000"/>
              </a:schemeClr>
            </a:solidFill>
            <a:effectLst/>
            <a:latin typeface="+mn-lt"/>
            <a:ea typeface="+mn-ea"/>
            <a:cs typeface="+mn-cs"/>
          </a:endParaRPr>
        </a:p>
        <a:p>
          <a:r>
            <a:rPr lang="en-GB" sz="1100" b="0" i="0" u="none" strike="noStrike" baseline="0">
              <a:solidFill>
                <a:schemeClr val="accent2">
                  <a:lumMod val="50000"/>
                </a:schemeClr>
              </a:solidFill>
              <a:effectLst/>
              <a:latin typeface="+mn-lt"/>
              <a:ea typeface="+mn-ea"/>
              <a:cs typeface="+mn-cs"/>
            </a:rPr>
            <a:t>For this financial model exercise you can solve the problem by by increasing the equity, debt, or - best of all - the profitability of the business.</a:t>
          </a:r>
        </a:p>
        <a:p>
          <a:endParaRPr lang="en-GB" sz="1100" b="0" i="0" u="none" strike="noStrike" baseline="0">
            <a:solidFill>
              <a:schemeClr val="accent2">
                <a:lumMod val="50000"/>
              </a:schemeClr>
            </a:solidFill>
            <a:effectLst/>
            <a:latin typeface="+mn-lt"/>
            <a:ea typeface="+mn-ea"/>
            <a:cs typeface="+mn-cs"/>
          </a:endParaRPr>
        </a:p>
        <a:p>
          <a:r>
            <a:rPr lang="en-GB" sz="1100" b="0" i="0" u="none" strike="noStrike" baseline="0">
              <a:solidFill>
                <a:schemeClr val="accent2">
                  <a:lumMod val="50000"/>
                </a:schemeClr>
              </a:solidFill>
              <a:effectLst/>
              <a:latin typeface="+mn-lt"/>
              <a:ea typeface="+mn-ea"/>
              <a:cs typeface="+mn-cs"/>
            </a:rPr>
            <a:t>In the real world, for an established trading business it is a good idea to maintain a minimum bank balance of around 10% of annual sales.  However, if the business is subject to volitile tading conditions, a far greater level of contingency would be required.</a:t>
          </a:r>
          <a:endParaRPr lang="en-GB" i="0">
            <a:solidFill>
              <a:schemeClr val="accent2">
                <a:lumMod val="50000"/>
              </a:schemeClr>
            </a:solidFill>
          </a:endParaRPr>
        </a:p>
        <a:p>
          <a:endParaRPr lang="en-GB" sz="1100" i="0">
            <a:solidFill>
              <a:schemeClr val="accent2">
                <a:lumMod val="50000"/>
              </a:schemeClr>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369059</xdr:colOff>
      <xdr:row>6</xdr:row>
      <xdr:rowOff>0</xdr:rowOff>
    </xdr:from>
    <xdr:to>
      <xdr:col>12</xdr:col>
      <xdr:colOff>748974</xdr:colOff>
      <xdr:row>15</xdr:row>
      <xdr:rowOff>21709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9059" y="1562100"/>
          <a:ext cx="10285915" cy="21934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i="0" u="none" strike="noStrike">
              <a:solidFill>
                <a:schemeClr val="dk1"/>
              </a:solidFill>
              <a:effectLst/>
              <a:latin typeface="+mn-lt"/>
              <a:ea typeface="+mn-ea"/>
              <a:cs typeface="+mn-cs"/>
            </a:rPr>
            <a:t>© Simon Hulme and Chris Drew, 2011-2023</a:t>
          </a:r>
          <a:r>
            <a:rPr lang="en-GB" sz="1600" b="1"/>
            <a:t> </a:t>
          </a:r>
        </a:p>
        <a:p>
          <a:endParaRPr lang="en-GB" sz="1600" b="0" i="0" u="none" strike="noStrike">
            <a:solidFill>
              <a:schemeClr val="dk1"/>
            </a:solidFill>
            <a:effectLst/>
            <a:latin typeface="+mn-lt"/>
            <a:ea typeface="+mn-ea"/>
            <a:cs typeface="+mn-cs"/>
          </a:endParaRPr>
        </a:p>
        <a:p>
          <a:r>
            <a:rPr lang="en-GB" sz="1600" b="0" i="0" u="none" strike="noStrike">
              <a:solidFill>
                <a:schemeClr val="dk1"/>
              </a:solidFill>
              <a:effectLst/>
              <a:latin typeface="+mn-lt"/>
              <a:ea typeface="+mn-ea"/>
              <a:cs typeface="+mn-cs"/>
            </a:rPr>
            <a:t>The contents of this spreadsheet can be freely used and adapted by students, entrepreneurs and educators without further permission.</a:t>
          </a:r>
          <a:r>
            <a:rPr lang="en-GB" sz="1600"/>
            <a:t> </a:t>
          </a:r>
          <a:r>
            <a:rPr lang="en-GB" sz="1600" b="1" i="0" u="none" strike="noStrike">
              <a:solidFill>
                <a:schemeClr val="dk1"/>
              </a:solidFill>
              <a:effectLst/>
              <a:latin typeface="+mn-lt"/>
              <a:ea typeface="+mn-ea"/>
              <a:cs typeface="+mn-cs"/>
            </a:rPr>
            <a:t>However, </a:t>
          </a:r>
          <a:r>
            <a:rPr lang="en-GB" sz="1600" b="1"/>
            <a:t>students who have used the spreadsheet for an academic exercise</a:t>
          </a:r>
          <a:r>
            <a:rPr lang="en-GB" sz="1600" b="1" baseline="0"/>
            <a:t> are </a:t>
          </a:r>
          <a:r>
            <a:rPr lang="en-GB" sz="1600" b="1" u="sng" baseline="0"/>
            <a:t>strictly prohibited from passing their work on to another student</a:t>
          </a:r>
          <a:r>
            <a:rPr lang="en-GB" sz="1600" b="1" baseline="0"/>
            <a:t> who is doing the same, or a similar, academic exercise.  </a:t>
          </a:r>
          <a:r>
            <a:rPr lang="en-GB" sz="1600" b="0" baseline="0"/>
            <a:t>Such an action would be regarded as </a:t>
          </a:r>
          <a:r>
            <a:rPr lang="en-GB" sz="1600" b="1" u="sng" baseline="0"/>
            <a:t>a severe breach of the copyright</a:t>
          </a:r>
          <a:r>
            <a:rPr lang="en-GB" sz="1600" b="0" baseline="0"/>
            <a:t> of this spreadsheet and in addition </a:t>
          </a:r>
          <a:r>
            <a:rPr lang="en-GB" sz="1600" b="1" u="sng" baseline="0"/>
            <a:t>could cause the student concerned to be excluded from the university</a:t>
          </a:r>
          <a:r>
            <a:rPr lang="en-GB" sz="1600" b="0" baseline="0"/>
            <a:t> on the grounds of academic misconduct. </a:t>
          </a:r>
          <a:r>
            <a:rPr lang="en-GB" sz="1600" b="1" baseline="0"/>
            <a:t> </a:t>
          </a:r>
          <a:r>
            <a:rPr lang="en-GB" sz="1600" baseline="0"/>
            <a:t>In all other respects former students are free to use their work based on this model entirely as they wish.</a:t>
          </a:r>
          <a:endParaRPr lang="en-GB" sz="1600" b="0" i="0" u="none" strike="noStrike" baseline="0">
            <a:solidFill>
              <a:schemeClr val="dk1"/>
            </a:solidFill>
            <a:effectLst/>
            <a:latin typeface="+mn-lt"/>
            <a:ea typeface="+mn-ea"/>
            <a:cs typeface="+mn-cs"/>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700A5B-FE08-4BCA-91A2-1AE711CFDF72}" name="Table1" displayName="Table1" ref="B209:E214" totalsRowShown="0" headerRowDxfId="24" dataDxfId="23">
  <autoFilter ref="B209:E214" xr:uid="{09700A5B-FE08-4BCA-91A2-1AE711CFDF72}">
    <filterColumn colId="0" hiddenButton="1"/>
    <filterColumn colId="1" hiddenButton="1"/>
    <filterColumn colId="2" hiddenButton="1"/>
    <filterColumn colId="3" hiddenButton="1"/>
  </autoFilter>
  <tableColumns count="4">
    <tableColumn id="1" xr3:uid="{5CCA620C-7A4B-4A54-96D8-E91E0F39A514}" name="Balance Sheet " dataDxfId="22"/>
    <tableColumn id="2" xr3:uid="{4A153A88-B66E-4E93-9A28-34B40BD01DFF}" name="Dec-24" dataDxfId="21"/>
    <tableColumn id="3" xr3:uid="{F118B99D-8021-4AFD-9DBF-40D58AA0C7B3}" name="Dec-25" dataDxfId="20"/>
    <tableColumn id="4" xr3:uid="{D95496E8-813E-4CAB-A555-E3D7EEA3424C}" name="Dec-26" dataDxfId="1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320B699-0B6F-4B02-9341-FA6E532A181C}" name="Table2" displayName="Table2" ref="B217:E228" totalsRowShown="0" headerRowDxfId="18" dataDxfId="17">
  <autoFilter ref="B217:E228" xr:uid="{C320B699-0B6F-4B02-9341-FA6E532A181C}">
    <filterColumn colId="0" hiddenButton="1"/>
    <filterColumn colId="1" hiddenButton="1"/>
    <filterColumn colId="2" hiddenButton="1"/>
    <filterColumn colId="3" hiddenButton="1"/>
  </autoFilter>
  <tableColumns count="4">
    <tableColumn id="1" xr3:uid="{095B52B2-DB92-4F50-BE40-C9438A23968F}" name="Profit and Loss" dataDxfId="16"/>
    <tableColumn id="2" xr3:uid="{9D14BA07-BB35-470A-8150-B384865C32BA}" name="2024" dataDxfId="15"/>
    <tableColumn id="3" xr3:uid="{D90C0117-6622-4255-A75D-3284BAFB46A4}" name="2025" dataDxfId="14"/>
    <tableColumn id="4" xr3:uid="{8088ADD4-879C-438C-A743-22A2B1DFA84D}" name="2026" dataDxfId="13"/>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50814D3-4F26-4B16-9DE1-046339BD6B55}" name="Table3" displayName="Table3" ref="G224:J228" totalsRowShown="0" headerRowDxfId="12" dataDxfId="11">
  <autoFilter ref="G224:J228" xr:uid="{D50814D3-4F26-4B16-9DE1-046339BD6B55}">
    <filterColumn colId="0" hiddenButton="1"/>
    <filterColumn colId="1" hiddenButton="1"/>
    <filterColumn colId="2" hiddenButton="1"/>
    <filterColumn colId="3" hiddenButton="1"/>
  </autoFilter>
  <tableColumns count="4">
    <tableColumn id="1" xr3:uid="{B2F021AF-D401-436B-83D2-0B74149D0219}" name="Ratios" dataDxfId="10"/>
    <tableColumn id="2" xr3:uid="{C50331B9-4CFC-41D7-A86F-E747677D7571}" name="2024    " dataDxfId="9"/>
    <tableColumn id="3" xr3:uid="{63FADB83-47B9-471E-920C-04C6A754BF0D}" name="2025    " dataDxfId="8"/>
    <tableColumn id="4" xr3:uid="{645F52ED-3494-454C-A607-37AA168FFC41}" name="2026    " dataDxfId="7"/>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ABFFFD-46ED-4554-8E16-D9D750EC90E0}" name="Table4" displayName="Table4" ref="G208:K211" totalsRowShown="0" headerRowDxfId="6" dataDxfId="5">
  <autoFilter ref="G208:K211" xr:uid="{C5ABFFFD-46ED-4554-8E16-D9D750EC90E0}">
    <filterColumn colId="0" hiddenButton="1"/>
    <filterColumn colId="1" hiddenButton="1"/>
    <filterColumn colId="2" hiddenButton="1"/>
    <filterColumn colId="3" hiddenButton="1"/>
    <filterColumn colId="4" hiddenButton="1"/>
  </autoFilter>
  <tableColumns count="5">
    <tableColumn id="1" xr3:uid="{3CB228B7-45A9-4D0F-B723-E77C1EDBFCB6}" name="Valuations " dataDxfId="4"/>
    <tableColumn id="2" xr3:uid="{7E35C051-E2BE-48DA-A46B-800E12D29A88}" name="Total Value " dataDxfId="3"/>
    <tableColumn id="3" xr3:uid="{49AB83EF-4C7C-4564-94A2-CD413BEA6116}" name="Per Share " dataDxfId="2"/>
    <tableColumn id="4" xr3:uid="{A89732D5-64BF-4C89-8B74-43D595B8D924}" name="Number of Shares" dataDxfId="1" dataCellStyle="Comma"/>
    <tableColumn id="5" xr3:uid="{534354C3-4400-457B-8F25-E3C11368FD0E}" name="% of total "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8" Type="http://schemas.openxmlformats.org/officeDocument/2006/relationships/comments" Target="../comments7.xml"/><Relationship Id="rId3" Type="http://schemas.openxmlformats.org/officeDocument/2006/relationships/vmlDrawing" Target="../drawings/vmlDrawing7.vml"/><Relationship Id="rId7" Type="http://schemas.openxmlformats.org/officeDocument/2006/relationships/table" Target="../tables/table4.xml"/><Relationship Id="rId2" Type="http://schemas.openxmlformats.org/officeDocument/2006/relationships/drawing" Target="../drawings/drawing8.xml"/><Relationship Id="rId1" Type="http://schemas.openxmlformats.org/officeDocument/2006/relationships/printerSettings" Target="../printerSettings/printerSettings7.bin"/><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F5179-D0F9-AF46-8020-D4BAA4528318}">
  <sheetPr codeName="Sheet1">
    <tabColor rgb="FFC00000"/>
  </sheetPr>
  <dimension ref="A1:D293"/>
  <sheetViews>
    <sheetView showGridLines="0" topLeftCell="A88" zoomScale="46" zoomScaleNormal="55" workbookViewId="0">
      <selection activeCell="C109" sqref="C109"/>
    </sheetView>
  </sheetViews>
  <sheetFormatPr defaultColWidth="11.19921875" defaultRowHeight="15.6"/>
  <sheetData>
    <row r="1" spans="1:4" s="7" customFormat="1"/>
    <row r="2" spans="1:4" s="7" customFormat="1"/>
    <row r="3" spans="1:4" s="8" customFormat="1"/>
    <row r="4" spans="1:4" s="7" customFormat="1"/>
    <row r="5" spans="1:4" s="8" customFormat="1" ht="91.8">
      <c r="A5" s="1213"/>
      <c r="B5" s="1213"/>
      <c r="C5" s="1213"/>
      <c r="D5" s="1213"/>
    </row>
    <row r="6" spans="1:4" s="8" customFormat="1" ht="91.8">
      <c r="A6" s="1213"/>
      <c r="B6" s="1213" t="s">
        <v>558</v>
      </c>
      <c r="C6" s="1213"/>
      <c r="D6" s="1213"/>
    </row>
    <row r="7" spans="1:4" s="8" customFormat="1" ht="91.8">
      <c r="A7" s="1213"/>
      <c r="B7" s="1213"/>
      <c r="C7" s="1213"/>
      <c r="D7" s="1213"/>
    </row>
    <row r="8" spans="1:4" s="8" customFormat="1" ht="91.8">
      <c r="A8" s="1213"/>
      <c r="B8" s="1213" t="s">
        <v>552</v>
      </c>
      <c r="C8" s="1213"/>
      <c r="D8" s="1213"/>
    </row>
    <row r="9" spans="1:4" s="8" customFormat="1" ht="91.8">
      <c r="A9" s="1213"/>
      <c r="B9" s="1213"/>
      <c r="C9" s="1213"/>
      <c r="D9" s="1213"/>
    </row>
    <row r="10" spans="1:4" s="8" customFormat="1" ht="91.8">
      <c r="A10" s="1213"/>
      <c r="B10" s="1213" t="s">
        <v>551</v>
      </c>
      <c r="C10" s="1213"/>
      <c r="D10" s="1213"/>
    </row>
    <row r="11" spans="1:4" s="8" customFormat="1" ht="91.8">
      <c r="A11" s="1213"/>
      <c r="B11" s="1213"/>
      <c r="C11" s="1213"/>
      <c r="D11" s="1213"/>
    </row>
    <row r="12" spans="1:4" s="8" customFormat="1"/>
    <row r="13" spans="1:4" s="8" customFormat="1"/>
    <row r="14" spans="1:4" s="8" customFormat="1"/>
    <row r="15" spans="1:4" s="8" customFormat="1"/>
    <row r="16" spans="1:4" s="8" customFormat="1"/>
    <row r="17" s="8" customFormat="1"/>
    <row r="18" s="8" customFormat="1"/>
    <row r="19" s="8" customFormat="1"/>
    <row r="20" s="8" customFormat="1"/>
    <row r="21" s="8" customFormat="1"/>
    <row r="22" s="8" customFormat="1"/>
    <row r="23" s="8" customFormat="1"/>
    <row r="24" s="7" customFormat="1"/>
    <row r="25" s="8" customFormat="1"/>
    <row r="26" s="8" customFormat="1"/>
    <row r="27" s="8" customFormat="1"/>
    <row r="28" s="8" customFormat="1"/>
    <row r="29" s="8" customFormat="1"/>
    <row r="30" s="8" customFormat="1"/>
    <row r="31" s="8" customFormat="1"/>
    <row r="32" s="8" customFormat="1"/>
    <row r="33" s="7" customFormat="1"/>
    <row r="34" s="8" customFormat="1"/>
    <row r="35" s="8" customFormat="1"/>
    <row r="36" s="8" customFormat="1"/>
    <row r="37" s="8" customFormat="1"/>
    <row r="38" s="8" customFormat="1"/>
    <row r="39" s="8" customFormat="1"/>
    <row r="40" s="8" customFormat="1"/>
    <row r="41" s="8" customFormat="1"/>
    <row r="42" s="8" customFormat="1"/>
    <row r="43" s="8" customFormat="1"/>
    <row r="44" s="8" customFormat="1"/>
    <row r="45" s="8" customFormat="1"/>
    <row r="46" s="8" customFormat="1"/>
    <row r="47" s="8" customFormat="1"/>
    <row r="48" s="8" customFormat="1"/>
    <row r="49" s="8" customFormat="1"/>
    <row r="50" s="8" customFormat="1"/>
    <row r="51" s="7" customFormat="1"/>
    <row r="52" s="8" customFormat="1"/>
    <row r="53" s="8" customFormat="1"/>
    <row r="54" s="8" customFormat="1"/>
    <row r="55" s="8" customFormat="1"/>
    <row r="56" s="8" customFormat="1"/>
    <row r="57" s="8" customFormat="1"/>
    <row r="58" s="8" customFormat="1"/>
    <row r="59" s="8" customFormat="1"/>
    <row r="60" s="8" customFormat="1"/>
    <row r="61" s="8" customFormat="1"/>
    <row r="62" s="8" customFormat="1"/>
    <row r="63" s="7" customFormat="1"/>
    <row r="64" s="8" customFormat="1"/>
    <row r="65" s="281" customFormat="1"/>
    <row r="66" s="281" customFormat="1"/>
    <row r="67" s="281" customFormat="1"/>
    <row r="68" s="281" customFormat="1"/>
    <row r="69" s="281" customFormat="1"/>
    <row r="70" s="281" customFormat="1"/>
    <row r="71" s="281" customFormat="1"/>
    <row r="72" s="281" customFormat="1"/>
    <row r="73" s="281" customFormat="1"/>
    <row r="74" s="281" customFormat="1"/>
    <row r="75" s="281" customFormat="1"/>
    <row r="76" s="281" customFormat="1"/>
    <row r="77" s="281" customFormat="1"/>
    <row r="78" s="281" customFormat="1"/>
    <row r="79" s="281" customFormat="1"/>
    <row r="80" s="281" customFormat="1"/>
    <row r="81" s="281" customFormat="1"/>
    <row r="82" s="281" customFormat="1"/>
    <row r="83" s="281" customFormat="1"/>
    <row r="84" s="281" customFormat="1"/>
    <row r="85" s="281" customFormat="1"/>
    <row r="86" s="281" customFormat="1"/>
    <row r="87" s="281" customFormat="1"/>
    <row r="88" s="281" customFormat="1"/>
    <row r="89" s="281" customFormat="1"/>
    <row r="90" s="281" customFormat="1"/>
    <row r="91" s="281" customFormat="1"/>
    <row r="92" s="281" customFormat="1"/>
    <row r="93" s="281" customFormat="1"/>
    <row r="94" s="281" customFormat="1"/>
    <row r="95" s="281" customFormat="1"/>
    <row r="96" s="281" customFormat="1"/>
    <row r="97" s="281" customFormat="1"/>
    <row r="98" s="281" customFormat="1"/>
    <row r="99" s="7" customFormat="1"/>
    <row r="100" s="8" customFormat="1"/>
    <row r="101" s="8" customFormat="1"/>
    <row r="102" s="8" customFormat="1"/>
    <row r="103" s="8" customFormat="1"/>
    <row r="104" s="8" customFormat="1"/>
    <row r="105" s="7" customFormat="1"/>
    <row r="106" s="8" customFormat="1"/>
    <row r="107" s="8" customFormat="1"/>
    <row r="108" s="8" customFormat="1"/>
    <row r="109" s="8" customFormat="1"/>
    <row r="110" s="8" customFormat="1"/>
    <row r="111" s="8" customFormat="1"/>
    <row r="112" s="8" customFormat="1"/>
    <row r="113" s="8" customFormat="1"/>
    <row r="114" s="8" customFormat="1"/>
    <row r="115" s="8" customFormat="1"/>
    <row r="116" s="7" customFormat="1"/>
    <row r="117" s="8" customFormat="1"/>
    <row r="118" s="8" customFormat="1"/>
    <row r="119" s="8" customFormat="1"/>
    <row r="120" s="8" customFormat="1"/>
    <row r="121" s="2" customFormat="1"/>
    <row r="122" s="2" customFormat="1"/>
    <row r="123" s="2" customFormat="1"/>
    <row r="124" s="2" customFormat="1"/>
    <row r="125" s="7" customFormat="1"/>
    <row r="126" s="2" customFormat="1"/>
    <row r="127" s="2" customFormat="1"/>
    <row r="128" s="2" customFormat="1"/>
    <row r="129" s="2" customFormat="1"/>
    <row r="130" s="2" customFormat="1"/>
    <row r="131" s="9" customFormat="1"/>
    <row r="132" s="2" customFormat="1"/>
    <row r="133" s="2" customFormat="1"/>
    <row r="134" s="2" customFormat="1"/>
    <row r="135" s="9" customFormat="1"/>
    <row r="136" s="2" customFormat="1"/>
    <row r="137" s="2" customFormat="1"/>
    <row r="138" s="2" customFormat="1"/>
    <row r="139" s="2" customFormat="1"/>
    <row r="140" s="2" customFormat="1"/>
    <row r="141" s="2" customFormat="1"/>
    <row r="142" s="2" customFormat="1"/>
    <row r="143" s="2" customFormat="1"/>
    <row r="144" s="2" customFormat="1"/>
    <row r="145" s="2" customFormat="1"/>
    <row r="146" s="2" customFormat="1"/>
    <row r="147" s="2" customFormat="1"/>
    <row r="148" s="2" customFormat="1"/>
    <row r="149" s="2" customFormat="1"/>
    <row r="150" s="2" customFormat="1"/>
    <row r="151" s="2" customFormat="1"/>
    <row r="152" s="2" customFormat="1"/>
    <row r="153" s="2" customFormat="1"/>
    <row r="154" s="2" customFormat="1"/>
    <row r="155" s="2" customFormat="1"/>
    <row r="156" s="2" customFormat="1"/>
    <row r="157" s="2" customFormat="1"/>
    <row r="158" s="2" customFormat="1"/>
    <row r="159" s="2" customFormat="1"/>
    <row r="160" s="2" customFormat="1"/>
    <row r="161" s="2" customFormat="1"/>
    <row r="162" s="2" customFormat="1"/>
    <row r="163" s="2" customFormat="1"/>
    <row r="164" s="2" customFormat="1"/>
    <row r="165" s="2" customFormat="1"/>
    <row r="166" s="2" customFormat="1"/>
    <row r="167" s="2" customFormat="1"/>
    <row r="168" s="2" customFormat="1"/>
    <row r="169" s="2" customFormat="1"/>
    <row r="170" s="2" customFormat="1"/>
    <row r="171" s="2" customFormat="1"/>
    <row r="172" s="2" customFormat="1"/>
    <row r="173" s="2" customFormat="1"/>
    <row r="174" s="2" customFormat="1"/>
    <row r="175" s="2" customFormat="1"/>
    <row r="176" s="2" customFormat="1"/>
    <row r="177" s="2" customFormat="1"/>
    <row r="178" s="2" customFormat="1"/>
    <row r="179" s="2" customFormat="1"/>
    <row r="180" s="2" customFormat="1"/>
    <row r="181" s="2" customFormat="1"/>
    <row r="182" s="2" customFormat="1"/>
    <row r="183" s="2" customFormat="1"/>
    <row r="184" s="2" customFormat="1"/>
    <row r="185" s="2" customFormat="1"/>
    <row r="186" s="2" customFormat="1"/>
    <row r="187" s="2" customFormat="1"/>
    <row r="188" s="2" customFormat="1"/>
    <row r="189" s="2" customFormat="1"/>
    <row r="190" s="2" customFormat="1"/>
    <row r="191" s="2" customFormat="1"/>
    <row r="192" s="2" customFormat="1"/>
    <row r="193" s="2" customFormat="1"/>
    <row r="194" s="2" customFormat="1"/>
    <row r="195" s="2" customFormat="1"/>
    <row r="196" s="2" customFormat="1"/>
    <row r="197" s="2" customFormat="1"/>
    <row r="198" s="2" customFormat="1"/>
    <row r="199" s="2" customFormat="1"/>
    <row r="200" s="2" customFormat="1"/>
    <row r="201" s="2" customFormat="1"/>
    <row r="202" s="2" customFormat="1"/>
    <row r="203" s="2" customFormat="1"/>
    <row r="204" s="2" customFormat="1"/>
    <row r="205" s="2" customFormat="1"/>
    <row r="206" s="2" customFormat="1"/>
    <row r="207" s="2" customFormat="1"/>
    <row r="208" s="2" customFormat="1"/>
    <row r="209" s="2" customFormat="1"/>
    <row r="210" s="2" customFormat="1"/>
    <row r="211" s="2" customFormat="1"/>
    <row r="212" s="2" customFormat="1"/>
    <row r="213" s="2" customFormat="1"/>
    <row r="214" s="2" customFormat="1"/>
    <row r="215" s="2" customFormat="1"/>
    <row r="216" s="2" customFormat="1"/>
    <row r="217" s="2" customFormat="1"/>
    <row r="218" s="2" customFormat="1"/>
    <row r="219" s="2" customFormat="1"/>
    <row r="220" s="2" customFormat="1"/>
    <row r="221" s="2" customFormat="1"/>
    <row r="222" s="2" customFormat="1"/>
    <row r="223" s="2" customFormat="1"/>
    <row r="224" s="2" customFormat="1"/>
    <row r="225" s="2" customFormat="1"/>
    <row r="226" s="2" customFormat="1"/>
    <row r="227" s="2" customFormat="1"/>
    <row r="228" s="2" customFormat="1"/>
    <row r="229" s="2" customFormat="1"/>
    <row r="230" s="2" customFormat="1"/>
    <row r="231" s="2" customFormat="1"/>
    <row r="232" s="2" customFormat="1"/>
    <row r="233" s="2" customFormat="1"/>
    <row r="234" s="2" customFormat="1"/>
    <row r="235" s="2" customFormat="1"/>
    <row r="236" s="2" customFormat="1"/>
    <row r="237" s="2" customFormat="1"/>
    <row r="238" s="2" customFormat="1"/>
    <row r="239" s="2" customFormat="1"/>
    <row r="240" s="2" customFormat="1"/>
    <row r="241" s="2" customFormat="1"/>
    <row r="242" s="2" customFormat="1"/>
    <row r="243" s="2" customFormat="1"/>
    <row r="244" s="2" customFormat="1"/>
    <row r="245" s="2" customFormat="1"/>
    <row r="246" s="2" customFormat="1"/>
    <row r="247" s="2" customFormat="1"/>
    <row r="248" s="2" customFormat="1"/>
    <row r="249" s="2" customFormat="1"/>
    <row r="250" s="2" customFormat="1"/>
    <row r="251" s="2" customFormat="1"/>
    <row r="252" s="2" customFormat="1"/>
    <row r="253" s="2" customFormat="1"/>
    <row r="254" s="2" customFormat="1"/>
    <row r="255" s="2" customFormat="1"/>
    <row r="256" s="2" customFormat="1"/>
    <row r="257" s="2" customFormat="1"/>
    <row r="258" s="2" customFormat="1"/>
    <row r="259" s="2" customFormat="1"/>
    <row r="260" s="2" customFormat="1"/>
    <row r="261" s="2" customFormat="1"/>
    <row r="262" s="2" customFormat="1"/>
    <row r="263" s="2" customFormat="1"/>
    <row r="264" s="2" customFormat="1"/>
    <row r="265" s="2" customFormat="1"/>
    <row r="266" s="2" customFormat="1"/>
    <row r="267" s="2" customFormat="1"/>
    <row r="268" s="2" customFormat="1"/>
    <row r="269" s="2" customFormat="1"/>
    <row r="270" s="2" customFormat="1"/>
    <row r="271" s="2" customFormat="1"/>
    <row r="272" s="2" customFormat="1"/>
    <row r="273" s="2" customFormat="1"/>
    <row r="274" s="2" customFormat="1"/>
    <row r="275" s="2" customFormat="1"/>
    <row r="276" s="2" customFormat="1"/>
    <row r="277" s="2" customFormat="1"/>
    <row r="278" s="2" customFormat="1"/>
    <row r="279" s="2" customFormat="1"/>
    <row r="280" s="2" customFormat="1"/>
    <row r="281" s="2" customFormat="1"/>
    <row r="282" s="2" customFormat="1"/>
    <row r="283" s="2" customFormat="1"/>
    <row r="284" s="2" customFormat="1"/>
    <row r="285" s="2" customFormat="1"/>
    <row r="286" s="2" customFormat="1"/>
    <row r="287" s="2" customFormat="1"/>
    <row r="288" s="2" customFormat="1"/>
    <row r="289" s="2" customFormat="1"/>
    <row r="290" s="2" customFormat="1"/>
    <row r="291" s="2" customFormat="1"/>
    <row r="292" s="2" customFormat="1"/>
    <row r="293" s="2" customFormat="1"/>
  </sheetData>
  <sheetProtection selectLockedCells="1" selectUnlockedCell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A50D1-A495-4CBC-B46D-9D55478741DC}">
  <sheetPr codeName="Sheet12">
    <tabColor rgb="FFC00000"/>
  </sheetPr>
  <dimension ref="A1:T109"/>
  <sheetViews>
    <sheetView showGridLines="0" tabSelected="1" zoomScale="116" zoomScaleNormal="70" workbookViewId="0">
      <selection activeCell="T4" sqref="T4"/>
    </sheetView>
  </sheetViews>
  <sheetFormatPr defaultColWidth="8.796875" defaultRowHeight="15.6"/>
  <cols>
    <col min="1" max="1" width="12.69921875" customWidth="1"/>
    <col min="3" max="3" width="8.796875" customWidth="1"/>
    <col min="18" max="18" width="8.796875" style="390"/>
  </cols>
  <sheetData>
    <row r="1" spans="1:20">
      <c r="A1" s="291"/>
      <c r="B1" s="291"/>
      <c r="C1" s="291"/>
      <c r="D1" s="291"/>
      <c r="E1" s="1168"/>
      <c r="F1" s="1168"/>
      <c r="G1" s="1168"/>
      <c r="H1" s="1168"/>
      <c r="I1" s="1168"/>
      <c r="J1" s="1168"/>
      <c r="K1" s="1168"/>
      <c r="L1" s="1168"/>
      <c r="M1" s="1168"/>
      <c r="N1" s="1168"/>
      <c r="O1" s="1168"/>
      <c r="P1" s="1168"/>
      <c r="Q1" s="1168"/>
      <c r="R1" s="1169"/>
    </row>
    <row r="2" spans="1:20">
      <c r="A2" s="291"/>
      <c r="B2" s="291"/>
      <c r="C2" s="291"/>
      <c r="D2" s="291"/>
      <c r="E2" s="1168"/>
      <c r="F2" s="1168"/>
      <c r="G2" s="1168"/>
      <c r="H2" s="1168"/>
      <c r="I2" s="1168"/>
      <c r="J2" s="1168"/>
      <c r="K2" s="1168"/>
      <c r="L2" s="1168"/>
      <c r="M2" s="1168"/>
      <c r="N2" s="1168"/>
      <c r="O2" s="1168"/>
      <c r="P2" s="1168"/>
      <c r="Q2" s="1168"/>
      <c r="R2" s="1169"/>
    </row>
    <row r="3" spans="1:20">
      <c r="A3" s="291"/>
      <c r="B3" s="291"/>
      <c r="C3" s="291"/>
      <c r="D3" s="291"/>
      <c r="E3" s="1168"/>
      <c r="F3" s="1168"/>
      <c r="G3" s="1168"/>
      <c r="H3" s="1168"/>
      <c r="I3" s="1168"/>
      <c r="J3" s="1168"/>
      <c r="K3" s="1168"/>
      <c r="L3" s="1168"/>
      <c r="M3" s="1168"/>
      <c r="N3" s="1168"/>
      <c r="O3" s="1168"/>
      <c r="P3" s="1168"/>
      <c r="Q3" s="1168"/>
      <c r="R3" s="1169"/>
    </row>
    <row r="4" spans="1:20">
      <c r="A4" s="291"/>
      <c r="B4" s="291"/>
      <c r="C4" s="291"/>
      <c r="D4" s="291"/>
      <c r="E4" s="1168"/>
      <c r="F4" s="1168"/>
      <c r="G4" s="1168"/>
      <c r="H4" s="1168"/>
      <c r="I4" s="1168"/>
      <c r="J4" s="1168"/>
      <c r="K4" s="1168"/>
      <c r="L4" s="1168"/>
      <c r="M4" s="1168"/>
      <c r="N4" s="1168"/>
      <c r="O4" s="1168"/>
      <c r="P4" s="1168"/>
      <c r="Q4" s="1168"/>
      <c r="R4" s="1169"/>
      <c r="T4" s="6"/>
    </row>
    <row r="5" spans="1:20">
      <c r="A5" s="291"/>
      <c r="B5" s="291"/>
      <c r="C5" s="291"/>
      <c r="D5" s="291"/>
      <c r="E5" s="1168"/>
      <c r="F5" s="1168"/>
      <c r="G5" s="1168"/>
      <c r="H5" s="1168"/>
      <c r="I5" s="1168"/>
      <c r="J5" s="1168"/>
      <c r="K5" s="1168"/>
      <c r="L5" s="1168"/>
      <c r="M5" s="1168"/>
      <c r="N5" s="1168"/>
      <c r="O5" s="1168"/>
      <c r="P5" s="1168"/>
      <c r="Q5" s="1168"/>
      <c r="R5" s="1169"/>
    </row>
    <row r="6" spans="1:20">
      <c r="A6" s="2"/>
      <c r="B6" s="2"/>
      <c r="C6" s="2"/>
      <c r="D6" s="2"/>
      <c r="E6" s="2"/>
      <c r="F6" s="2"/>
      <c r="G6" s="2"/>
      <c r="H6" s="2"/>
      <c r="I6" s="2"/>
      <c r="J6" s="290"/>
      <c r="K6" s="290"/>
      <c r="L6" s="290"/>
      <c r="M6" s="290"/>
      <c r="N6" s="290"/>
      <c r="O6" s="290"/>
      <c r="P6" s="290"/>
      <c r="Q6" s="290"/>
      <c r="R6" s="389"/>
    </row>
    <row r="7" spans="1:20">
      <c r="A7" s="2"/>
      <c r="B7" s="2"/>
      <c r="C7" s="2"/>
      <c r="D7" s="1214"/>
      <c r="E7" s="1214"/>
      <c r="F7" s="1214"/>
      <c r="G7" s="2"/>
      <c r="H7" s="2"/>
      <c r="I7" s="2"/>
      <c r="J7" s="290"/>
      <c r="K7" s="290"/>
      <c r="L7" s="290"/>
      <c r="M7" s="290"/>
      <c r="N7" s="290"/>
      <c r="O7" s="290"/>
      <c r="P7" s="290"/>
      <c r="Q7" s="290"/>
      <c r="R7" s="389"/>
    </row>
    <row r="8" spans="1:20" ht="7.2" customHeight="1">
      <c r="A8" s="2"/>
      <c r="B8" s="2"/>
      <c r="C8" s="2"/>
      <c r="D8" s="2"/>
      <c r="E8" s="2"/>
      <c r="F8" s="2"/>
      <c r="G8" s="2"/>
      <c r="H8" s="2"/>
      <c r="I8" s="2"/>
      <c r="J8" s="290"/>
      <c r="K8" s="290"/>
      <c r="L8" s="290"/>
      <c r="M8" s="290"/>
      <c r="N8" s="290"/>
      <c r="O8" s="290"/>
      <c r="P8" s="290"/>
      <c r="Q8" s="290"/>
      <c r="R8" s="389"/>
    </row>
    <row r="9" spans="1:20" ht="48" customHeight="1">
      <c r="B9" s="2"/>
      <c r="C9" s="1215"/>
      <c r="D9" s="1215"/>
      <c r="E9" s="1215"/>
      <c r="F9" s="2"/>
      <c r="G9" s="2"/>
      <c r="H9" s="2"/>
      <c r="I9" s="2"/>
      <c r="J9" s="290"/>
      <c r="K9" s="290"/>
      <c r="L9" s="290"/>
      <c r="M9" s="290"/>
      <c r="N9" s="290"/>
      <c r="O9" s="290"/>
      <c r="P9" s="290"/>
      <c r="Q9" s="290"/>
      <c r="R9" s="389"/>
    </row>
    <row r="10" spans="1:20">
      <c r="A10" s="2"/>
      <c r="B10" s="2"/>
      <c r="C10" s="2"/>
      <c r="D10" s="2"/>
      <c r="E10" s="2"/>
      <c r="F10" s="2"/>
      <c r="G10" s="2"/>
      <c r="H10" s="2"/>
      <c r="I10" s="2"/>
      <c r="J10" s="290"/>
      <c r="K10" s="290"/>
      <c r="L10" s="290"/>
      <c r="M10" s="290"/>
      <c r="N10" s="290"/>
      <c r="O10" s="290"/>
      <c r="P10" s="290"/>
      <c r="Q10" s="290"/>
      <c r="R10" s="389"/>
    </row>
    <row r="11" spans="1:20">
      <c r="A11" s="2"/>
      <c r="B11" s="2"/>
      <c r="C11" s="2"/>
      <c r="D11" s="2"/>
      <c r="E11" s="2"/>
      <c r="F11" s="2"/>
      <c r="G11" s="2"/>
      <c r="H11" s="2"/>
      <c r="I11" s="2"/>
      <c r="J11" s="290"/>
      <c r="K11" s="290"/>
      <c r="L11" s="290"/>
      <c r="M11" s="290"/>
      <c r="N11" s="290"/>
      <c r="O11" s="290"/>
      <c r="P11" s="290"/>
      <c r="Q11" s="290"/>
      <c r="R11" s="389"/>
    </row>
    <row r="12" spans="1:20">
      <c r="A12" s="2"/>
      <c r="B12" s="2"/>
      <c r="C12" s="2"/>
      <c r="D12" s="2"/>
      <c r="E12" s="2"/>
      <c r="F12" s="2"/>
      <c r="G12" s="2"/>
      <c r="H12" s="2"/>
      <c r="I12" s="2"/>
      <c r="J12" s="290"/>
      <c r="K12" s="290"/>
      <c r="L12" s="290"/>
      <c r="M12" s="290"/>
      <c r="N12" s="290"/>
      <c r="O12" s="290"/>
      <c r="P12" s="290"/>
      <c r="Q12" s="290"/>
      <c r="R12" s="389"/>
    </row>
    <row r="13" spans="1:20">
      <c r="A13" s="2"/>
      <c r="B13" s="2"/>
      <c r="C13" s="2"/>
      <c r="D13" s="2"/>
      <c r="E13" s="2"/>
      <c r="F13" s="2"/>
      <c r="G13" s="2"/>
      <c r="H13" s="2"/>
      <c r="I13" s="2"/>
      <c r="J13" s="290"/>
      <c r="K13" s="290"/>
      <c r="L13" s="290"/>
      <c r="M13" s="290"/>
      <c r="N13" s="290"/>
      <c r="O13" s="290"/>
      <c r="P13" s="290"/>
      <c r="Q13" s="290"/>
      <c r="R13" s="389"/>
    </row>
    <row r="14" spans="1:20">
      <c r="A14" s="2"/>
      <c r="B14" s="2"/>
      <c r="C14" s="2"/>
      <c r="D14" s="2"/>
      <c r="E14" s="2"/>
      <c r="F14" s="2"/>
      <c r="G14" s="2"/>
      <c r="H14" s="2"/>
      <c r="I14" s="2"/>
      <c r="J14" s="290"/>
      <c r="K14" s="290"/>
      <c r="L14" s="290"/>
      <c r="M14" s="290"/>
      <c r="N14" s="290"/>
      <c r="O14" s="290"/>
      <c r="P14" s="290"/>
      <c r="Q14" s="290"/>
      <c r="R14" s="389"/>
    </row>
    <row r="15" spans="1:20">
      <c r="A15" s="2"/>
      <c r="B15" s="2"/>
      <c r="C15" s="2"/>
      <c r="D15" s="2"/>
      <c r="E15" s="2"/>
      <c r="F15" s="2"/>
      <c r="G15" s="2"/>
      <c r="H15" s="2"/>
      <c r="I15" s="2"/>
      <c r="J15" s="290"/>
      <c r="K15" s="290"/>
      <c r="L15" s="290"/>
      <c r="M15" s="290"/>
      <c r="N15" s="290"/>
      <c r="O15" s="290"/>
      <c r="P15" s="290"/>
      <c r="Q15" s="290"/>
      <c r="R15" s="389"/>
    </row>
    <row r="16" spans="1:20">
      <c r="A16" s="2"/>
      <c r="B16" s="2"/>
      <c r="C16" s="2"/>
      <c r="D16" s="2"/>
      <c r="E16" s="2"/>
      <c r="F16" s="2"/>
      <c r="G16" s="2"/>
      <c r="H16" s="2"/>
      <c r="I16" s="2"/>
      <c r="J16" s="290"/>
      <c r="K16" s="290"/>
      <c r="L16" s="290"/>
      <c r="M16" s="290"/>
      <c r="N16" s="290"/>
      <c r="O16" s="290"/>
      <c r="P16" s="290"/>
      <c r="Q16" s="290"/>
      <c r="R16" s="389"/>
    </row>
    <row r="17" spans="1:18">
      <c r="A17" s="2"/>
      <c r="B17" s="2"/>
      <c r="C17" s="2"/>
      <c r="D17" s="2"/>
      <c r="E17" s="2"/>
      <c r="F17" s="2"/>
      <c r="G17" s="2"/>
      <c r="H17" s="2"/>
      <c r="I17" s="2"/>
      <c r="J17" s="290"/>
      <c r="K17" s="290"/>
      <c r="L17" s="290"/>
      <c r="M17" s="290"/>
      <c r="N17" s="290"/>
      <c r="O17" s="290"/>
      <c r="P17" s="290"/>
      <c r="Q17" s="290"/>
      <c r="R17" s="389"/>
    </row>
    <row r="18" spans="1:18">
      <c r="A18" s="2"/>
      <c r="B18" s="2"/>
      <c r="C18" s="2"/>
      <c r="D18" s="2"/>
      <c r="E18" s="2"/>
      <c r="F18" s="2"/>
      <c r="G18" s="2"/>
      <c r="H18" s="2"/>
      <c r="I18" s="2"/>
      <c r="J18" s="290"/>
      <c r="K18" s="290"/>
      <c r="L18" s="290"/>
      <c r="M18" s="290"/>
      <c r="N18" s="290"/>
      <c r="O18" s="290"/>
      <c r="P18" s="290"/>
      <c r="Q18" s="290"/>
      <c r="R18" s="389"/>
    </row>
    <row r="19" spans="1:18">
      <c r="A19" s="2"/>
      <c r="B19" s="2"/>
      <c r="C19" s="2"/>
      <c r="D19" s="2"/>
      <c r="E19" s="2"/>
      <c r="F19" s="2"/>
      <c r="G19" s="2"/>
      <c r="H19" s="2"/>
      <c r="I19" s="2"/>
      <c r="J19" s="290"/>
      <c r="K19" s="290"/>
      <c r="L19" s="290"/>
      <c r="M19" s="290"/>
      <c r="N19" s="290"/>
      <c r="O19" s="290"/>
      <c r="P19" s="290"/>
      <c r="Q19" s="290"/>
      <c r="R19" s="389"/>
    </row>
    <row r="20" spans="1:18">
      <c r="A20" s="2"/>
      <c r="B20" s="2"/>
      <c r="C20" s="2"/>
      <c r="D20" s="2"/>
      <c r="E20" s="2"/>
      <c r="F20" s="2"/>
      <c r="G20" s="2"/>
      <c r="H20" s="2"/>
      <c r="I20" s="2"/>
      <c r="J20" s="290"/>
      <c r="K20" s="290"/>
      <c r="L20" s="290"/>
      <c r="M20" s="290"/>
      <c r="N20" s="290"/>
      <c r="O20" s="290"/>
      <c r="P20" s="290"/>
      <c r="Q20" s="290"/>
      <c r="R20" s="389"/>
    </row>
    <row r="21" spans="1:18">
      <c r="A21" s="2"/>
      <c r="B21" s="2"/>
      <c r="C21" s="2"/>
      <c r="D21" s="2"/>
      <c r="E21" s="2"/>
      <c r="F21" s="2"/>
      <c r="G21" s="2"/>
      <c r="H21" s="2"/>
      <c r="I21" s="2"/>
      <c r="J21" s="290"/>
      <c r="K21" s="290"/>
      <c r="L21" s="290"/>
      <c r="M21" s="290"/>
      <c r="N21" s="290"/>
      <c r="O21" s="290"/>
      <c r="P21" s="290"/>
      <c r="Q21" s="290"/>
      <c r="R21" s="389"/>
    </row>
    <row r="22" spans="1:18">
      <c r="A22" s="2"/>
      <c r="B22" s="2"/>
      <c r="C22" s="2"/>
      <c r="D22" s="2"/>
      <c r="E22" s="2"/>
      <c r="F22" s="2"/>
      <c r="G22" s="2"/>
      <c r="H22" s="2"/>
      <c r="I22" s="2"/>
      <c r="J22" s="290"/>
      <c r="K22" s="290"/>
      <c r="L22" s="290"/>
      <c r="M22" s="290"/>
      <c r="N22" s="290"/>
      <c r="O22" s="290"/>
      <c r="P22" s="290"/>
      <c r="Q22" s="290"/>
      <c r="R22" s="389"/>
    </row>
    <row r="23" spans="1:18">
      <c r="A23" s="2"/>
      <c r="B23" s="1214"/>
      <c r="C23" s="1214"/>
      <c r="D23" s="1214"/>
      <c r="E23" s="1214"/>
      <c r="F23" s="1214"/>
      <c r="G23" s="2"/>
      <c r="H23" s="2"/>
      <c r="I23" s="2"/>
      <c r="J23" s="290"/>
      <c r="K23" s="290"/>
      <c r="L23" s="290"/>
      <c r="M23" s="290"/>
      <c r="N23" s="290"/>
      <c r="O23" s="290"/>
      <c r="P23" s="290"/>
      <c r="Q23" s="290"/>
      <c r="R23" s="389"/>
    </row>
    <row r="24" spans="1:18">
      <c r="A24" s="2"/>
      <c r="B24" s="2"/>
      <c r="C24" s="2"/>
      <c r="D24" s="2"/>
      <c r="E24" s="2"/>
      <c r="F24" s="2"/>
      <c r="G24" s="2"/>
      <c r="H24" s="2"/>
      <c r="I24" s="2"/>
      <c r="J24" s="290"/>
      <c r="K24" s="290"/>
      <c r="L24" s="290"/>
      <c r="M24" s="290"/>
      <c r="N24" s="290"/>
      <c r="O24" s="290"/>
      <c r="P24" s="290"/>
      <c r="Q24" s="290"/>
      <c r="R24" s="389"/>
    </row>
    <row r="25" spans="1:18">
      <c r="A25" s="2"/>
      <c r="B25" s="2"/>
      <c r="C25" s="2"/>
      <c r="D25" s="2"/>
      <c r="E25" s="2"/>
      <c r="F25" s="2"/>
      <c r="G25" s="2"/>
      <c r="H25" s="2"/>
      <c r="I25" s="2"/>
      <c r="J25" s="290"/>
      <c r="K25" s="290"/>
      <c r="L25" s="290"/>
      <c r="M25" s="290"/>
      <c r="N25" s="290"/>
      <c r="O25" s="290"/>
      <c r="P25" s="290"/>
      <c r="Q25" s="290"/>
      <c r="R25" s="389"/>
    </row>
    <row r="26" spans="1:18">
      <c r="A26" s="2"/>
      <c r="B26" s="2"/>
      <c r="C26" s="2"/>
      <c r="D26" s="2"/>
      <c r="E26" s="2"/>
      <c r="F26" s="2"/>
      <c r="G26" s="2"/>
      <c r="H26" s="2"/>
      <c r="I26" s="2"/>
      <c r="J26" s="290"/>
      <c r="K26" s="290"/>
      <c r="L26" s="290"/>
      <c r="M26" s="290"/>
      <c r="N26" s="290"/>
      <c r="O26" s="290"/>
      <c r="P26" s="290"/>
      <c r="Q26" s="290"/>
      <c r="R26" s="389"/>
    </row>
    <row r="27" spans="1:18">
      <c r="A27" s="2"/>
      <c r="B27" s="2"/>
      <c r="C27" s="2"/>
      <c r="D27" s="2"/>
      <c r="E27" s="2"/>
      <c r="F27" s="2"/>
      <c r="G27" s="2"/>
      <c r="H27" s="2"/>
      <c r="I27" s="2"/>
      <c r="J27" s="290"/>
      <c r="K27" s="290"/>
      <c r="L27" s="290"/>
      <c r="M27" s="290"/>
      <c r="N27" s="290"/>
      <c r="O27" s="290"/>
      <c r="P27" s="290"/>
      <c r="Q27" s="290"/>
      <c r="R27" s="389"/>
    </row>
    <row r="28" spans="1:18">
      <c r="A28" s="2"/>
      <c r="B28" s="2"/>
      <c r="C28" s="2"/>
      <c r="D28" s="2"/>
      <c r="E28" s="2"/>
      <c r="F28" s="2"/>
      <c r="G28" s="2"/>
      <c r="H28" s="2"/>
      <c r="I28" s="2"/>
      <c r="J28" s="290"/>
      <c r="K28" s="290"/>
      <c r="L28" s="290"/>
      <c r="M28" s="290"/>
      <c r="N28" s="290"/>
      <c r="O28" s="290"/>
      <c r="P28" s="290"/>
      <c r="Q28" s="290"/>
      <c r="R28" s="389"/>
    </row>
    <row r="29" spans="1:18">
      <c r="A29" s="2"/>
      <c r="B29" s="2"/>
      <c r="C29" s="2"/>
      <c r="D29" s="2"/>
      <c r="E29" s="2"/>
      <c r="F29" s="2"/>
      <c r="G29" s="2"/>
      <c r="H29" s="2"/>
      <c r="I29" s="2"/>
      <c r="J29" s="290"/>
      <c r="K29" s="290"/>
      <c r="L29" s="290"/>
      <c r="M29" s="290"/>
      <c r="N29" s="290"/>
      <c r="O29" s="290"/>
      <c r="P29" s="290"/>
      <c r="Q29" s="290"/>
      <c r="R29" s="389"/>
    </row>
    <row r="30" spans="1:18">
      <c r="A30" s="2"/>
      <c r="B30" s="2"/>
      <c r="C30" s="2"/>
      <c r="D30" s="2"/>
      <c r="E30" s="2"/>
      <c r="F30" s="2"/>
      <c r="G30" s="2"/>
      <c r="H30" s="2"/>
      <c r="I30" s="2"/>
      <c r="J30" s="290"/>
      <c r="K30" s="290"/>
      <c r="L30" s="290"/>
      <c r="M30" s="290"/>
      <c r="N30" s="290"/>
      <c r="O30" s="290"/>
      <c r="P30" s="290"/>
      <c r="Q30" s="290"/>
      <c r="R30" s="389"/>
    </row>
    <row r="31" spans="1:18">
      <c r="A31" s="2"/>
      <c r="B31" s="2"/>
      <c r="C31" s="2"/>
      <c r="D31" s="2"/>
      <c r="E31" s="2"/>
      <c r="F31" s="2"/>
      <c r="G31" s="2"/>
      <c r="H31" s="2"/>
      <c r="I31" s="2"/>
      <c r="J31" s="290"/>
      <c r="K31" s="290"/>
      <c r="L31" s="290"/>
      <c r="M31" s="290"/>
      <c r="N31" s="290"/>
      <c r="O31" s="290"/>
      <c r="P31" s="290"/>
      <c r="Q31" s="290"/>
      <c r="R31" s="389"/>
    </row>
    <row r="32" spans="1:18">
      <c r="A32" s="2"/>
      <c r="B32" s="2"/>
      <c r="C32" s="2"/>
      <c r="D32" s="2"/>
      <c r="E32" s="2"/>
      <c r="F32" s="2"/>
      <c r="G32" s="2"/>
      <c r="H32" s="2"/>
      <c r="I32" s="2"/>
      <c r="J32" s="290"/>
      <c r="K32" s="290"/>
      <c r="L32" s="290"/>
      <c r="M32" s="290"/>
      <c r="N32" s="290"/>
      <c r="O32" s="290"/>
      <c r="P32" s="290"/>
      <c r="Q32" s="290"/>
      <c r="R32" s="389"/>
    </row>
    <row r="33" spans="1:18">
      <c r="A33" s="2"/>
      <c r="B33" s="2"/>
      <c r="C33" s="2"/>
      <c r="D33" s="2"/>
      <c r="E33" s="2"/>
      <c r="F33" s="2"/>
      <c r="G33" s="2"/>
      <c r="H33" s="2"/>
      <c r="I33" s="2"/>
      <c r="J33" s="290"/>
      <c r="K33" s="290"/>
      <c r="L33" s="290"/>
      <c r="M33" s="290"/>
      <c r="N33" s="290"/>
      <c r="O33" s="290"/>
      <c r="P33" s="290"/>
      <c r="Q33" s="290"/>
      <c r="R33" s="389"/>
    </row>
    <row r="34" spans="1:18">
      <c r="A34" s="290"/>
      <c r="B34" s="290"/>
      <c r="C34" s="290"/>
      <c r="D34" s="290"/>
      <c r="E34" s="290"/>
      <c r="F34" s="290"/>
      <c r="G34" s="290"/>
      <c r="H34" s="290"/>
      <c r="I34" s="2"/>
      <c r="J34" s="290"/>
      <c r="K34" s="290"/>
      <c r="L34" s="290"/>
      <c r="M34" s="290"/>
      <c r="N34" s="290"/>
      <c r="O34" s="290"/>
      <c r="P34" s="290"/>
      <c r="Q34" s="290"/>
      <c r="R34" s="389"/>
    </row>
    <row r="35" spans="1:18">
      <c r="A35" s="2"/>
      <c r="B35" s="2"/>
      <c r="C35" s="2"/>
      <c r="D35" s="2"/>
      <c r="E35" s="2"/>
      <c r="F35" s="2"/>
      <c r="G35" s="2"/>
      <c r="H35" s="2"/>
      <c r="I35" s="2"/>
      <c r="J35" s="290"/>
      <c r="K35" s="290"/>
      <c r="L35" s="290"/>
      <c r="M35" s="290"/>
      <c r="N35" s="290"/>
      <c r="O35" s="290"/>
      <c r="P35" s="290"/>
      <c r="Q35" s="290"/>
      <c r="R35" s="389"/>
    </row>
    <row r="36" spans="1:18">
      <c r="A36" s="2"/>
      <c r="B36" s="2"/>
      <c r="C36" s="2"/>
      <c r="D36" s="2"/>
      <c r="E36" s="2"/>
      <c r="F36" s="2"/>
      <c r="G36" s="2"/>
      <c r="H36" s="2"/>
      <c r="I36" s="2"/>
      <c r="J36" s="290"/>
      <c r="K36" s="290"/>
      <c r="L36" s="290"/>
      <c r="M36" s="290"/>
      <c r="N36" s="290"/>
      <c r="O36" s="290"/>
      <c r="P36" s="290"/>
      <c r="Q36" s="290"/>
      <c r="R36" s="389"/>
    </row>
    <row r="37" spans="1:18">
      <c r="B37" s="2"/>
      <c r="C37" s="2"/>
      <c r="D37" s="2"/>
      <c r="E37" s="2"/>
      <c r="F37" s="2"/>
      <c r="G37" s="2"/>
      <c r="H37" s="2"/>
      <c r="I37" s="2"/>
      <c r="J37" s="290"/>
      <c r="K37" s="290"/>
      <c r="L37" s="290"/>
      <c r="M37" s="290"/>
      <c r="N37" s="290"/>
      <c r="O37" s="290"/>
      <c r="P37" s="290"/>
      <c r="Q37" s="290"/>
      <c r="R37" s="389"/>
    </row>
    <row r="38" spans="1:18">
      <c r="A38" s="2"/>
      <c r="B38" s="2"/>
      <c r="C38" s="2"/>
      <c r="D38" s="2"/>
      <c r="E38" s="2"/>
      <c r="F38" s="2"/>
      <c r="G38" s="2"/>
      <c r="H38" s="2"/>
      <c r="I38" s="2"/>
      <c r="J38" s="290"/>
      <c r="K38" s="290"/>
      <c r="L38" s="290"/>
      <c r="M38" s="290"/>
      <c r="N38" s="290"/>
      <c r="O38" s="290"/>
      <c r="P38" s="290"/>
      <c r="Q38" s="290"/>
      <c r="R38" s="389"/>
    </row>
    <row r="39" spans="1:18">
      <c r="A39" s="2"/>
      <c r="B39" s="2"/>
      <c r="C39" s="2"/>
      <c r="D39" s="2"/>
      <c r="E39" s="2"/>
      <c r="F39" s="2"/>
      <c r="G39" s="2"/>
      <c r="H39" s="2"/>
      <c r="I39" s="2"/>
      <c r="J39" s="290"/>
      <c r="K39" s="290"/>
      <c r="L39" s="290"/>
      <c r="M39" s="290"/>
      <c r="N39" s="290"/>
      <c r="O39" s="290"/>
      <c r="P39" s="290"/>
      <c r="Q39" s="290"/>
      <c r="R39" s="389"/>
    </row>
    <row r="40" spans="1:18">
      <c r="A40" s="2"/>
      <c r="C40" s="2"/>
      <c r="D40" s="2"/>
      <c r="E40" s="2"/>
      <c r="F40" s="2"/>
      <c r="G40" s="2"/>
      <c r="H40" s="2"/>
      <c r="I40" s="2"/>
      <c r="J40" s="290"/>
      <c r="K40" s="290"/>
      <c r="L40" s="290"/>
      <c r="M40" s="290"/>
      <c r="N40" s="290"/>
      <c r="O40" s="290"/>
      <c r="P40" s="290"/>
      <c r="Q40" s="290"/>
      <c r="R40" s="389"/>
    </row>
    <row r="41" spans="1:18">
      <c r="A41" s="2"/>
      <c r="B41" s="2"/>
      <c r="C41" s="2"/>
      <c r="D41" s="2"/>
      <c r="F41" s="2"/>
      <c r="G41" s="2"/>
      <c r="H41" s="2"/>
      <c r="I41" s="2"/>
      <c r="J41" s="290"/>
      <c r="K41" s="290"/>
      <c r="L41" s="290"/>
      <c r="M41" s="290"/>
      <c r="N41" s="290"/>
      <c r="O41" s="290"/>
      <c r="P41" s="290"/>
      <c r="Q41" s="290"/>
      <c r="R41" s="389"/>
    </row>
    <row r="42" spans="1:18">
      <c r="A42" s="2"/>
      <c r="B42" s="2"/>
      <c r="C42" s="2"/>
      <c r="D42" s="2"/>
      <c r="E42" s="2"/>
      <c r="F42" s="2"/>
      <c r="G42" s="2"/>
      <c r="H42" s="2"/>
      <c r="I42" s="2"/>
      <c r="J42" s="290"/>
      <c r="K42" s="290"/>
      <c r="L42" s="290"/>
      <c r="M42" s="290"/>
      <c r="N42" s="290"/>
      <c r="O42" s="290"/>
      <c r="P42" s="290"/>
      <c r="Q42" s="290"/>
      <c r="R42" s="389"/>
    </row>
    <row r="43" spans="1:18">
      <c r="A43" s="2"/>
      <c r="B43" s="2"/>
      <c r="C43" s="2"/>
      <c r="D43" s="2"/>
      <c r="E43" s="2"/>
      <c r="F43" s="2"/>
      <c r="G43" s="2"/>
      <c r="H43" s="2"/>
      <c r="I43" s="2"/>
      <c r="J43" s="290"/>
      <c r="K43" s="290"/>
      <c r="L43" s="290"/>
      <c r="M43" s="290"/>
      <c r="N43" s="290"/>
      <c r="O43" s="290"/>
      <c r="P43" s="290"/>
      <c r="Q43" s="290"/>
      <c r="R43" s="389"/>
    </row>
    <row r="44" spans="1:18">
      <c r="A44" s="2"/>
      <c r="B44" s="2"/>
      <c r="C44" s="2"/>
      <c r="D44" s="2"/>
      <c r="E44" s="2"/>
      <c r="F44" s="2"/>
      <c r="G44" s="2"/>
      <c r="H44" s="2"/>
      <c r="I44" s="2"/>
      <c r="J44" s="290"/>
      <c r="K44" s="290"/>
      <c r="L44" s="290"/>
      <c r="M44" s="290"/>
      <c r="N44" s="290"/>
      <c r="O44" s="290"/>
      <c r="P44" s="290"/>
      <c r="Q44" s="290"/>
      <c r="R44" s="389"/>
    </row>
    <row r="45" spans="1:18">
      <c r="A45" s="2"/>
      <c r="B45" s="2"/>
      <c r="C45" s="2"/>
      <c r="D45" s="2"/>
      <c r="E45" s="2"/>
      <c r="F45" s="2"/>
      <c r="G45" s="2"/>
      <c r="H45" s="2"/>
      <c r="I45" s="2"/>
      <c r="J45" s="290"/>
      <c r="K45" s="290"/>
      <c r="L45" s="290"/>
      <c r="M45" s="290"/>
      <c r="N45" s="290"/>
      <c r="O45" s="290"/>
      <c r="P45" s="290"/>
      <c r="Q45" s="290"/>
      <c r="R45" s="389"/>
    </row>
    <row r="46" spans="1:18">
      <c r="A46" s="2"/>
      <c r="B46" s="2"/>
      <c r="C46" s="2"/>
      <c r="D46" s="2"/>
      <c r="E46" s="2"/>
      <c r="F46" s="2"/>
      <c r="G46" s="2"/>
      <c r="H46" s="2"/>
      <c r="I46" s="2"/>
      <c r="J46" s="290"/>
      <c r="K46" s="290"/>
      <c r="L46" s="290"/>
      <c r="M46" s="290"/>
      <c r="N46" s="290"/>
      <c r="O46" s="290"/>
      <c r="P46" s="290"/>
      <c r="Q46" s="290"/>
      <c r="R46" s="389"/>
    </row>
    <row r="47" spans="1:18">
      <c r="A47" s="2"/>
      <c r="B47" s="2"/>
      <c r="C47" s="2"/>
      <c r="D47" s="2"/>
      <c r="E47" s="2"/>
      <c r="F47" s="2"/>
      <c r="G47" s="2"/>
      <c r="H47" s="2"/>
      <c r="I47" s="2"/>
      <c r="J47" s="290"/>
      <c r="K47" s="290"/>
      <c r="L47" s="290"/>
      <c r="M47" s="290"/>
      <c r="N47" s="290"/>
      <c r="O47" s="290"/>
      <c r="P47" s="290"/>
      <c r="Q47" s="290"/>
      <c r="R47" s="389"/>
    </row>
    <row r="48" spans="1:18">
      <c r="A48" s="2"/>
      <c r="B48" s="2"/>
      <c r="C48" s="2"/>
      <c r="D48" s="2"/>
      <c r="E48" s="2"/>
      <c r="F48" s="2"/>
      <c r="G48" s="2"/>
      <c r="H48" s="2"/>
      <c r="I48" s="2"/>
      <c r="J48" s="290"/>
      <c r="K48" s="290"/>
      <c r="L48" s="290"/>
      <c r="M48" s="290"/>
      <c r="N48" s="290"/>
      <c r="O48" s="290"/>
      <c r="P48" s="290"/>
      <c r="Q48" s="290"/>
      <c r="R48" s="389"/>
    </row>
    <row r="49" spans="1:18">
      <c r="A49" s="2"/>
      <c r="B49" s="2"/>
      <c r="C49" s="2"/>
      <c r="D49" s="2"/>
      <c r="E49" s="2"/>
      <c r="F49" s="2"/>
      <c r="G49" s="2"/>
      <c r="H49" s="2"/>
      <c r="I49" s="2"/>
      <c r="J49" s="290"/>
      <c r="K49" s="290"/>
      <c r="L49" s="290"/>
      <c r="M49" s="290"/>
      <c r="N49" s="290"/>
      <c r="O49" s="290"/>
      <c r="P49" s="290"/>
      <c r="Q49" s="290"/>
      <c r="R49" s="389"/>
    </row>
    <row r="50" spans="1:18">
      <c r="A50" s="2"/>
      <c r="B50" s="2"/>
      <c r="C50" s="2"/>
      <c r="D50" s="2"/>
      <c r="E50" s="2"/>
      <c r="F50" s="2"/>
      <c r="G50" s="2"/>
      <c r="H50" s="2"/>
      <c r="I50" s="2"/>
      <c r="J50" s="290"/>
      <c r="K50" s="290"/>
      <c r="L50" s="290"/>
      <c r="M50" s="290"/>
      <c r="N50" s="290"/>
      <c r="O50" s="290"/>
      <c r="P50" s="290"/>
      <c r="Q50" s="290"/>
      <c r="R50" s="389"/>
    </row>
    <row r="51" spans="1:18">
      <c r="A51" s="2"/>
      <c r="B51" s="2"/>
      <c r="C51" s="2"/>
      <c r="D51" s="2"/>
      <c r="E51" s="2"/>
      <c r="F51" s="2"/>
      <c r="G51" s="2"/>
      <c r="H51" s="2"/>
      <c r="I51" s="2"/>
      <c r="J51" s="290"/>
      <c r="K51" s="290"/>
      <c r="L51" s="290"/>
      <c r="M51" s="290"/>
      <c r="N51" s="290"/>
      <c r="O51" s="290"/>
      <c r="P51" s="290"/>
      <c r="Q51" s="290"/>
      <c r="R51" s="389"/>
    </row>
    <row r="52" spans="1:18">
      <c r="A52" s="2"/>
      <c r="B52" s="2"/>
      <c r="C52" s="2"/>
      <c r="D52" s="2"/>
      <c r="E52" s="2"/>
      <c r="F52" s="2"/>
      <c r="G52" s="2"/>
      <c r="H52" s="2"/>
      <c r="I52" s="2"/>
      <c r="J52" s="290"/>
      <c r="K52" s="290"/>
      <c r="L52" s="290"/>
      <c r="M52" s="290"/>
      <c r="N52" s="290"/>
      <c r="O52" s="290"/>
      <c r="P52" s="290"/>
      <c r="Q52" s="290"/>
      <c r="R52" s="389"/>
    </row>
    <row r="53" spans="1:18">
      <c r="A53" s="2"/>
      <c r="B53" s="2"/>
      <c r="C53" s="2"/>
      <c r="D53" s="2"/>
      <c r="E53" s="2"/>
      <c r="F53" s="2"/>
      <c r="H53" s="2"/>
      <c r="I53" s="2"/>
      <c r="J53" s="290"/>
      <c r="K53" s="290"/>
      <c r="L53" s="290"/>
      <c r="M53" s="290"/>
      <c r="N53" s="290"/>
      <c r="O53" s="290"/>
      <c r="P53" s="290"/>
      <c r="Q53" s="290"/>
      <c r="R53" s="389"/>
    </row>
    <row r="54" spans="1:18">
      <c r="A54" s="2"/>
      <c r="B54" s="2"/>
      <c r="C54" s="2"/>
      <c r="D54" s="1"/>
      <c r="E54" s="2"/>
      <c r="F54" s="2"/>
      <c r="G54" s="2"/>
      <c r="H54" s="2"/>
      <c r="I54" s="2"/>
      <c r="J54" s="290"/>
      <c r="K54" s="290"/>
      <c r="L54" s="290"/>
      <c r="M54" s="290"/>
      <c r="N54" s="290"/>
      <c r="O54" s="290"/>
      <c r="P54" s="290"/>
      <c r="Q54" s="290"/>
      <c r="R54" s="389"/>
    </row>
    <row r="55" spans="1:18">
      <c r="A55" s="2"/>
      <c r="B55" s="2"/>
      <c r="C55" s="2"/>
      <c r="D55" s="2"/>
      <c r="E55" s="2"/>
      <c r="F55" s="2"/>
      <c r="G55" s="2"/>
      <c r="H55" s="2"/>
      <c r="I55" s="2"/>
      <c r="J55" s="290"/>
      <c r="K55" s="290"/>
      <c r="L55" s="290"/>
      <c r="M55" s="290"/>
      <c r="N55" s="290"/>
      <c r="O55" s="290"/>
      <c r="P55" s="290"/>
      <c r="Q55" s="290"/>
      <c r="R55" s="389"/>
    </row>
    <row r="56" spans="1:18">
      <c r="A56" s="2"/>
      <c r="B56" s="2"/>
      <c r="C56" s="2"/>
      <c r="D56" s="2"/>
      <c r="E56" s="2"/>
      <c r="F56" s="2"/>
      <c r="G56" s="2"/>
      <c r="H56" s="2"/>
      <c r="I56" s="2"/>
      <c r="J56" s="290"/>
      <c r="K56" s="290"/>
      <c r="L56" s="290"/>
      <c r="M56" s="290"/>
      <c r="N56" s="290"/>
      <c r="O56" s="290"/>
      <c r="P56" s="290"/>
      <c r="Q56" s="290"/>
      <c r="R56" s="389"/>
    </row>
    <row r="57" spans="1:18">
      <c r="A57" s="2"/>
      <c r="B57" s="2"/>
      <c r="C57" s="2"/>
      <c r="D57" s="2"/>
      <c r="E57" s="2"/>
      <c r="F57" s="2"/>
      <c r="G57" s="2"/>
      <c r="H57" s="2"/>
      <c r="I57" s="2"/>
      <c r="J57" s="290"/>
      <c r="K57" s="290"/>
      <c r="L57" s="290"/>
      <c r="M57" s="290"/>
      <c r="N57" s="290"/>
      <c r="O57" s="290"/>
      <c r="P57" s="290"/>
      <c r="Q57" s="290"/>
      <c r="R57" s="389"/>
    </row>
    <row r="58" spans="1:18">
      <c r="A58" s="2"/>
      <c r="B58" s="2"/>
      <c r="C58" s="2"/>
      <c r="D58" s="2"/>
      <c r="E58" s="2"/>
      <c r="F58" s="2"/>
      <c r="G58" s="2"/>
      <c r="H58" s="2"/>
      <c r="I58" s="2"/>
      <c r="J58" s="290"/>
      <c r="K58" s="290"/>
      <c r="L58" s="290"/>
      <c r="M58" s="290"/>
      <c r="N58" s="290"/>
      <c r="O58" s="290"/>
      <c r="P58" s="290"/>
      <c r="Q58" s="290"/>
      <c r="R58" s="389"/>
    </row>
    <row r="59" spans="1:18">
      <c r="A59" s="2"/>
      <c r="B59" s="2"/>
      <c r="C59" s="2"/>
      <c r="D59" s="2"/>
      <c r="E59" s="2"/>
      <c r="F59" s="2"/>
      <c r="G59" s="2"/>
      <c r="H59" s="2"/>
      <c r="I59" s="2"/>
      <c r="J59" s="290"/>
      <c r="K59" s="290"/>
      <c r="L59" s="290"/>
      <c r="M59" s="290"/>
      <c r="N59" s="290"/>
      <c r="O59" s="290"/>
      <c r="P59" s="290"/>
      <c r="Q59" s="290"/>
      <c r="R59" s="389"/>
    </row>
    <row r="60" spans="1:18">
      <c r="A60" s="2"/>
      <c r="B60" s="2"/>
      <c r="C60" s="2"/>
      <c r="D60" s="2"/>
      <c r="E60" s="2"/>
      <c r="F60" s="2"/>
      <c r="G60" s="2"/>
      <c r="H60" s="2"/>
      <c r="I60" s="2"/>
      <c r="J60" s="290"/>
      <c r="K60" s="290"/>
      <c r="L60" s="290"/>
      <c r="M60" s="290"/>
      <c r="N60" s="290"/>
      <c r="O60" s="290"/>
      <c r="P60" s="290"/>
      <c r="Q60" s="290"/>
      <c r="R60" s="389"/>
    </row>
    <row r="61" spans="1:18">
      <c r="A61" s="2"/>
      <c r="B61" s="2"/>
      <c r="D61" s="2"/>
      <c r="E61" s="2"/>
      <c r="F61" s="2"/>
      <c r="G61" s="2"/>
      <c r="H61" s="2"/>
      <c r="I61" s="2"/>
      <c r="J61" s="290"/>
      <c r="K61" s="290"/>
      <c r="L61" s="290"/>
      <c r="M61" s="290"/>
      <c r="N61" s="290"/>
      <c r="O61" s="290"/>
      <c r="P61" s="290"/>
      <c r="Q61" s="290"/>
      <c r="R61" s="389"/>
    </row>
    <row r="62" spans="1:18">
      <c r="A62" s="2"/>
      <c r="B62" s="2"/>
      <c r="C62" s="2"/>
      <c r="D62" s="2"/>
      <c r="E62" s="2"/>
      <c r="F62" s="2"/>
      <c r="G62" s="2"/>
      <c r="H62" s="2"/>
      <c r="I62" s="2"/>
      <c r="J62" s="290"/>
      <c r="K62" s="290"/>
      <c r="L62" s="290"/>
      <c r="M62" s="290"/>
      <c r="N62" s="290"/>
      <c r="O62" s="290"/>
      <c r="P62" s="290"/>
      <c r="Q62" s="290"/>
      <c r="R62" s="389"/>
    </row>
    <row r="63" spans="1:18">
      <c r="A63" s="2"/>
      <c r="B63" s="2"/>
      <c r="C63" s="2"/>
      <c r="D63" s="2"/>
      <c r="F63" s="2"/>
      <c r="G63" s="2"/>
      <c r="H63" s="2"/>
      <c r="I63" s="2"/>
      <c r="J63" s="290"/>
      <c r="K63" s="290"/>
      <c r="L63" s="290"/>
      <c r="M63" s="290"/>
      <c r="N63" s="290"/>
      <c r="O63" s="290"/>
      <c r="P63" s="290"/>
      <c r="Q63" s="290"/>
      <c r="R63" s="389"/>
    </row>
    <row r="64" spans="1:18">
      <c r="A64" s="2"/>
      <c r="B64" s="2"/>
      <c r="C64" s="2"/>
      <c r="D64" s="2"/>
      <c r="E64" s="2"/>
      <c r="F64" s="2"/>
      <c r="G64" s="2"/>
      <c r="H64" s="2"/>
      <c r="I64" s="2"/>
      <c r="J64" s="290"/>
      <c r="K64" s="290"/>
      <c r="L64" s="290"/>
      <c r="M64" s="290"/>
      <c r="N64" s="290"/>
      <c r="O64" s="290"/>
      <c r="P64" s="290"/>
      <c r="Q64" s="290"/>
      <c r="R64" s="389"/>
    </row>
    <row r="65" spans="1:18">
      <c r="A65" s="2"/>
      <c r="B65" s="2"/>
      <c r="C65" s="2"/>
      <c r="D65" s="2"/>
      <c r="E65" s="2"/>
      <c r="F65" s="2"/>
      <c r="G65" s="2"/>
      <c r="H65" s="2"/>
      <c r="I65" s="2"/>
      <c r="J65" s="290"/>
      <c r="K65" s="290"/>
      <c r="L65" s="290"/>
      <c r="M65" s="290"/>
      <c r="N65" s="290"/>
      <c r="O65" s="290"/>
      <c r="P65" s="290"/>
      <c r="Q65" s="290"/>
      <c r="R65" s="389"/>
    </row>
    <row r="66" spans="1:18">
      <c r="A66" s="2"/>
      <c r="B66" s="2"/>
      <c r="C66" s="2"/>
      <c r="D66" s="2"/>
      <c r="E66" s="2"/>
      <c r="F66" s="2"/>
      <c r="G66" s="2"/>
      <c r="H66" s="2"/>
      <c r="I66" s="2"/>
      <c r="J66" s="290"/>
      <c r="K66" s="290"/>
      <c r="L66" s="290"/>
      <c r="M66" s="290"/>
      <c r="N66" s="290"/>
      <c r="O66" s="290"/>
      <c r="P66" s="290"/>
      <c r="Q66" s="290"/>
      <c r="R66" s="389"/>
    </row>
    <row r="67" spans="1:18">
      <c r="A67" s="2"/>
      <c r="B67" s="2"/>
      <c r="C67" s="2"/>
      <c r="D67" s="2"/>
      <c r="F67" s="2"/>
      <c r="G67" s="2"/>
      <c r="H67" s="2"/>
      <c r="I67" s="2"/>
      <c r="J67" s="290"/>
      <c r="K67" s="290"/>
      <c r="L67" s="290"/>
      <c r="M67" s="290"/>
      <c r="N67" s="290"/>
      <c r="O67" s="290"/>
      <c r="P67" s="290"/>
      <c r="Q67" s="290"/>
      <c r="R67" s="389"/>
    </row>
    <row r="68" spans="1:18">
      <c r="A68" s="2"/>
      <c r="B68" s="2"/>
      <c r="C68" s="2"/>
      <c r="D68" s="2"/>
      <c r="E68" s="2"/>
      <c r="G68" s="2"/>
      <c r="H68" s="2"/>
      <c r="I68" s="2"/>
      <c r="J68" s="290"/>
      <c r="K68" s="290"/>
      <c r="L68" s="290"/>
      <c r="M68" s="290"/>
      <c r="N68" s="290"/>
      <c r="O68" s="290"/>
      <c r="P68" s="290"/>
      <c r="Q68" s="290"/>
      <c r="R68" s="389"/>
    </row>
    <row r="69" spans="1:18">
      <c r="A69" s="2"/>
      <c r="B69" s="2"/>
      <c r="C69" s="2"/>
      <c r="D69" s="2"/>
      <c r="E69" s="2"/>
      <c r="F69" s="2"/>
      <c r="G69" s="2"/>
      <c r="H69" s="2"/>
      <c r="I69" s="2"/>
      <c r="J69" s="290"/>
      <c r="K69" s="290"/>
      <c r="L69" s="290"/>
      <c r="M69" s="290"/>
      <c r="N69" s="290"/>
      <c r="O69" s="290"/>
      <c r="P69" s="290"/>
      <c r="Q69" s="290"/>
      <c r="R69" s="389"/>
    </row>
    <row r="70" spans="1:18">
      <c r="A70" s="2"/>
      <c r="B70" s="2"/>
      <c r="C70" s="2"/>
      <c r="D70" s="2"/>
      <c r="E70" s="2"/>
      <c r="F70" s="2"/>
      <c r="G70" s="2"/>
      <c r="H70" s="2"/>
      <c r="I70" s="2"/>
      <c r="J70" s="290"/>
      <c r="K70" s="290"/>
      <c r="L70" s="290"/>
      <c r="M70" s="290"/>
      <c r="N70" s="290"/>
      <c r="O70" s="290"/>
      <c r="P70" s="290"/>
      <c r="Q70" s="290"/>
      <c r="R70" s="389"/>
    </row>
    <row r="71" spans="1:18">
      <c r="A71" s="2"/>
      <c r="B71" s="2"/>
      <c r="C71" s="2"/>
      <c r="D71" s="2"/>
      <c r="E71" s="2"/>
      <c r="F71" s="2"/>
      <c r="G71" s="2"/>
      <c r="H71" s="2"/>
      <c r="I71" s="2"/>
      <c r="J71" s="290"/>
      <c r="K71" s="290"/>
      <c r="L71" s="290"/>
      <c r="M71" s="290"/>
      <c r="N71" s="290"/>
      <c r="O71" s="290"/>
      <c r="P71" s="290"/>
      <c r="Q71" s="290"/>
      <c r="R71" s="389"/>
    </row>
    <row r="72" spans="1:18">
      <c r="A72" s="2"/>
      <c r="B72" s="2"/>
      <c r="C72" s="2"/>
      <c r="D72" s="2"/>
      <c r="E72" s="2"/>
      <c r="F72" s="2"/>
      <c r="G72" s="2"/>
      <c r="H72" s="2"/>
      <c r="I72" s="2"/>
      <c r="J72" s="290"/>
      <c r="K72" s="290"/>
      <c r="L72" s="290"/>
      <c r="M72" s="290"/>
      <c r="N72" s="290"/>
      <c r="O72" s="290"/>
      <c r="P72" s="290"/>
      <c r="Q72" s="290"/>
      <c r="R72" s="389"/>
    </row>
    <row r="73" spans="1:18">
      <c r="A73" s="2"/>
      <c r="B73" s="2"/>
      <c r="C73" s="2"/>
      <c r="E73" s="2"/>
      <c r="F73" s="2"/>
      <c r="G73" s="2"/>
      <c r="H73" s="2"/>
      <c r="I73" s="2"/>
      <c r="J73" s="290"/>
      <c r="K73" s="290"/>
      <c r="L73" s="290"/>
      <c r="M73" s="290"/>
      <c r="N73" s="290"/>
      <c r="O73" s="290"/>
      <c r="P73" s="290"/>
      <c r="Q73" s="290"/>
      <c r="R73" s="389"/>
    </row>
    <row r="74" spans="1:18">
      <c r="A74" s="2"/>
      <c r="B74" s="2"/>
      <c r="C74" s="2"/>
      <c r="D74" s="2"/>
      <c r="E74" s="2"/>
      <c r="F74" s="2"/>
      <c r="G74" s="2"/>
      <c r="H74" s="2"/>
      <c r="I74" s="2"/>
      <c r="J74" s="290"/>
      <c r="K74" s="290"/>
      <c r="L74" s="290"/>
      <c r="M74" s="290"/>
      <c r="N74" s="290"/>
      <c r="O74" s="290"/>
      <c r="P74" s="290"/>
      <c r="Q74" s="290"/>
      <c r="R74" s="389"/>
    </row>
    <row r="75" spans="1:18">
      <c r="A75" s="2"/>
      <c r="B75" s="2"/>
      <c r="C75" s="2"/>
      <c r="D75" s="2"/>
      <c r="E75" s="2"/>
      <c r="F75" s="2"/>
      <c r="G75" s="2"/>
      <c r="H75" s="2"/>
      <c r="I75" s="2"/>
      <c r="J75" s="290"/>
      <c r="K75" s="290"/>
      <c r="L75" s="290"/>
      <c r="M75" s="290"/>
      <c r="N75" s="290"/>
      <c r="O75" s="290"/>
      <c r="P75" s="290"/>
      <c r="Q75" s="290"/>
      <c r="R75" s="389"/>
    </row>
    <row r="76" spans="1:18">
      <c r="A76" s="2"/>
      <c r="B76" s="2"/>
      <c r="C76" s="2"/>
      <c r="D76" s="2"/>
      <c r="E76" s="2"/>
      <c r="F76" s="2"/>
      <c r="G76" s="2"/>
      <c r="H76" s="2"/>
      <c r="I76" s="2"/>
      <c r="J76" s="290"/>
      <c r="K76" s="290"/>
      <c r="L76" s="290"/>
      <c r="M76" s="290"/>
      <c r="N76" s="290"/>
      <c r="O76" s="290"/>
      <c r="P76" s="290"/>
      <c r="Q76" s="290"/>
      <c r="R76" s="389"/>
    </row>
    <row r="77" spans="1:18">
      <c r="A77" s="2"/>
      <c r="B77" s="2"/>
      <c r="C77" s="2"/>
      <c r="D77" s="2"/>
      <c r="E77" s="2"/>
      <c r="F77" s="2"/>
      <c r="G77" s="2"/>
      <c r="H77" s="2"/>
      <c r="I77" s="2"/>
      <c r="J77" s="290"/>
      <c r="K77" s="290"/>
      <c r="L77" s="290"/>
      <c r="M77" s="290"/>
      <c r="N77" s="290"/>
      <c r="O77" s="290"/>
      <c r="P77" s="290"/>
      <c r="Q77" s="290"/>
      <c r="R77" s="389"/>
    </row>
    <row r="78" spans="1:18">
      <c r="A78" s="2"/>
      <c r="B78" s="2"/>
      <c r="C78" s="2"/>
      <c r="D78" s="2"/>
      <c r="E78" s="2"/>
      <c r="F78" s="2"/>
      <c r="G78" s="2"/>
      <c r="H78" s="2"/>
      <c r="I78" s="2"/>
      <c r="J78" s="290"/>
      <c r="K78" s="290"/>
      <c r="L78" s="290"/>
      <c r="M78" s="290"/>
      <c r="N78" s="290"/>
      <c r="O78" s="290"/>
      <c r="P78" s="290"/>
      <c r="Q78" s="290"/>
      <c r="R78" s="389"/>
    </row>
    <row r="79" spans="1:18">
      <c r="A79" s="2"/>
      <c r="B79" s="2"/>
      <c r="C79" s="2"/>
      <c r="D79" s="2"/>
      <c r="E79" s="2"/>
      <c r="F79" s="2"/>
      <c r="G79" s="2"/>
      <c r="H79" s="2"/>
      <c r="I79" s="2"/>
      <c r="J79" s="290"/>
      <c r="K79" s="290"/>
      <c r="L79" s="290"/>
      <c r="M79" s="290"/>
      <c r="N79" s="290"/>
      <c r="O79" s="290"/>
      <c r="P79" s="290"/>
      <c r="Q79" s="290"/>
      <c r="R79" s="389"/>
    </row>
    <row r="80" spans="1:18">
      <c r="A80" s="2"/>
      <c r="B80" s="2"/>
      <c r="C80" s="2"/>
      <c r="D80" s="2"/>
      <c r="E80" s="2"/>
      <c r="F80" s="2"/>
      <c r="G80" s="2"/>
      <c r="H80" s="2"/>
      <c r="I80" s="2"/>
      <c r="J80" s="290"/>
      <c r="K80" s="290"/>
      <c r="L80" s="290"/>
      <c r="M80" s="290"/>
      <c r="N80" s="290"/>
      <c r="O80" s="290"/>
      <c r="P80" s="290"/>
      <c r="Q80" s="290"/>
      <c r="R80" s="389"/>
    </row>
    <row r="81" spans="1:18">
      <c r="A81" s="2"/>
      <c r="B81" s="2"/>
      <c r="C81" s="2"/>
      <c r="D81" s="2"/>
      <c r="E81" s="2"/>
      <c r="F81" s="2"/>
      <c r="G81" s="2"/>
      <c r="H81" s="2"/>
      <c r="I81" s="2"/>
      <c r="J81" s="290"/>
      <c r="K81" s="290"/>
      <c r="L81" s="290"/>
      <c r="M81" s="290"/>
      <c r="N81" s="290"/>
      <c r="O81" s="290"/>
      <c r="P81" s="290"/>
      <c r="R81" s="389"/>
    </row>
    <row r="82" spans="1:18">
      <c r="A82" s="2"/>
      <c r="B82" s="2"/>
      <c r="C82" s="2"/>
      <c r="E82" s="2"/>
      <c r="F82" s="2"/>
      <c r="G82" s="2"/>
      <c r="H82" s="2"/>
      <c r="I82" s="2"/>
      <c r="J82" s="290"/>
      <c r="K82" s="290"/>
      <c r="L82" s="290"/>
      <c r="M82" s="290"/>
      <c r="N82" s="290"/>
      <c r="O82" s="290"/>
      <c r="P82" s="290"/>
      <c r="Q82" s="290"/>
      <c r="R82" s="389"/>
    </row>
    <row r="83" spans="1:18">
      <c r="A83" s="2"/>
      <c r="B83" s="2"/>
      <c r="C83" s="2"/>
      <c r="D83" s="2"/>
      <c r="E83" s="2"/>
      <c r="F83" s="2"/>
      <c r="G83" s="2"/>
      <c r="H83" s="2"/>
      <c r="I83" s="2"/>
      <c r="J83" s="290"/>
      <c r="K83" s="290"/>
      <c r="L83" s="290"/>
      <c r="M83" s="290"/>
      <c r="N83" s="290"/>
      <c r="O83" s="290"/>
      <c r="P83" s="290"/>
      <c r="Q83" s="290"/>
      <c r="R83" s="389"/>
    </row>
    <row r="84" spans="1:18">
      <c r="A84" s="2"/>
      <c r="B84" s="2"/>
      <c r="C84" s="2"/>
      <c r="D84" s="2"/>
      <c r="E84" s="2"/>
      <c r="F84" s="2"/>
      <c r="G84" s="2"/>
      <c r="H84" s="2"/>
      <c r="I84" s="2"/>
      <c r="J84" s="290"/>
      <c r="K84" s="290"/>
      <c r="L84" s="290"/>
      <c r="M84" s="290"/>
      <c r="N84" s="290"/>
      <c r="O84" s="290"/>
      <c r="P84" s="290"/>
      <c r="Q84" s="290"/>
      <c r="R84" s="389"/>
    </row>
    <row r="85" spans="1:18">
      <c r="A85" s="2"/>
      <c r="B85" s="2"/>
      <c r="C85" s="2"/>
      <c r="D85" s="2"/>
      <c r="E85" s="2"/>
      <c r="F85" s="2"/>
      <c r="G85" s="2"/>
      <c r="H85" s="2"/>
      <c r="I85" s="2"/>
      <c r="J85" s="290"/>
      <c r="K85" s="290"/>
      <c r="L85" s="290"/>
      <c r="M85" s="290"/>
      <c r="N85" s="290"/>
      <c r="O85" s="290"/>
      <c r="P85" s="290"/>
      <c r="Q85" s="290"/>
      <c r="R85" s="389"/>
    </row>
    <row r="86" spans="1:18">
      <c r="A86" s="2"/>
      <c r="B86" s="2"/>
      <c r="C86" s="2"/>
      <c r="D86" s="2"/>
      <c r="E86" s="2"/>
      <c r="F86" s="2"/>
      <c r="G86" s="2"/>
      <c r="H86" s="2"/>
      <c r="I86" s="2"/>
      <c r="J86" s="290"/>
      <c r="K86" s="290"/>
      <c r="L86" s="290"/>
      <c r="M86" s="290"/>
      <c r="N86" s="290"/>
      <c r="O86" s="290"/>
      <c r="P86" s="290"/>
      <c r="Q86" s="290"/>
      <c r="R86" s="389"/>
    </row>
    <row r="87" spans="1:18">
      <c r="A87" s="2"/>
      <c r="B87" s="2"/>
      <c r="C87" s="2"/>
      <c r="E87" s="2"/>
      <c r="F87" s="2"/>
      <c r="G87" s="2"/>
      <c r="H87" s="2"/>
      <c r="I87" s="2"/>
      <c r="J87" s="290"/>
      <c r="K87" s="290"/>
      <c r="L87" s="290"/>
      <c r="M87" s="290"/>
      <c r="N87" s="290"/>
      <c r="O87" s="290"/>
      <c r="P87" s="290"/>
      <c r="Q87" s="290"/>
      <c r="R87" s="389"/>
    </row>
    <row r="88" spans="1:18">
      <c r="A88" s="2"/>
      <c r="B88" s="2"/>
      <c r="C88" s="2"/>
      <c r="D88" s="2"/>
      <c r="E88" s="2"/>
      <c r="F88" s="2"/>
      <c r="G88" s="2"/>
      <c r="H88" s="2"/>
      <c r="I88" s="2"/>
      <c r="J88" s="290"/>
      <c r="K88" s="290"/>
      <c r="L88" s="290"/>
      <c r="M88" s="290"/>
      <c r="N88" s="290"/>
      <c r="O88" s="290"/>
      <c r="P88" s="290"/>
      <c r="Q88" s="290"/>
      <c r="R88" s="389"/>
    </row>
    <row r="89" spans="1:18">
      <c r="A89" s="2"/>
      <c r="B89" s="2"/>
      <c r="C89" s="2"/>
      <c r="D89" s="2"/>
      <c r="E89" s="2"/>
      <c r="F89" s="2"/>
      <c r="G89" s="2"/>
      <c r="H89" s="2"/>
      <c r="I89" s="2"/>
      <c r="J89" s="290"/>
      <c r="K89" s="290"/>
      <c r="L89" s="290"/>
      <c r="M89" s="290"/>
      <c r="N89" s="290"/>
      <c r="O89" s="290"/>
      <c r="P89" s="290"/>
      <c r="Q89" s="290"/>
      <c r="R89" s="389"/>
    </row>
    <row r="90" spans="1:18">
      <c r="A90" s="2"/>
      <c r="B90" s="2"/>
      <c r="C90" s="2"/>
      <c r="D90" s="2"/>
      <c r="E90" s="2"/>
      <c r="F90" s="2"/>
      <c r="G90" s="2"/>
      <c r="H90" s="2"/>
      <c r="I90" s="2"/>
      <c r="J90" s="290"/>
      <c r="K90" s="290"/>
      <c r="L90" s="290"/>
      <c r="M90" s="290"/>
      <c r="N90" s="290"/>
      <c r="O90" s="290"/>
      <c r="P90" s="290"/>
      <c r="Q90" s="290"/>
      <c r="R90" s="389"/>
    </row>
    <row r="91" spans="1:18">
      <c r="A91" s="2"/>
      <c r="B91" s="2"/>
      <c r="C91" s="2"/>
      <c r="D91" s="2"/>
      <c r="E91" s="2"/>
      <c r="F91" s="2"/>
      <c r="G91" s="2"/>
      <c r="H91" s="2"/>
      <c r="I91" s="2"/>
      <c r="J91" s="290"/>
      <c r="K91" s="290"/>
      <c r="L91" s="290"/>
      <c r="M91" s="290"/>
      <c r="N91" s="290"/>
      <c r="O91" s="290"/>
      <c r="P91" s="290"/>
      <c r="Q91" s="290"/>
      <c r="R91" s="389"/>
    </row>
    <row r="92" spans="1:18">
      <c r="A92" s="2"/>
      <c r="B92" s="3"/>
      <c r="C92" s="2"/>
      <c r="D92" s="2"/>
      <c r="E92" s="2"/>
      <c r="F92" s="2"/>
      <c r="G92" s="2"/>
      <c r="H92" s="2"/>
      <c r="I92" s="2"/>
      <c r="J92" s="290"/>
      <c r="K92" s="290"/>
      <c r="L92" s="290"/>
      <c r="M92" s="290"/>
      <c r="N92" s="290"/>
      <c r="O92" s="290"/>
      <c r="P92" s="290"/>
      <c r="Q92" s="290"/>
      <c r="R92" s="389"/>
    </row>
    <row r="93" spans="1:18">
      <c r="A93" s="2"/>
      <c r="B93" s="2"/>
      <c r="C93" s="2"/>
      <c r="D93" s="2"/>
      <c r="E93" s="2"/>
      <c r="F93" s="2"/>
      <c r="G93" s="2"/>
      <c r="H93" s="2"/>
      <c r="I93" s="2"/>
      <c r="J93" s="290"/>
      <c r="K93" s="290"/>
      <c r="L93" s="290"/>
      <c r="M93" s="290"/>
      <c r="N93" s="290"/>
      <c r="O93" s="290"/>
      <c r="P93" s="290"/>
      <c r="Q93" s="290"/>
      <c r="R93" s="389"/>
    </row>
    <row r="94" spans="1:18">
      <c r="A94" s="458"/>
      <c r="B94" s="458"/>
      <c r="C94" s="458"/>
      <c r="D94" s="458"/>
      <c r="E94" s="458"/>
      <c r="F94" s="458"/>
      <c r="G94" s="458"/>
      <c r="H94" s="458"/>
      <c r="I94" s="458"/>
      <c r="J94" s="459"/>
      <c r="K94" s="459"/>
      <c r="L94" s="459"/>
      <c r="M94" s="459"/>
      <c r="N94" s="459"/>
      <c r="O94" s="290"/>
      <c r="P94" s="290"/>
      <c r="Q94" s="290"/>
      <c r="R94" s="389"/>
    </row>
    <row r="95" spans="1:18" ht="31.8" customHeight="1">
      <c r="A95" s="460"/>
      <c r="B95" s="458"/>
      <c r="C95" s="458"/>
      <c r="D95" s="458"/>
      <c r="E95" s="458"/>
      <c r="F95" s="458"/>
      <c r="G95" s="458"/>
      <c r="H95" s="458"/>
      <c r="I95" s="458"/>
      <c r="J95" s="459"/>
      <c r="K95" s="459"/>
      <c r="L95" s="459"/>
      <c r="M95" s="459"/>
      <c r="N95" s="459"/>
      <c r="O95" s="290"/>
      <c r="P95" s="290"/>
      <c r="Q95" s="290"/>
      <c r="R95" s="389"/>
    </row>
    <row r="96" spans="1:18">
      <c r="A96" s="2"/>
      <c r="B96" s="2"/>
      <c r="C96" s="2"/>
      <c r="D96" s="2"/>
      <c r="E96" s="2"/>
      <c r="F96" s="2"/>
      <c r="G96" s="2"/>
      <c r="H96" s="2"/>
      <c r="I96" s="2"/>
      <c r="J96" s="290"/>
      <c r="K96" s="290"/>
      <c r="L96" s="290"/>
      <c r="M96" s="290"/>
      <c r="N96" s="290"/>
      <c r="O96" s="290"/>
      <c r="P96" s="290"/>
      <c r="Q96" s="290"/>
      <c r="R96" s="389"/>
    </row>
    <row r="97" spans="1:18">
      <c r="A97" s="2"/>
      <c r="B97" s="2"/>
      <c r="C97" s="2"/>
      <c r="D97" s="2"/>
      <c r="E97" s="2"/>
      <c r="F97" s="2"/>
      <c r="G97" s="2"/>
      <c r="H97" s="2"/>
      <c r="I97" s="2"/>
      <c r="J97" s="290"/>
      <c r="K97" s="290"/>
      <c r="L97" s="290"/>
      <c r="M97" s="290"/>
      <c r="N97" s="290"/>
      <c r="O97" s="290"/>
      <c r="P97" s="290"/>
      <c r="Q97" s="290"/>
      <c r="R97" s="389"/>
    </row>
    <row r="98" spans="1:18">
      <c r="A98" s="2"/>
      <c r="B98" s="2"/>
      <c r="C98" s="2"/>
      <c r="D98" s="2"/>
      <c r="E98" s="2"/>
      <c r="F98" s="2"/>
      <c r="G98" s="2"/>
      <c r="H98" s="2"/>
      <c r="I98" s="2"/>
      <c r="J98" s="290"/>
      <c r="K98" s="290"/>
      <c r="L98" s="290"/>
      <c r="M98" s="290"/>
      <c r="N98" s="290"/>
      <c r="O98" s="290"/>
      <c r="P98" s="290"/>
      <c r="Q98" s="290"/>
      <c r="R98" s="389"/>
    </row>
    <row r="99" spans="1:18">
      <c r="A99" s="2"/>
      <c r="B99" s="2"/>
      <c r="C99" s="2"/>
      <c r="D99" s="2"/>
      <c r="E99" s="2"/>
      <c r="F99" s="2"/>
      <c r="G99" s="2"/>
      <c r="H99" s="2"/>
      <c r="I99" s="2"/>
      <c r="J99" s="290"/>
      <c r="K99" s="290"/>
      <c r="L99" s="290"/>
      <c r="M99" s="290"/>
      <c r="N99" s="290"/>
      <c r="O99" s="290"/>
      <c r="P99" s="290"/>
      <c r="Q99" s="290"/>
      <c r="R99" s="389"/>
    </row>
    <row r="100" spans="1:18">
      <c r="A100" s="2"/>
      <c r="B100" s="2"/>
      <c r="C100" s="2"/>
      <c r="D100" s="2"/>
      <c r="E100" s="2"/>
      <c r="F100" s="2"/>
      <c r="G100" s="2"/>
      <c r="H100" s="2"/>
      <c r="I100" s="2"/>
      <c r="J100" s="290"/>
      <c r="K100" s="290"/>
      <c r="L100" s="290"/>
      <c r="M100" s="290"/>
      <c r="N100" s="290"/>
      <c r="O100" s="290"/>
      <c r="P100" s="290"/>
      <c r="Q100" s="290"/>
      <c r="R100" s="389"/>
    </row>
    <row r="101" spans="1:18">
      <c r="A101" s="2"/>
      <c r="B101" s="2"/>
      <c r="C101" s="2"/>
      <c r="D101" s="2"/>
      <c r="E101" s="2"/>
      <c r="F101" s="2"/>
      <c r="G101" s="2"/>
      <c r="H101" s="2"/>
      <c r="I101" s="2"/>
      <c r="J101" s="290"/>
      <c r="K101" s="290"/>
      <c r="L101" s="290"/>
      <c r="M101" s="290"/>
      <c r="N101" s="290"/>
      <c r="O101" s="290"/>
      <c r="P101" s="290"/>
      <c r="Q101" s="290"/>
      <c r="R101" s="389"/>
    </row>
    <row r="102" spans="1:18">
      <c r="A102" s="2"/>
      <c r="C102" s="2"/>
      <c r="D102" s="2"/>
      <c r="E102" s="2"/>
      <c r="F102" s="2"/>
      <c r="G102" s="2"/>
      <c r="H102" s="2"/>
      <c r="I102" s="2"/>
      <c r="J102" s="290"/>
      <c r="K102" s="290"/>
      <c r="L102" s="290"/>
      <c r="M102" s="290"/>
      <c r="N102" s="290"/>
      <c r="O102" s="290"/>
      <c r="P102" s="290"/>
      <c r="Q102" s="290"/>
      <c r="R102" s="389"/>
    </row>
    <row r="103" spans="1:18">
      <c r="A103" s="2"/>
      <c r="B103" s="2"/>
      <c r="C103" s="2"/>
      <c r="D103" s="2"/>
      <c r="E103" s="2"/>
      <c r="F103" s="2"/>
      <c r="G103" s="2"/>
      <c r="H103" s="2"/>
      <c r="I103" s="2"/>
      <c r="J103" s="290"/>
      <c r="K103" s="290"/>
      <c r="L103" s="290"/>
      <c r="M103" s="290"/>
      <c r="N103" s="290"/>
      <c r="O103" s="290"/>
      <c r="P103" s="290"/>
      <c r="Q103" s="290"/>
      <c r="R103" s="389"/>
    </row>
    <row r="104" spans="1:18">
      <c r="A104" s="2"/>
      <c r="B104" s="2"/>
      <c r="C104" s="2"/>
      <c r="D104" s="2"/>
      <c r="E104" s="2"/>
      <c r="F104" s="2"/>
      <c r="G104" s="2"/>
      <c r="H104" s="2"/>
      <c r="I104" s="2"/>
      <c r="J104" s="290"/>
      <c r="K104" s="290"/>
      <c r="L104" s="290"/>
      <c r="M104" s="290"/>
      <c r="N104" s="290"/>
      <c r="O104" s="290"/>
      <c r="P104" s="290"/>
      <c r="Q104" s="290"/>
      <c r="R104" s="389"/>
    </row>
    <row r="105" spans="1:18">
      <c r="A105" s="2"/>
      <c r="B105" s="2"/>
      <c r="C105" s="2"/>
      <c r="D105" s="2"/>
      <c r="E105" s="2"/>
      <c r="F105" s="2"/>
      <c r="G105" s="2"/>
      <c r="H105" s="2"/>
      <c r="I105" s="2"/>
      <c r="J105" s="290"/>
      <c r="K105" s="290"/>
      <c r="L105" s="290"/>
      <c r="M105" s="290"/>
      <c r="N105" s="290"/>
      <c r="O105" s="290"/>
      <c r="P105" s="290"/>
      <c r="Q105" s="290"/>
      <c r="R105" s="389"/>
    </row>
    <row r="106" spans="1:18">
      <c r="A106" s="2"/>
      <c r="B106" s="2"/>
      <c r="C106" s="2"/>
      <c r="D106" s="2"/>
      <c r="E106" s="2"/>
      <c r="F106" s="2"/>
      <c r="G106" s="2"/>
      <c r="H106" s="2"/>
      <c r="I106" s="2"/>
      <c r="J106" s="290"/>
      <c r="K106" s="290"/>
      <c r="L106" s="290"/>
      <c r="M106" s="290"/>
      <c r="N106" s="290"/>
      <c r="O106" s="290"/>
      <c r="P106" s="290"/>
      <c r="Q106" s="290"/>
      <c r="R106" s="389"/>
    </row>
    <row r="107" spans="1:18">
      <c r="A107" s="2"/>
      <c r="B107" s="2"/>
      <c r="C107" s="2"/>
      <c r="D107" s="2"/>
      <c r="E107" s="2"/>
      <c r="F107" s="2"/>
      <c r="G107" s="2"/>
      <c r="H107" s="2"/>
      <c r="I107" s="2"/>
      <c r="J107" s="290"/>
      <c r="K107" s="290"/>
      <c r="L107" s="290"/>
      <c r="M107" s="290"/>
      <c r="N107" s="290"/>
      <c r="O107" s="290"/>
      <c r="P107" s="290"/>
      <c r="Q107" s="290"/>
      <c r="R107" s="389"/>
    </row>
    <row r="108" spans="1:18">
      <c r="A108" s="2"/>
      <c r="B108" s="2"/>
      <c r="C108" s="2"/>
      <c r="D108" s="2"/>
      <c r="E108" s="2"/>
      <c r="F108" s="2"/>
      <c r="G108" s="2"/>
      <c r="H108" s="2"/>
      <c r="I108" s="2"/>
      <c r="J108" s="290"/>
      <c r="K108" s="290"/>
      <c r="L108" s="290"/>
      <c r="M108" s="290"/>
      <c r="N108" s="290"/>
      <c r="O108" s="290"/>
      <c r="P108" s="290"/>
      <c r="Q108" s="290"/>
      <c r="R108" s="389"/>
    </row>
    <row r="109" spans="1:18">
      <c r="J109" s="290"/>
      <c r="K109" s="290"/>
      <c r="L109" s="290"/>
      <c r="M109" s="290"/>
      <c r="N109" s="290"/>
      <c r="O109" s="290"/>
      <c r="P109" s="290"/>
      <c r="Q109" s="290"/>
      <c r="R109" s="389"/>
    </row>
  </sheetData>
  <sheetProtection algorithmName="SHA-512" hashValue="xdUpu2S8rMVYmnxS4jj3wAElokVsSUYao2aFBiCCf2A58am+xyquLAE8ZbCYIHdhU0XhcKTrtf2KjtMZZ9UC1g==" saltValue="zAwv98LzHQhz78cOcE3UlQ==" spinCount="100000" sheet="1" objects="1" scenarios="1"/>
  <mergeCells count="3">
    <mergeCell ref="D7:F7"/>
    <mergeCell ref="C9:E9"/>
    <mergeCell ref="B23:F2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78EB-E1FC-3446-95FD-6C5B54BF7FBC}">
  <sheetPr codeName="Sheet2">
    <tabColor rgb="FFFF2929"/>
  </sheetPr>
  <dimension ref="A1:HW514"/>
  <sheetViews>
    <sheetView showGridLines="0" zoomScale="66" zoomScaleNormal="85" workbookViewId="0">
      <selection activeCell="G20" sqref="G20"/>
    </sheetView>
  </sheetViews>
  <sheetFormatPr defaultColWidth="10.796875" defaultRowHeight="15.6"/>
  <cols>
    <col min="1" max="3" width="8" style="6" customWidth="1"/>
    <col min="4" max="4" width="34" style="295" customWidth="1"/>
    <col min="5" max="5" width="19.796875" style="295" customWidth="1"/>
    <col min="6" max="6" width="20.19921875" style="295" customWidth="1"/>
    <col min="7" max="7" width="20.296875" style="295" customWidth="1"/>
    <col min="8" max="8" width="15.796875" style="295" customWidth="1"/>
    <col min="9" max="9" width="13.5" style="295" customWidth="1"/>
    <col min="10" max="10" width="24.19921875" style="315" customWidth="1"/>
    <col min="11" max="11" width="31.19921875" style="295" customWidth="1"/>
    <col min="12" max="12" width="25.5" style="295" customWidth="1"/>
    <col min="13" max="13" width="15.69921875" style="295" customWidth="1"/>
    <col min="14" max="14" width="15" style="6" customWidth="1"/>
    <col min="15" max="15" width="20.19921875" style="6" customWidth="1"/>
    <col min="16" max="16" width="19.796875" style="6" customWidth="1"/>
    <col min="17" max="17" width="20.296875" style="6" customWidth="1"/>
    <col min="18" max="18" width="21.296875" style="6" customWidth="1"/>
    <col min="19" max="16384" width="10.796875" style="6"/>
  </cols>
  <sheetData>
    <row r="1" spans="1:231" s="261" customFormat="1" ht="27" customHeight="1">
      <c r="A1" s="260" t="str">
        <f>"v"&amp;'COPYRIGHT PROTECTION'!C14&amp;" "&amp;'COPYRIGHT PROTECTION'!C6</f>
        <v xml:space="preserve">v2023.2 © Simon Hulme and Chris Drew, 2011-2023     IF PART OF AN ACADEMIC ASSIGNMENT, PLEASE DO NOT DELETE THIS SINGLE LINE.  DELETING IT MAY INVALIDATE YOUR SUBMISSION. </v>
      </c>
      <c r="B1" s="260"/>
      <c r="C1" s="260"/>
      <c r="D1" s="295"/>
      <c r="E1" s="295"/>
      <c r="F1" s="295"/>
      <c r="G1" s="295"/>
      <c r="H1" s="295"/>
      <c r="I1" s="295"/>
      <c r="J1" s="315"/>
      <c r="K1" s="295"/>
      <c r="L1" s="295"/>
      <c r="M1" s="295"/>
    </row>
    <row r="2" spans="1:231" s="1126" customFormat="1" ht="28.8">
      <c r="B2" s="1127" t="s">
        <v>306</v>
      </c>
    </row>
    <row r="3" spans="1:231" s="1126" customFormat="1">
      <c r="J3" s="1128"/>
    </row>
    <row r="4" spans="1:231" s="1126" customFormat="1" ht="25.8">
      <c r="B4" s="1129" t="s">
        <v>226</v>
      </c>
      <c r="J4" s="1128"/>
    </row>
    <row r="6" spans="1:231">
      <c r="E6" s="295" t="s">
        <v>227</v>
      </c>
      <c r="G6" s="295" t="s">
        <v>442</v>
      </c>
      <c r="H6" s="295" t="s">
        <v>443</v>
      </c>
      <c r="I6" s="450"/>
    </row>
    <row r="7" spans="1:231">
      <c r="E7" s="303">
        <v>0.2</v>
      </c>
      <c r="G7" s="304">
        <v>0.03</v>
      </c>
      <c r="H7" s="304">
        <v>0.02</v>
      </c>
      <c r="I7" s="451"/>
    </row>
    <row r="8" spans="1:231" ht="46.2">
      <c r="D8" s="404">
        <v>2024</v>
      </c>
    </row>
    <row r="9" spans="1:231" s="452" customFormat="1" ht="12" customHeight="1">
      <c r="D9" s="453"/>
      <c r="E9" s="454"/>
      <c r="F9" s="454"/>
      <c r="G9" s="454"/>
      <c r="H9" s="454"/>
      <c r="I9" s="454"/>
      <c r="J9" s="455"/>
      <c r="K9" s="454"/>
      <c r="L9" s="454"/>
      <c r="M9" s="454"/>
    </row>
    <row r="10" spans="1:231" ht="16.2" thickBot="1">
      <c r="J10" s="295"/>
      <c r="N10" s="295"/>
      <c r="O10" s="295"/>
      <c r="P10" s="295"/>
      <c r="Q10" s="295"/>
      <c r="R10" s="295"/>
      <c r="S10" s="295"/>
      <c r="T10" s="295"/>
      <c r="U10" s="295"/>
    </row>
    <row r="11" spans="1:231" s="22" customFormat="1" ht="22.2" thickTop="1" thickBot="1">
      <c r="A11" s="179"/>
      <c r="B11" s="179"/>
      <c r="C11" s="179"/>
      <c r="D11" s="409" t="s">
        <v>307</v>
      </c>
      <c r="E11" s="405" t="s">
        <v>298</v>
      </c>
      <c r="F11" s="405" t="s">
        <v>299</v>
      </c>
      <c r="G11" s="406" t="s">
        <v>300</v>
      </c>
      <c r="H11" s="305"/>
      <c r="I11" s="305"/>
      <c r="J11" s="401"/>
      <c r="K11" s="305"/>
      <c r="L11" s="305"/>
      <c r="M11" s="305"/>
      <c r="N11" s="179"/>
      <c r="O11" s="179"/>
      <c r="P11" s="179"/>
      <c r="Q11" s="179"/>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c r="BA11" s="179"/>
      <c r="BB11" s="179"/>
      <c r="BC11" s="179"/>
      <c r="BD11" s="179"/>
      <c r="BE11" s="179"/>
      <c r="BF11" s="179"/>
      <c r="BG11" s="179"/>
      <c r="BH11" s="179"/>
      <c r="BI11" s="179"/>
      <c r="BJ11" s="179"/>
      <c r="BK11" s="179"/>
      <c r="BL11" s="179"/>
      <c r="BM11" s="179"/>
      <c r="BN11" s="179"/>
      <c r="BO11" s="179"/>
      <c r="BP11" s="179"/>
      <c r="BQ11" s="179"/>
      <c r="BR11" s="179"/>
      <c r="BS11" s="179"/>
      <c r="BT11" s="179"/>
      <c r="BU11" s="179"/>
      <c r="BV11" s="179"/>
      <c r="BW11" s="179"/>
      <c r="BX11" s="179"/>
      <c r="BY11" s="179"/>
      <c r="BZ11" s="179"/>
      <c r="CA11" s="179"/>
      <c r="CB11" s="179"/>
      <c r="CC11" s="179"/>
      <c r="CD11" s="179"/>
      <c r="CE11" s="179"/>
      <c r="CF11" s="179"/>
      <c r="CG11" s="179"/>
      <c r="CH11" s="179"/>
      <c r="CI11" s="179"/>
      <c r="CJ11" s="179"/>
      <c r="CK11" s="179"/>
      <c r="CL11" s="179"/>
      <c r="CM11" s="179"/>
      <c r="CN11" s="179"/>
      <c r="CO11" s="179"/>
      <c r="CP11" s="179"/>
      <c r="CQ11" s="179"/>
      <c r="CR11" s="179"/>
      <c r="CS11" s="179"/>
      <c r="CT11" s="179"/>
      <c r="CU11" s="179"/>
      <c r="CV11" s="179"/>
      <c r="CW11" s="179"/>
      <c r="CX11" s="179"/>
      <c r="CY11" s="179"/>
      <c r="CZ11" s="179"/>
      <c r="DA11" s="179"/>
      <c r="DB11" s="179"/>
      <c r="DC11" s="179"/>
      <c r="DD11" s="179"/>
      <c r="DE11" s="179"/>
      <c r="DF11" s="179"/>
      <c r="DG11" s="179"/>
      <c r="DH11" s="179"/>
      <c r="DI11" s="179"/>
      <c r="DJ11" s="179"/>
      <c r="DK11" s="179"/>
      <c r="DL11" s="179"/>
      <c r="DM11" s="179"/>
      <c r="DN11" s="179"/>
      <c r="DO11" s="179"/>
      <c r="DP11" s="179"/>
      <c r="DQ11" s="179"/>
      <c r="DR11" s="179"/>
      <c r="DS11" s="179"/>
      <c r="DT11" s="179"/>
      <c r="DU11" s="179"/>
      <c r="DV11" s="179"/>
      <c r="DW11" s="179"/>
      <c r="DX11" s="179"/>
      <c r="DY11" s="179"/>
      <c r="DZ11" s="179"/>
      <c r="EA11" s="179"/>
      <c r="EB11" s="179"/>
      <c r="EC11" s="179"/>
      <c r="ED11" s="179"/>
      <c r="EE11" s="179"/>
      <c r="EF11" s="179"/>
      <c r="EG11" s="179"/>
      <c r="EH11" s="179"/>
      <c r="EI11" s="179"/>
      <c r="EJ11" s="179"/>
      <c r="EK11" s="179"/>
      <c r="EL11" s="179"/>
      <c r="EM11" s="179"/>
      <c r="EN11" s="179"/>
      <c r="EO11" s="179"/>
      <c r="EP11" s="179"/>
      <c r="EQ11" s="179"/>
      <c r="ER11" s="179"/>
      <c r="ES11" s="179"/>
      <c r="ET11" s="179"/>
      <c r="EU11" s="179"/>
      <c r="EV11" s="179"/>
      <c r="EW11" s="179"/>
      <c r="EX11" s="179"/>
      <c r="EY11" s="179"/>
      <c r="EZ11" s="179"/>
      <c r="FA11" s="179"/>
      <c r="FB11" s="179"/>
      <c r="FC11" s="179"/>
      <c r="FD11" s="179"/>
      <c r="FE11" s="179"/>
      <c r="FF11" s="179"/>
      <c r="FG11" s="179"/>
      <c r="FH11" s="179"/>
      <c r="FI11" s="179"/>
      <c r="FJ11" s="179"/>
      <c r="FK11" s="179"/>
      <c r="FL11" s="179"/>
      <c r="FM11" s="179"/>
      <c r="FN11" s="179"/>
      <c r="FO11" s="179"/>
      <c r="FP11" s="179"/>
      <c r="FQ11" s="179"/>
      <c r="FR11" s="179"/>
      <c r="FS11" s="179"/>
      <c r="FT11" s="179"/>
      <c r="FU11" s="179"/>
      <c r="FV11" s="179"/>
      <c r="FW11" s="179"/>
      <c r="FX11" s="179"/>
      <c r="FY11" s="179"/>
      <c r="FZ11" s="179"/>
      <c r="GA11" s="179"/>
      <c r="GB11" s="179"/>
      <c r="GC11" s="179"/>
      <c r="GD11" s="179"/>
      <c r="GE11" s="179"/>
      <c r="GF11" s="179"/>
      <c r="GG11" s="179"/>
      <c r="GH11" s="179"/>
      <c r="GI11" s="179"/>
      <c r="GJ11" s="179"/>
      <c r="GK11" s="179"/>
      <c r="GL11" s="179"/>
      <c r="GM11" s="179"/>
      <c r="GN11" s="179"/>
      <c r="GO11" s="179"/>
      <c r="GP11" s="179"/>
      <c r="GQ11" s="179"/>
      <c r="GR11" s="179"/>
      <c r="GS11" s="179"/>
      <c r="GT11" s="179"/>
      <c r="GU11" s="179"/>
      <c r="GV11" s="179"/>
      <c r="GW11" s="179"/>
      <c r="GX11" s="179"/>
      <c r="GY11" s="179"/>
      <c r="GZ11" s="179"/>
      <c r="HA11" s="179"/>
      <c r="HB11" s="179"/>
      <c r="HC11" s="179"/>
      <c r="HD11" s="179"/>
      <c r="HE11" s="179"/>
      <c r="HF11" s="179"/>
      <c r="HG11" s="179"/>
      <c r="HH11" s="179"/>
      <c r="HI11" s="179"/>
      <c r="HJ11" s="179"/>
      <c r="HK11" s="179"/>
      <c r="HL11" s="179"/>
      <c r="HM11" s="179"/>
      <c r="HN11" s="179"/>
      <c r="HO11" s="179"/>
      <c r="HP11" s="179"/>
      <c r="HQ11" s="179"/>
      <c r="HR11" s="179"/>
      <c r="HS11" s="179"/>
      <c r="HT11" s="179"/>
      <c r="HU11" s="179"/>
      <c r="HV11" s="179"/>
      <c r="HW11" s="179"/>
    </row>
    <row r="12" spans="1:231" ht="16.2" thickTop="1">
      <c r="D12" s="450"/>
      <c r="E12" s="468"/>
      <c r="F12" s="468"/>
      <c r="G12" s="450"/>
    </row>
    <row r="13" spans="1:231">
      <c r="D13" s="469" t="s">
        <v>228</v>
      </c>
      <c r="E13" s="470">
        <f>E14+E15</f>
        <v>444</v>
      </c>
      <c r="F13" s="470">
        <f>F14+F15</f>
        <v>240</v>
      </c>
      <c r="G13" s="470">
        <f>G14+G15</f>
        <v>600</v>
      </c>
    </row>
    <row r="14" spans="1:231">
      <c r="D14" s="450" t="s">
        <v>177</v>
      </c>
      <c r="E14" s="468">
        <f>E15*$E$7</f>
        <v>74</v>
      </c>
      <c r="F14" s="468">
        <f>F15*$E$7</f>
        <v>40</v>
      </c>
      <c r="G14" s="468">
        <f>G15*$E$7</f>
        <v>100</v>
      </c>
    </row>
    <row r="15" spans="1:231">
      <c r="D15" s="469" t="s">
        <v>229</v>
      </c>
      <c r="E15" s="297">
        <v>370</v>
      </c>
      <c r="F15" s="297">
        <v>200</v>
      </c>
      <c r="G15" s="297">
        <v>500</v>
      </c>
    </row>
    <row r="16" spans="1:231">
      <c r="D16" s="469"/>
      <c r="E16" s="470"/>
      <c r="F16" s="470"/>
      <c r="G16" s="470"/>
    </row>
    <row r="17" spans="4:13">
      <c r="D17" s="450" t="s">
        <v>301</v>
      </c>
      <c r="E17" s="308">
        <v>50</v>
      </c>
      <c r="F17" s="308">
        <v>20</v>
      </c>
      <c r="G17" s="308">
        <v>80</v>
      </c>
    </row>
    <row r="18" spans="4:13">
      <c r="D18" s="450" t="s">
        <v>318</v>
      </c>
      <c r="E18" s="308">
        <v>60</v>
      </c>
      <c r="F18" s="308">
        <v>20</v>
      </c>
      <c r="G18" s="308">
        <v>35</v>
      </c>
    </row>
    <row r="19" spans="4:13">
      <c r="D19" s="450" t="s">
        <v>303</v>
      </c>
      <c r="E19" s="308">
        <v>10</v>
      </c>
      <c r="F19" s="308">
        <v>3</v>
      </c>
      <c r="G19" s="308">
        <v>5</v>
      </c>
    </row>
    <row r="20" spans="4:13">
      <c r="D20" s="450" t="s">
        <v>447</v>
      </c>
      <c r="E20" s="308">
        <v>2</v>
      </c>
      <c r="F20" s="308">
        <v>2</v>
      </c>
      <c r="G20" s="308">
        <v>2</v>
      </c>
    </row>
    <row r="21" spans="4:13">
      <c r="D21" s="450" t="s">
        <v>317</v>
      </c>
      <c r="E21" s="308">
        <v>3</v>
      </c>
      <c r="F21" s="308">
        <v>3</v>
      </c>
      <c r="G21" s="308">
        <v>3</v>
      </c>
    </row>
    <row r="22" spans="4:13" s="24" customFormat="1">
      <c r="D22" s="295" t="s">
        <v>305</v>
      </c>
      <c r="E22" s="1125">
        <v>0.1</v>
      </c>
      <c r="F22" s="1125">
        <v>0.1</v>
      </c>
      <c r="G22" s="1125">
        <v>0.1</v>
      </c>
      <c r="H22" s="295"/>
      <c r="I22" s="300"/>
      <c r="J22" s="319"/>
      <c r="K22" s="300"/>
      <c r="L22" s="300"/>
      <c r="M22" s="300"/>
    </row>
    <row r="23" spans="4:13">
      <c r="D23" s="469" t="s">
        <v>230</v>
      </c>
      <c r="E23" s="472">
        <f>SUM(E17:E22)</f>
        <v>125.1</v>
      </c>
      <c r="F23" s="472">
        <f t="shared" ref="F23:G23" si="0">SUM(F17:F22)</f>
        <v>48.1</v>
      </c>
      <c r="G23" s="472">
        <f t="shared" si="0"/>
        <v>125.1</v>
      </c>
      <c r="H23" s="300"/>
    </row>
    <row r="24" spans="4:13" s="24" customFormat="1">
      <c r="D24" s="450"/>
      <c r="E24" s="450"/>
      <c r="F24" s="450"/>
      <c r="G24" s="450"/>
      <c r="H24" s="295"/>
      <c r="I24" s="300"/>
      <c r="J24" s="319"/>
      <c r="K24" s="300"/>
      <c r="L24" s="300"/>
      <c r="M24" s="300"/>
    </row>
    <row r="25" spans="4:13">
      <c r="D25" s="469" t="s">
        <v>11</v>
      </c>
      <c r="E25" s="472">
        <f>E15-E23</f>
        <v>244.9</v>
      </c>
      <c r="F25" s="472">
        <f>F15-F23</f>
        <v>151.9</v>
      </c>
      <c r="G25" s="472">
        <f>G15-G23</f>
        <v>374.9</v>
      </c>
      <c r="H25" s="300"/>
    </row>
    <row r="26" spans="4:13">
      <c r="D26" s="450" t="s">
        <v>231</v>
      </c>
      <c r="E26" s="473">
        <f>E25/E15</f>
        <v>0.6618918918918919</v>
      </c>
      <c r="F26" s="473">
        <f>F25/F15</f>
        <v>0.75950000000000006</v>
      </c>
      <c r="G26" s="473">
        <f>G25/G15</f>
        <v>0.74979999999999991</v>
      </c>
      <c r="H26" s="300"/>
    </row>
    <row r="27" spans="4:13">
      <c r="D27" s="450"/>
      <c r="E27" s="473"/>
      <c r="F27" s="473"/>
      <c r="G27" s="473"/>
      <c r="H27" s="300"/>
    </row>
    <row r="28" spans="4:13" ht="44.55" customHeight="1">
      <c r="D28" s="404">
        <v>2025</v>
      </c>
      <c r="E28" s="301"/>
      <c r="F28" s="301"/>
      <c r="G28" s="301"/>
      <c r="H28" s="300"/>
    </row>
    <row r="29" spans="4:13" s="452" customFormat="1" ht="13.2" customHeight="1">
      <c r="D29" s="453"/>
      <c r="E29" s="456"/>
      <c r="F29" s="456"/>
      <c r="G29" s="456"/>
      <c r="H29" s="457"/>
      <c r="I29" s="454"/>
      <c r="J29" s="455"/>
      <c r="K29" s="454"/>
      <c r="L29" s="454"/>
      <c r="M29" s="454"/>
    </row>
    <row r="30" spans="4:13" ht="16.2" thickBot="1"/>
    <row r="31" spans="4:13" s="179" customFormat="1" ht="22.2" thickTop="1" thickBot="1">
      <c r="D31" s="409" t="s">
        <v>307</v>
      </c>
      <c r="E31" s="405" t="s">
        <v>298</v>
      </c>
      <c r="F31" s="405" t="s">
        <v>299</v>
      </c>
      <c r="G31" s="406" t="s">
        <v>300</v>
      </c>
      <c r="H31" s="305"/>
      <c r="I31" s="305"/>
      <c r="J31" s="401"/>
      <c r="K31" s="305"/>
      <c r="L31" s="305"/>
      <c r="M31" s="305"/>
    </row>
    <row r="32" spans="4:13" s="179" customFormat="1" ht="16.2" thickTop="1">
      <c r="D32" s="450"/>
      <c r="E32" s="468"/>
      <c r="F32" s="468"/>
      <c r="G32" s="450"/>
      <c r="H32" s="295"/>
      <c r="I32" s="305"/>
      <c r="J32" s="401"/>
      <c r="K32" s="305"/>
      <c r="L32" s="305"/>
      <c r="M32" s="305"/>
    </row>
    <row r="33" spans="4:13">
      <c r="D33" s="469" t="s">
        <v>228</v>
      </c>
      <c r="E33" s="470">
        <f>E34+E35</f>
        <v>457.32000000000005</v>
      </c>
      <c r="F33" s="470">
        <f t="shared" ref="F33" si="1">F34+F35</f>
        <v>247.2</v>
      </c>
      <c r="G33" s="470">
        <f>G34+G35</f>
        <v>618</v>
      </c>
    </row>
    <row r="34" spans="4:13">
      <c r="D34" s="450" t="s">
        <v>177</v>
      </c>
      <c r="E34" s="468">
        <f>E35*$E$7</f>
        <v>76.220000000000013</v>
      </c>
      <c r="F34" s="468">
        <f>F35*$E$7</f>
        <v>41.2</v>
      </c>
      <c r="G34" s="468">
        <f>G35*$E$7</f>
        <v>103</v>
      </c>
    </row>
    <row r="35" spans="4:13">
      <c r="D35" s="469" t="s">
        <v>229</v>
      </c>
      <c r="E35" s="470">
        <f>E15+(E15*$G$7)</f>
        <v>381.1</v>
      </c>
      <c r="F35" s="470">
        <f>F15+(F15*$G$7)</f>
        <v>206</v>
      </c>
      <c r="G35" s="470">
        <f>G15+(G15*$G$7)</f>
        <v>515</v>
      </c>
    </row>
    <row r="36" spans="4:13">
      <c r="D36" s="469"/>
      <c r="E36" s="470"/>
      <c r="F36" s="470"/>
      <c r="G36" s="470"/>
    </row>
    <row r="37" spans="4:13">
      <c r="D37" s="450" t="s">
        <v>301</v>
      </c>
      <c r="E37" s="471">
        <f t="shared" ref="E37:E41" si="2">E17+(E17*$G$7)</f>
        <v>51.5</v>
      </c>
      <c r="F37" s="471">
        <f t="shared" ref="F37" si="3">F17+(F17*$G$7)</f>
        <v>20.6</v>
      </c>
      <c r="G37" s="471">
        <f>G17+(G17*$G$7)</f>
        <v>82.4</v>
      </c>
    </row>
    <row r="38" spans="4:13">
      <c r="D38" s="450" t="s">
        <v>318</v>
      </c>
      <c r="E38" s="471">
        <f t="shared" si="2"/>
        <v>61.8</v>
      </c>
      <c r="F38" s="471">
        <f>F18+(F18*$G$7)</f>
        <v>20.6</v>
      </c>
      <c r="G38" s="471">
        <f>G18+(G18*$G$7)</f>
        <v>36.049999999999997</v>
      </c>
    </row>
    <row r="39" spans="4:13">
      <c r="D39" s="450" t="s">
        <v>303</v>
      </c>
      <c r="E39" s="471">
        <f t="shared" si="2"/>
        <v>10.3</v>
      </c>
      <c r="F39" s="471">
        <f>F19+(F19*$G$7)</f>
        <v>3.09</v>
      </c>
      <c r="G39" s="471">
        <f>G19+(G19*$G$7)</f>
        <v>5.15</v>
      </c>
    </row>
    <row r="40" spans="4:13">
      <c r="D40" s="450" t="s">
        <v>447</v>
      </c>
      <c r="E40" s="471">
        <f t="shared" si="2"/>
        <v>2.06</v>
      </c>
      <c r="F40" s="471">
        <f>F20+(F20*$G$7)</f>
        <v>2.06</v>
      </c>
      <c r="G40" s="471">
        <f>G20+(G20*$G$7)</f>
        <v>2.06</v>
      </c>
    </row>
    <row r="41" spans="4:13">
      <c r="D41" s="450" t="s">
        <v>317</v>
      </c>
      <c r="E41" s="471">
        <f t="shared" si="2"/>
        <v>3.09</v>
      </c>
      <c r="F41" s="471">
        <f>F21+(F21*$G$7)</f>
        <v>3.09</v>
      </c>
      <c r="G41" s="471">
        <f>G21+(G21*$G$7)</f>
        <v>3.09</v>
      </c>
    </row>
    <row r="42" spans="4:13">
      <c r="D42" s="295" t="s">
        <v>305</v>
      </c>
      <c r="E42" s="298">
        <v>0.1</v>
      </c>
      <c r="F42" s="298">
        <v>0.1</v>
      </c>
      <c r="G42" s="298">
        <v>0.1</v>
      </c>
      <c r="H42" s="300"/>
    </row>
    <row r="43" spans="4:13" s="24" customFormat="1">
      <c r="D43" s="469" t="s">
        <v>230</v>
      </c>
      <c r="E43" s="472">
        <f>SUM(E37:E42)</f>
        <v>128.85</v>
      </c>
      <c r="F43" s="472">
        <f>SUM(F37:F42)</f>
        <v>49.540000000000013</v>
      </c>
      <c r="G43" s="472">
        <f>SUM(G37:G42)</f>
        <v>128.85</v>
      </c>
      <c r="H43" s="295"/>
      <c r="I43" s="300"/>
      <c r="J43" s="319"/>
      <c r="K43" s="300"/>
      <c r="L43" s="300"/>
      <c r="M43" s="300"/>
    </row>
    <row r="44" spans="4:13">
      <c r="D44" s="450"/>
      <c r="E44" s="450"/>
      <c r="F44" s="450"/>
      <c r="G44" s="450"/>
      <c r="H44" s="300"/>
    </row>
    <row r="45" spans="4:13" s="24" customFormat="1">
      <c r="D45" s="469" t="s">
        <v>11</v>
      </c>
      <c r="E45" s="472">
        <f>E35-E43</f>
        <v>252.25000000000003</v>
      </c>
      <c r="F45" s="472">
        <f>F35-F43</f>
        <v>156.45999999999998</v>
      </c>
      <c r="G45" s="472">
        <f>G35-G43</f>
        <v>386.15</v>
      </c>
      <c r="H45" s="295"/>
      <c r="I45" s="300"/>
      <c r="J45" s="319"/>
      <c r="K45" s="300"/>
      <c r="L45" s="300"/>
      <c r="M45" s="300"/>
    </row>
    <row r="46" spans="4:13">
      <c r="D46" s="450" t="s">
        <v>231</v>
      </c>
      <c r="E46" s="473">
        <f>E45/E35</f>
        <v>0.6618997638415115</v>
      </c>
      <c r="F46" s="473">
        <f>F45/F35</f>
        <v>0.75951456310679599</v>
      </c>
      <c r="G46" s="473">
        <f>G45/G35</f>
        <v>0.74980582524271844</v>
      </c>
    </row>
    <row r="49" spans="4:37" ht="46.2">
      <c r="D49" s="404">
        <v>2026</v>
      </c>
    </row>
    <row r="50" spans="4:37" s="452" customFormat="1" ht="10.8" customHeight="1">
      <c r="D50" s="453"/>
      <c r="E50" s="454"/>
      <c r="F50" s="454"/>
      <c r="G50" s="454"/>
      <c r="H50" s="454"/>
      <c r="I50" s="454"/>
      <c r="J50" s="455"/>
      <c r="K50" s="454"/>
      <c r="L50" s="454"/>
      <c r="M50" s="454"/>
    </row>
    <row r="51" spans="4:37" ht="16.2" thickBot="1">
      <c r="D51" s="407"/>
      <c r="E51" s="407"/>
      <c r="F51" s="408"/>
      <c r="G51" s="408"/>
      <c r="J51" s="295"/>
      <c r="K51" s="315"/>
      <c r="N51" s="295"/>
      <c r="O51" s="295"/>
      <c r="X51" s="295"/>
      <c r="Y51" s="295"/>
      <c r="AA51" s="295"/>
      <c r="AC51" s="295"/>
      <c r="AD51" s="295"/>
      <c r="AF51" s="295"/>
    </row>
    <row r="52" spans="4:37" ht="22.2" thickTop="1" thickBot="1">
      <c r="D52" s="409" t="s">
        <v>307</v>
      </c>
      <c r="E52" s="405" t="s">
        <v>298</v>
      </c>
      <c r="F52" s="405" t="s">
        <v>299</v>
      </c>
      <c r="G52" s="406" t="s">
        <v>300</v>
      </c>
      <c r="J52" s="305"/>
      <c r="K52" s="462" t="s">
        <v>319</v>
      </c>
      <c r="L52" s="463" t="s">
        <v>298</v>
      </c>
      <c r="M52" s="463" t="s">
        <v>299</v>
      </c>
      <c r="N52" s="464" t="s">
        <v>300</v>
      </c>
      <c r="O52" s="305"/>
      <c r="W52" s="300" t="s">
        <v>228</v>
      </c>
      <c r="X52" s="306">
        <f>X53+X54</f>
        <v>240</v>
      </c>
      <c r="Y52" s="306">
        <f>Y53+Y54</f>
        <v>180</v>
      </c>
      <c r="Z52" s="306">
        <f>Z53+Z54</f>
        <v>84</v>
      </c>
      <c r="AA52" s="306">
        <f>AA53+AA54</f>
        <v>360</v>
      </c>
      <c r="AC52" s="306">
        <f>AC53+AC54</f>
        <v>247.2</v>
      </c>
      <c r="AD52" s="306">
        <f>AD53+AD54</f>
        <v>185.4</v>
      </c>
      <c r="AE52" s="306">
        <f>AE53+AE54</f>
        <v>86.52</v>
      </c>
      <c r="AF52" s="306">
        <f>AF53+AF54</f>
        <v>370.8</v>
      </c>
      <c r="AH52" s="306">
        <f>AH53+AH54</f>
        <v>254.61600000000001</v>
      </c>
      <c r="AI52" s="306">
        <f>AI53+AI54</f>
        <v>190.96199999999999</v>
      </c>
      <c r="AJ52" s="306">
        <f>AJ53+AJ54</f>
        <v>89.115599999999986</v>
      </c>
      <c r="AK52" s="306">
        <f>AK53+AK54</f>
        <v>381.92399999999998</v>
      </c>
    </row>
    <row r="53" spans="4:37" ht="16.2" thickTop="1">
      <c r="E53" s="293"/>
      <c r="F53" s="294"/>
      <c r="J53" s="305"/>
      <c r="K53" s="401"/>
      <c r="L53" s="305"/>
      <c r="M53" s="305"/>
      <c r="N53" s="305"/>
      <c r="O53" s="305"/>
      <c r="W53" s="295" t="s">
        <v>177</v>
      </c>
      <c r="X53" s="307">
        <f>X54*$E$7</f>
        <v>40</v>
      </c>
      <c r="Y53" s="307">
        <f>Y54*$E$7</f>
        <v>30</v>
      </c>
      <c r="Z53" s="307">
        <f>Z54*$E$7</f>
        <v>14</v>
      </c>
      <c r="AA53" s="307">
        <f>AA54*$E$7</f>
        <v>60</v>
      </c>
      <c r="AC53" s="307">
        <f>AC54*$E$7</f>
        <v>41.2</v>
      </c>
      <c r="AD53" s="307">
        <f>AD54*$E$7</f>
        <v>30.900000000000002</v>
      </c>
      <c r="AE53" s="307">
        <f>AE54*$E$7</f>
        <v>14.42</v>
      </c>
      <c r="AF53" s="307">
        <f>AF54*$E$7</f>
        <v>61.800000000000004</v>
      </c>
      <c r="AH53" s="307">
        <f>AH54*$E$7</f>
        <v>42.436000000000007</v>
      </c>
      <c r="AI53" s="307">
        <f>AI54*$E$7</f>
        <v>31.826999999999998</v>
      </c>
      <c r="AJ53" s="307">
        <f>AJ54*$E$7</f>
        <v>14.852599999999999</v>
      </c>
      <c r="AK53" s="307">
        <f>AK54*$E$7</f>
        <v>63.653999999999996</v>
      </c>
    </row>
    <row r="54" spans="4:37">
      <c r="D54" s="300" t="s">
        <v>228</v>
      </c>
      <c r="E54" s="296">
        <f>E55+E56</f>
        <v>466.46640000000002</v>
      </c>
      <c r="F54" s="296">
        <f t="shared" ref="F54" si="4">F55+F56</f>
        <v>252.14400000000001</v>
      </c>
      <c r="G54" s="296">
        <f>G55+G56</f>
        <v>630.3599999999999</v>
      </c>
      <c r="J54" s="295"/>
      <c r="K54" s="319" t="s">
        <v>228</v>
      </c>
      <c r="L54" s="296">
        <f>L55+L56</f>
        <v>466.46640000000002</v>
      </c>
      <c r="M54" s="296">
        <f>M55+M56</f>
        <v>252.14400000000001</v>
      </c>
      <c r="N54" s="296">
        <f>N55+N56</f>
        <v>630.3599999999999</v>
      </c>
      <c r="O54" s="295"/>
      <c r="W54" s="300" t="s">
        <v>229</v>
      </c>
      <c r="X54" s="308">
        <v>200</v>
      </c>
      <c r="Y54" s="308">
        <v>150</v>
      </c>
      <c r="Z54" s="308">
        <v>70</v>
      </c>
      <c r="AA54" s="308">
        <v>300</v>
      </c>
      <c r="AC54" s="309">
        <f>X54+(X54*$G$7)</f>
        <v>206</v>
      </c>
      <c r="AD54" s="309">
        <f>Y54+(Y54*$G$7)</f>
        <v>154.5</v>
      </c>
      <c r="AE54" s="309">
        <f>Z54+(Z54*$G$7)</f>
        <v>72.099999999999994</v>
      </c>
      <c r="AF54" s="309">
        <f>AA54+(AA54*$G$7)</f>
        <v>309</v>
      </c>
      <c r="AH54" s="309">
        <f>AC54+(AC54*$G$7)</f>
        <v>212.18</v>
      </c>
      <c r="AI54" s="309">
        <f>AD54+(AD54*$G$7)</f>
        <v>159.13499999999999</v>
      </c>
      <c r="AJ54" s="309">
        <f>AE54+(AE54*$G$7)</f>
        <v>74.262999999999991</v>
      </c>
      <c r="AK54" s="309">
        <f>AF54+(AF54*$G$7)</f>
        <v>318.27</v>
      </c>
    </row>
    <row r="55" spans="4:37">
      <c r="D55" s="295" t="s">
        <v>177</v>
      </c>
      <c r="E55" s="294">
        <f>E56*$E$7</f>
        <v>77.744400000000013</v>
      </c>
      <c r="F55" s="294">
        <f>F56*$E$7</f>
        <v>42.024000000000001</v>
      </c>
      <c r="G55" s="294">
        <f>G56*$E$7</f>
        <v>105.06</v>
      </c>
      <c r="J55" s="295"/>
      <c r="K55" s="315" t="s">
        <v>177</v>
      </c>
      <c r="L55" s="294">
        <f>L56*$E$7</f>
        <v>77.744400000000013</v>
      </c>
      <c r="M55" s="294">
        <f>M56*$E$7</f>
        <v>42.024000000000001</v>
      </c>
      <c r="N55" s="294">
        <f>N56*$E$7</f>
        <v>105.06</v>
      </c>
      <c r="O55" s="295"/>
      <c r="W55" s="295"/>
      <c r="X55" s="309"/>
      <c r="Y55" s="309"/>
      <c r="AA55" s="310"/>
      <c r="AC55" s="309"/>
      <c r="AD55" s="309"/>
      <c r="AF55" s="310"/>
      <c r="AH55" s="309"/>
      <c r="AI55" s="309"/>
      <c r="AK55" s="310"/>
    </row>
    <row r="56" spans="4:37">
      <c r="D56" s="300" t="s">
        <v>229</v>
      </c>
      <c r="E56" s="296">
        <f>E35+($H$7*E35)</f>
        <v>388.72200000000004</v>
      </c>
      <c r="F56" s="296">
        <f>F35+($H$7*F35)</f>
        <v>210.12</v>
      </c>
      <c r="G56" s="296">
        <f>G35+($H$7*G35)</f>
        <v>525.29999999999995</v>
      </c>
      <c r="J56" s="295"/>
      <c r="K56" s="319" t="s">
        <v>229</v>
      </c>
      <c r="L56" s="297">
        <f>E56</f>
        <v>388.72200000000004</v>
      </c>
      <c r="M56" s="297">
        <f t="shared" ref="M56:N56" si="5">F56</f>
        <v>210.12</v>
      </c>
      <c r="N56" s="297">
        <f t="shared" si="5"/>
        <v>525.29999999999995</v>
      </c>
      <c r="O56" s="295"/>
      <c r="W56" s="295" t="s">
        <v>309</v>
      </c>
      <c r="X56" s="311">
        <v>20</v>
      </c>
      <c r="Y56" s="311">
        <v>10</v>
      </c>
      <c r="Z56" s="311">
        <v>10</v>
      </c>
      <c r="AA56" s="311">
        <v>30</v>
      </c>
      <c r="AC56" s="314">
        <v>20</v>
      </c>
      <c r="AD56" s="314">
        <v>10</v>
      </c>
      <c r="AE56" s="314">
        <v>10</v>
      </c>
      <c r="AF56" s="314">
        <v>30</v>
      </c>
      <c r="AH56" s="314">
        <v>20</v>
      </c>
      <c r="AI56" s="314">
        <v>10</v>
      </c>
      <c r="AJ56" s="314">
        <v>10</v>
      </c>
      <c r="AK56" s="314">
        <v>30</v>
      </c>
    </row>
    <row r="57" spans="4:37">
      <c r="D57" s="300"/>
      <c r="E57" s="296"/>
      <c r="F57" s="296"/>
      <c r="G57" s="296"/>
      <c r="J57" s="295"/>
      <c r="K57" s="319"/>
      <c r="L57" s="296"/>
      <c r="M57" s="296"/>
      <c r="N57" s="296"/>
      <c r="O57" s="295"/>
      <c r="W57" s="295" t="s">
        <v>308</v>
      </c>
      <c r="X57" s="312">
        <v>10</v>
      </c>
      <c r="Y57" s="312">
        <v>10</v>
      </c>
      <c r="Z57" s="312">
        <v>10</v>
      </c>
      <c r="AA57" s="312">
        <v>10</v>
      </c>
      <c r="AC57" s="310">
        <v>10</v>
      </c>
      <c r="AD57" s="310">
        <v>10</v>
      </c>
      <c r="AE57" s="310">
        <v>10</v>
      </c>
      <c r="AF57" s="310">
        <v>10</v>
      </c>
      <c r="AH57" s="310">
        <v>10</v>
      </c>
      <c r="AI57" s="310">
        <v>10</v>
      </c>
      <c r="AJ57" s="310">
        <v>10</v>
      </c>
      <c r="AK57" s="310">
        <v>10</v>
      </c>
    </row>
    <row r="58" spans="4:37">
      <c r="D58" s="295" t="s">
        <v>301</v>
      </c>
      <c r="E58" s="302">
        <f t="shared" ref="E58:G59" si="6">E37+(E37*$H$7)</f>
        <v>52.53</v>
      </c>
      <c r="F58" s="302">
        <f t="shared" si="6"/>
        <v>21.012</v>
      </c>
      <c r="G58" s="302">
        <f t="shared" si="6"/>
        <v>84.048000000000002</v>
      </c>
      <c r="J58" s="295"/>
      <c r="K58" s="315" t="s">
        <v>301</v>
      </c>
      <c r="L58" s="298">
        <v>50</v>
      </c>
      <c r="M58" s="298">
        <v>20</v>
      </c>
      <c r="N58" s="298">
        <v>70</v>
      </c>
      <c r="O58" s="295"/>
      <c r="W58" s="292"/>
      <c r="X58" s="313"/>
      <c r="Y58" s="313"/>
      <c r="Z58" s="313"/>
      <c r="AA58" s="313"/>
      <c r="AC58" s="313"/>
      <c r="AD58" s="313"/>
      <c r="AE58" s="313"/>
      <c r="AF58" s="313"/>
      <c r="AH58" s="313"/>
      <c r="AI58" s="313"/>
      <c r="AJ58" s="313"/>
      <c r="AK58" s="313"/>
    </row>
    <row r="59" spans="4:37">
      <c r="D59" s="295" t="s">
        <v>318</v>
      </c>
      <c r="E59" s="302">
        <f t="shared" si="6"/>
        <v>63.035999999999994</v>
      </c>
      <c r="F59" s="302">
        <f t="shared" si="6"/>
        <v>21.012</v>
      </c>
      <c r="G59" s="302">
        <f t="shared" si="6"/>
        <v>36.770999999999994</v>
      </c>
      <c r="J59" s="295"/>
      <c r="K59" s="315" t="s">
        <v>302</v>
      </c>
      <c r="L59" s="298">
        <v>20</v>
      </c>
      <c r="M59" s="298">
        <v>20</v>
      </c>
      <c r="N59" s="298">
        <v>35</v>
      </c>
      <c r="O59" s="295"/>
      <c r="W59" s="292"/>
      <c r="X59" s="313"/>
      <c r="Y59" s="313"/>
      <c r="Z59" s="313"/>
      <c r="AA59" s="313"/>
      <c r="AC59" s="313"/>
      <c r="AD59" s="313"/>
      <c r="AE59" s="313"/>
      <c r="AF59" s="313"/>
      <c r="AH59" s="313"/>
      <c r="AI59" s="313"/>
      <c r="AJ59" s="313"/>
      <c r="AK59" s="313"/>
    </row>
    <row r="60" spans="4:37">
      <c r="D60" s="295" t="s">
        <v>303</v>
      </c>
      <c r="E60" s="302">
        <f>E39+(E39*$H$7)</f>
        <v>10.506</v>
      </c>
      <c r="F60" s="302">
        <f t="shared" ref="F60:G60" si="7">F39+(F39*$H$7)</f>
        <v>3.1517999999999997</v>
      </c>
      <c r="G60" s="302">
        <f t="shared" si="7"/>
        <v>5.2530000000000001</v>
      </c>
      <c r="J60" s="295"/>
      <c r="K60" s="315" t="s">
        <v>303</v>
      </c>
      <c r="L60" s="298">
        <v>10</v>
      </c>
      <c r="M60" s="298">
        <v>3</v>
      </c>
      <c r="N60" s="298">
        <v>5</v>
      </c>
      <c r="O60" s="295"/>
      <c r="W60" s="292"/>
      <c r="X60" s="313"/>
      <c r="Y60" s="313"/>
      <c r="Z60" s="313"/>
      <c r="AA60" s="313"/>
      <c r="AC60" s="313"/>
      <c r="AD60" s="313"/>
      <c r="AE60" s="313"/>
      <c r="AF60" s="313"/>
      <c r="AH60" s="313"/>
      <c r="AI60" s="313"/>
      <c r="AJ60" s="313"/>
      <c r="AK60" s="313"/>
    </row>
    <row r="61" spans="4:37">
      <c r="D61" s="295" t="str">
        <f>D40</f>
        <v>Complementary Keyring</v>
      </c>
      <c r="E61" s="302">
        <f>E40+(E40*$H$7)</f>
        <v>2.1012</v>
      </c>
      <c r="F61" s="302">
        <f t="shared" ref="F61:G61" si="8">F40+(F40*$H$7)</f>
        <v>2.1012</v>
      </c>
      <c r="G61" s="302">
        <f t="shared" si="8"/>
        <v>2.1012</v>
      </c>
      <c r="J61" s="295"/>
      <c r="K61" s="295" t="s">
        <v>304</v>
      </c>
      <c r="L61" s="302">
        <v>80</v>
      </c>
      <c r="M61" s="302">
        <v>50</v>
      </c>
      <c r="N61" s="302">
        <v>100</v>
      </c>
      <c r="O61" s="295"/>
      <c r="W61" s="292"/>
      <c r="X61" s="313"/>
      <c r="Y61" s="313"/>
      <c r="Z61" s="313"/>
      <c r="AA61" s="313"/>
      <c r="AC61" s="313"/>
      <c r="AD61" s="313"/>
      <c r="AE61" s="313"/>
      <c r="AF61" s="313"/>
      <c r="AH61" s="313"/>
      <c r="AI61" s="313"/>
      <c r="AJ61" s="313"/>
      <c r="AK61" s="313"/>
    </row>
    <row r="62" spans="4:37">
      <c r="D62" s="295" t="s">
        <v>317</v>
      </c>
      <c r="E62" s="302">
        <f t="shared" ref="E62:G62" si="9">E41+(E41*$H$7)</f>
        <v>3.1517999999999997</v>
      </c>
      <c r="F62" s="302">
        <f t="shared" si="9"/>
        <v>3.1517999999999997</v>
      </c>
      <c r="G62" s="302">
        <f t="shared" si="9"/>
        <v>3.1517999999999997</v>
      </c>
      <c r="J62" s="295"/>
      <c r="K62" s="295" t="s">
        <v>448</v>
      </c>
      <c r="L62" s="302">
        <v>3</v>
      </c>
      <c r="M62" s="302">
        <v>3</v>
      </c>
      <c r="N62" s="302">
        <v>3</v>
      </c>
      <c r="O62" s="295"/>
      <c r="W62" s="292"/>
      <c r="X62" s="313"/>
      <c r="Y62" s="313"/>
      <c r="Z62" s="313"/>
      <c r="AA62" s="313"/>
      <c r="AC62" s="313"/>
      <c r="AD62" s="313"/>
      <c r="AE62" s="313"/>
      <c r="AF62" s="313"/>
      <c r="AH62" s="313"/>
      <c r="AI62" s="313"/>
      <c r="AJ62" s="313"/>
      <c r="AK62" s="313"/>
    </row>
    <row r="63" spans="4:37">
      <c r="D63" s="295" t="s">
        <v>305</v>
      </c>
      <c r="E63" s="298">
        <v>0.1</v>
      </c>
      <c r="F63" s="298">
        <v>0.1</v>
      </c>
      <c r="G63" s="298">
        <v>0.1</v>
      </c>
      <c r="J63" s="295"/>
      <c r="K63" s="319" t="s">
        <v>230</v>
      </c>
      <c r="L63" s="299">
        <f>SUM(L58:L62)</f>
        <v>163</v>
      </c>
      <c r="M63" s="299">
        <f>SUM(M58:M62)</f>
        <v>96</v>
      </c>
      <c r="N63" s="299">
        <f>SUM(N58:N62)</f>
        <v>213</v>
      </c>
      <c r="O63" s="295"/>
      <c r="W63" s="292"/>
      <c r="X63" s="313"/>
      <c r="Y63" s="313"/>
      <c r="Z63" s="313"/>
      <c r="AA63" s="313"/>
      <c r="AC63" s="313"/>
      <c r="AD63" s="313"/>
      <c r="AE63" s="313"/>
      <c r="AF63" s="313"/>
      <c r="AH63" s="313"/>
      <c r="AI63" s="313"/>
      <c r="AJ63" s="313"/>
      <c r="AK63" s="313"/>
    </row>
    <row r="64" spans="4:37">
      <c r="J64" s="295"/>
      <c r="K64" s="315"/>
      <c r="N64" s="295"/>
      <c r="O64" s="300"/>
      <c r="W64" s="292"/>
      <c r="X64" s="313"/>
      <c r="Y64" s="313"/>
      <c r="Z64" s="313"/>
      <c r="AA64" s="313"/>
      <c r="AC64" s="313"/>
      <c r="AD64" s="313"/>
      <c r="AE64" s="313"/>
      <c r="AF64" s="313"/>
      <c r="AH64" s="313"/>
      <c r="AI64" s="313"/>
      <c r="AJ64" s="313"/>
      <c r="AK64" s="313"/>
    </row>
    <row r="65" spans="4:37">
      <c r="D65" s="300" t="s">
        <v>230</v>
      </c>
      <c r="E65" s="299">
        <f>SUM(E58:E63)</f>
        <v>131.42500000000001</v>
      </c>
      <c r="F65" s="299">
        <f t="shared" ref="F65:G65" si="10">SUM(F58:F63)</f>
        <v>50.528800000000004</v>
      </c>
      <c r="G65" s="299">
        <f t="shared" si="10"/>
        <v>131.42499999999998</v>
      </c>
      <c r="J65" s="300"/>
      <c r="K65" s="319" t="s">
        <v>11</v>
      </c>
      <c r="L65" s="299">
        <f>L56-L63</f>
        <v>225.72200000000004</v>
      </c>
      <c r="M65" s="299">
        <f>M56-M63</f>
        <v>114.12</v>
      </c>
      <c r="N65" s="299">
        <f>N56-N63</f>
        <v>312.29999999999995</v>
      </c>
      <c r="O65" s="295"/>
      <c r="W65" s="292"/>
      <c r="X65" s="313"/>
      <c r="Y65" s="313"/>
      <c r="Z65" s="313"/>
      <c r="AA65" s="313"/>
      <c r="AC65" s="313"/>
      <c r="AD65" s="313"/>
      <c r="AE65" s="313"/>
      <c r="AF65" s="313"/>
      <c r="AH65" s="313"/>
      <c r="AI65" s="313"/>
      <c r="AJ65" s="313"/>
      <c r="AK65" s="313"/>
    </row>
    <row r="66" spans="4:37">
      <c r="J66" s="295"/>
      <c r="K66" s="315" t="s">
        <v>231</v>
      </c>
      <c r="L66" s="301">
        <f>L65/L56</f>
        <v>0.58067719346988345</v>
      </c>
      <c r="M66" s="301">
        <f>M65/M56</f>
        <v>0.54311821816105088</v>
      </c>
      <c r="N66" s="301">
        <f>N65/N56</f>
        <v>0.59451741861793261</v>
      </c>
      <c r="O66" s="300"/>
      <c r="W66" s="295"/>
    </row>
    <row r="67" spans="4:37">
      <c r="D67" s="300" t="s">
        <v>11</v>
      </c>
      <c r="E67" s="299">
        <f>E56-E65</f>
        <v>257.29700000000003</v>
      </c>
      <c r="F67" s="299">
        <f>F56-F65</f>
        <v>159.59120000000001</v>
      </c>
      <c r="G67" s="299">
        <f>G56-G65</f>
        <v>393.875</v>
      </c>
      <c r="J67" s="300"/>
      <c r="O67" s="295"/>
    </row>
    <row r="68" spans="4:37">
      <c r="D68" s="295" t="s">
        <v>231</v>
      </c>
      <c r="E68" s="301">
        <f>E67/E56</f>
        <v>0.66190490890662224</v>
      </c>
      <c r="F68" s="301">
        <f>F67/F56</f>
        <v>0.75952408147725115</v>
      </c>
      <c r="G68" s="301">
        <f>G67/G56</f>
        <v>0.7498096325909005</v>
      </c>
      <c r="J68" s="300"/>
      <c r="K68" s="315"/>
      <c r="L68" s="301"/>
      <c r="M68" s="301"/>
      <c r="N68" s="301"/>
      <c r="O68" s="295"/>
    </row>
    <row r="69" spans="4:37">
      <c r="E69" s="301"/>
      <c r="F69" s="301"/>
      <c r="G69" s="301"/>
      <c r="I69" s="300"/>
      <c r="K69" s="301"/>
      <c r="L69" s="301"/>
      <c r="M69" s="301"/>
      <c r="N69" s="295"/>
      <c r="O69" s="295"/>
    </row>
    <row r="70" spans="4:37">
      <c r="W70" s="300" t="s">
        <v>230</v>
      </c>
      <c r="X70" s="299">
        <f>SUM(X55:X58)</f>
        <v>30</v>
      </c>
      <c r="Y70" s="299">
        <f>SUM(Y55:Y58)</f>
        <v>20</v>
      </c>
      <c r="Z70" s="299">
        <f>SUM(Z55:Z58)</f>
        <v>20</v>
      </c>
      <c r="AA70" s="299">
        <f>SUM(AA55:AA58)</f>
        <v>40</v>
      </c>
      <c r="AC70" s="299">
        <f>SUM(AC55:AC58)</f>
        <v>30</v>
      </c>
      <c r="AD70" s="299">
        <f>SUM(AD55:AD58)</f>
        <v>20</v>
      </c>
      <c r="AE70" s="299">
        <f>SUM(AE55:AE58)</f>
        <v>20</v>
      </c>
      <c r="AF70" s="299">
        <f>SUM(AF55:AF58)</f>
        <v>40</v>
      </c>
      <c r="AH70" s="299">
        <f>SUM(AH55:AH58)</f>
        <v>30</v>
      </c>
      <c r="AI70" s="299">
        <f>SUM(AI55:AI58)</f>
        <v>20</v>
      </c>
      <c r="AJ70" s="299">
        <f>SUM(AJ55:AJ58)</f>
        <v>20</v>
      </c>
      <c r="AK70" s="299">
        <f>SUM(AK55:AK58)</f>
        <v>40</v>
      </c>
    </row>
    <row r="71" spans="4:37" ht="46.2">
      <c r="D71" s="404" t="s">
        <v>436</v>
      </c>
      <c r="I71" s="315"/>
      <c r="J71" s="295"/>
      <c r="M71" s="6"/>
      <c r="W71" s="295"/>
      <c r="X71" s="295"/>
      <c r="Y71" s="295"/>
      <c r="Z71" s="295"/>
      <c r="AA71" s="295"/>
      <c r="AC71" s="295"/>
      <c r="AD71" s="295"/>
      <c r="AE71" s="295"/>
      <c r="AF71" s="295"/>
      <c r="AH71" s="295"/>
      <c r="AI71" s="295"/>
      <c r="AJ71" s="295"/>
      <c r="AK71" s="295"/>
    </row>
    <row r="72" spans="4:37" s="452" customFormat="1" ht="11.55" customHeight="1">
      <c r="D72" s="453"/>
      <c r="E72" s="454"/>
      <c r="F72" s="454"/>
      <c r="G72" s="454"/>
      <c r="H72" s="454"/>
      <c r="I72" s="455"/>
      <c r="J72" s="454"/>
      <c r="K72" s="454"/>
      <c r="L72" s="454"/>
      <c r="W72" s="454"/>
      <c r="X72" s="454"/>
      <c r="Y72" s="454"/>
      <c r="Z72" s="454"/>
      <c r="AA72" s="454"/>
      <c r="AC72" s="454"/>
      <c r="AD72" s="454"/>
      <c r="AE72" s="454"/>
      <c r="AF72" s="454"/>
      <c r="AH72" s="454"/>
      <c r="AI72" s="454"/>
      <c r="AJ72" s="454"/>
      <c r="AK72" s="454"/>
    </row>
    <row r="73" spans="4:37" ht="16.2" thickBot="1">
      <c r="W73" s="295" t="s">
        <v>231</v>
      </c>
      <c r="X73" s="301" t="e">
        <f>#REF!/X54</f>
        <v>#REF!</v>
      </c>
      <c r="Y73" s="301" t="e">
        <f>#REF!/Y54</f>
        <v>#REF!</v>
      </c>
      <c r="Z73" s="301" t="e">
        <f>#REF!/Z54</f>
        <v>#REF!</v>
      </c>
      <c r="AA73" s="301" t="e">
        <f>#REF!/AA54</f>
        <v>#REF!</v>
      </c>
      <c r="AC73" s="301" t="e">
        <f>#REF!/AC54</f>
        <v>#REF!</v>
      </c>
      <c r="AD73" s="301" t="e">
        <f>#REF!/AD54</f>
        <v>#REF!</v>
      </c>
      <c r="AE73" s="301" t="e">
        <f>#REF!/AE54</f>
        <v>#REF!</v>
      </c>
      <c r="AF73" s="301" t="e">
        <f>#REF!/AF54</f>
        <v>#REF!</v>
      </c>
      <c r="AH73" s="301" t="e">
        <f>#REF!/AH54</f>
        <v>#REF!</v>
      </c>
      <c r="AI73" s="301" t="e">
        <f>#REF!/AI54</f>
        <v>#REF!</v>
      </c>
      <c r="AJ73" s="301" t="e">
        <f>#REF!/AJ54</f>
        <v>#REF!</v>
      </c>
      <c r="AK73" s="301" t="e">
        <f>#REF!/AK54</f>
        <v>#REF!</v>
      </c>
    </row>
    <row r="74" spans="4:37" ht="22.2" thickTop="1" thickBot="1">
      <c r="D74" s="465" t="s">
        <v>310</v>
      </c>
      <c r="E74" s="466" t="s">
        <v>312</v>
      </c>
      <c r="F74" s="466" t="s">
        <v>313</v>
      </c>
      <c r="G74" s="467" t="s">
        <v>314</v>
      </c>
      <c r="H74"/>
      <c r="I74"/>
      <c r="K74" s="465" t="s">
        <v>310</v>
      </c>
      <c r="L74" s="467" t="s">
        <v>314</v>
      </c>
      <c r="N74"/>
      <c r="O74"/>
      <c r="P74"/>
      <c r="Q74"/>
      <c r="R74"/>
    </row>
    <row r="75" spans="4:37" ht="16.2" thickTop="1">
      <c r="K75" s="315"/>
    </row>
    <row r="76" spans="4:37" ht="21">
      <c r="D76" s="295" t="s">
        <v>449</v>
      </c>
      <c r="E76" s="310">
        <f>E78+E77</f>
        <v>21.6</v>
      </c>
      <c r="F76" s="310">
        <f>F78+F77</f>
        <v>33.6</v>
      </c>
      <c r="G76" s="310">
        <f>G78+G77</f>
        <v>48</v>
      </c>
      <c r="K76" s="315" t="s">
        <v>444</v>
      </c>
      <c r="L76" s="310">
        <f>L78+L77</f>
        <v>540</v>
      </c>
    </row>
    <row r="77" spans="4:37" ht="25.2" customHeight="1">
      <c r="D77" s="295" t="s">
        <v>177</v>
      </c>
      <c r="E77" s="310">
        <f>E78*$E$7</f>
        <v>3.6</v>
      </c>
      <c r="F77" s="310">
        <f>F78*$E$7</f>
        <v>5.6000000000000005</v>
      </c>
      <c r="G77" s="310">
        <f>G78*$E$7</f>
        <v>8</v>
      </c>
      <c r="K77" s="315" t="s">
        <v>177</v>
      </c>
      <c r="L77" s="310">
        <f>L78*$E$7</f>
        <v>90</v>
      </c>
    </row>
    <row r="78" spans="4:37" ht="21">
      <c r="D78" s="295" t="s">
        <v>450</v>
      </c>
      <c r="E78" s="312">
        <v>18</v>
      </c>
      <c r="F78" s="312">
        <v>28</v>
      </c>
      <c r="G78" s="312">
        <v>40</v>
      </c>
      <c r="K78" s="315" t="s">
        <v>445</v>
      </c>
      <c r="L78" s="312">
        <v>450</v>
      </c>
      <c r="M78" s="310"/>
    </row>
    <row r="79" spans="4:37">
      <c r="E79" s="310"/>
      <c r="F79" s="310"/>
      <c r="G79" s="310"/>
      <c r="K79" s="315"/>
      <c r="L79" s="310"/>
    </row>
    <row r="80" spans="4:37">
      <c r="D80" s="295" t="s">
        <v>311</v>
      </c>
      <c r="E80" s="312">
        <v>0.5</v>
      </c>
      <c r="F80" s="312">
        <v>0.5</v>
      </c>
      <c r="G80" s="312">
        <v>0.5</v>
      </c>
      <c r="K80" s="315" t="s">
        <v>275</v>
      </c>
      <c r="L80" s="310">
        <f t="shared" ref="L80:L86" si="11">G81*12</f>
        <v>12</v>
      </c>
    </row>
    <row r="81" spans="4:19">
      <c r="D81" s="295" t="s">
        <v>275</v>
      </c>
      <c r="E81" s="312">
        <v>1</v>
      </c>
      <c r="F81" s="312">
        <v>1</v>
      </c>
      <c r="G81" s="312">
        <v>1</v>
      </c>
      <c r="K81" s="315" t="s">
        <v>320</v>
      </c>
      <c r="L81" s="312">
        <f>5</f>
        <v>5</v>
      </c>
    </row>
    <row r="82" spans="4:19">
      <c r="D82" s="295" t="s">
        <v>320</v>
      </c>
      <c r="E82" s="312">
        <v>0</v>
      </c>
      <c r="F82" s="312">
        <v>1</v>
      </c>
      <c r="G82" s="312">
        <v>1</v>
      </c>
      <c r="K82" s="315" t="s">
        <v>321</v>
      </c>
      <c r="L82" s="310">
        <f t="shared" si="11"/>
        <v>36</v>
      </c>
    </row>
    <row r="83" spans="4:19">
      <c r="D83" s="295" t="s">
        <v>321</v>
      </c>
      <c r="E83" s="312">
        <v>2</v>
      </c>
      <c r="F83" s="312">
        <v>3</v>
      </c>
      <c r="G83" s="312">
        <v>3</v>
      </c>
      <c r="K83" s="315" t="s">
        <v>322</v>
      </c>
      <c r="L83" s="310">
        <f t="shared" si="11"/>
        <v>48</v>
      </c>
    </row>
    <row r="84" spans="4:19">
      <c r="D84" s="295" t="s">
        <v>322</v>
      </c>
      <c r="E84" s="312">
        <v>2</v>
      </c>
      <c r="F84" s="312">
        <v>3</v>
      </c>
      <c r="G84" s="312">
        <v>4</v>
      </c>
      <c r="K84" s="315" t="s">
        <v>324</v>
      </c>
      <c r="L84" s="310">
        <f t="shared" si="11"/>
        <v>48</v>
      </c>
    </row>
    <row r="85" spans="4:19">
      <c r="D85" s="295" t="s">
        <v>324</v>
      </c>
      <c r="E85" s="312">
        <v>2</v>
      </c>
      <c r="F85" s="312">
        <v>4</v>
      </c>
      <c r="G85" s="312">
        <v>4</v>
      </c>
      <c r="K85" s="315" t="s">
        <v>323</v>
      </c>
      <c r="L85" s="310">
        <f t="shared" si="11"/>
        <v>96</v>
      </c>
    </row>
    <row r="86" spans="4:19">
      <c r="D86" s="295" t="s">
        <v>323</v>
      </c>
      <c r="E86" s="312">
        <v>0</v>
      </c>
      <c r="F86" s="312">
        <v>0</v>
      </c>
      <c r="G86" s="312">
        <v>8</v>
      </c>
      <c r="K86" s="315" t="s">
        <v>317</v>
      </c>
      <c r="L86" s="310">
        <f t="shared" si="11"/>
        <v>12</v>
      </c>
    </row>
    <row r="87" spans="4:19">
      <c r="D87" s="295" t="s">
        <v>317</v>
      </c>
      <c r="E87" s="312">
        <v>1</v>
      </c>
      <c r="F87" s="312">
        <v>1</v>
      </c>
      <c r="G87" s="312">
        <v>1</v>
      </c>
      <c r="K87" s="315" t="s">
        <v>325</v>
      </c>
      <c r="L87" s="312">
        <v>20</v>
      </c>
    </row>
    <row r="88" spans="4:19">
      <c r="D88" s="295" t="s">
        <v>325</v>
      </c>
      <c r="E88" s="312">
        <v>3</v>
      </c>
      <c r="F88" s="312">
        <v>3</v>
      </c>
      <c r="G88" s="312">
        <v>3</v>
      </c>
      <c r="K88" s="315" t="s">
        <v>230</v>
      </c>
      <c r="L88" s="310">
        <v>3</v>
      </c>
    </row>
    <row r="89" spans="4:19">
      <c r="D89" s="295" t="s">
        <v>230</v>
      </c>
      <c r="E89" s="310">
        <f>SUM(E80:E88)</f>
        <v>11.5</v>
      </c>
      <c r="F89" s="310">
        <f>SUM(F80:F88)</f>
        <v>16.5</v>
      </c>
      <c r="G89" s="310">
        <f>SUM(G80:G88)</f>
        <v>25.5</v>
      </c>
      <c r="K89" s="315"/>
      <c r="L89" s="310">
        <f>SUM(L80:L88)</f>
        <v>280</v>
      </c>
    </row>
    <row r="90" spans="4:19">
      <c r="E90" s="310"/>
      <c r="F90" s="310"/>
      <c r="G90" s="310"/>
      <c r="K90" s="315" t="s">
        <v>11</v>
      </c>
      <c r="L90" s="310"/>
    </row>
    <row r="91" spans="4:19">
      <c r="D91" s="295" t="s">
        <v>11</v>
      </c>
      <c r="E91" s="310">
        <f>E78-E89</f>
        <v>6.5</v>
      </c>
      <c r="F91" s="310">
        <f>F78-F89</f>
        <v>11.5</v>
      </c>
      <c r="G91" s="310">
        <f>G78-G89</f>
        <v>14.5</v>
      </c>
      <c r="K91" s="315" t="s">
        <v>231</v>
      </c>
      <c r="L91" s="310">
        <f>L78-L89</f>
        <v>170</v>
      </c>
    </row>
    <row r="92" spans="4:19">
      <c r="D92" s="295" t="s">
        <v>231</v>
      </c>
      <c r="E92" s="316">
        <f>E91/E78</f>
        <v>0.3611111111111111</v>
      </c>
      <c r="F92" s="316">
        <f>F91/F78</f>
        <v>0.4107142857142857</v>
      </c>
      <c r="G92" s="316">
        <f>G91/G78</f>
        <v>0.36249999999999999</v>
      </c>
      <c r="K92" s="315"/>
      <c r="L92" s="316">
        <f>L91/L78</f>
        <v>0.37777777777777777</v>
      </c>
    </row>
    <row r="95" spans="4:19">
      <c r="S95" s="179"/>
    </row>
    <row r="98" spans="10:19">
      <c r="S98" s="179"/>
    </row>
    <row r="104" spans="10:19">
      <c r="J104" s="402"/>
      <c r="K104" s="302"/>
      <c r="L104" s="302"/>
      <c r="N104" s="295"/>
      <c r="O104" s="302"/>
      <c r="P104" s="302"/>
      <c r="Q104" s="302"/>
    </row>
    <row r="105" spans="10:19">
      <c r="J105" s="402"/>
      <c r="K105" s="302"/>
      <c r="L105" s="302"/>
      <c r="N105" s="295"/>
      <c r="O105" s="302"/>
      <c r="P105" s="302"/>
      <c r="Q105" s="302"/>
    </row>
    <row r="106" spans="10:19">
      <c r="J106" s="402"/>
      <c r="K106" s="302"/>
      <c r="L106" s="302"/>
      <c r="N106" s="295"/>
      <c r="O106" s="302"/>
      <c r="P106" s="302"/>
      <c r="Q106" s="302"/>
    </row>
    <row r="107" spans="10:19">
      <c r="N107" s="295"/>
      <c r="O107" s="295"/>
      <c r="P107" s="295"/>
      <c r="Q107" s="295"/>
    </row>
    <row r="108" spans="10:19">
      <c r="J108" s="403"/>
      <c r="K108" s="299"/>
      <c r="L108" s="299"/>
      <c r="M108" s="300"/>
      <c r="N108" s="300"/>
      <c r="O108" s="299"/>
      <c r="P108" s="299"/>
      <c r="Q108" s="299"/>
    </row>
    <row r="109" spans="10:19">
      <c r="N109" s="295"/>
      <c r="O109" s="295"/>
      <c r="P109" s="295"/>
      <c r="Q109" s="295"/>
      <c r="R109" s="24"/>
      <c r="S109" s="24"/>
    </row>
    <row r="110" spans="10:19">
      <c r="J110" s="403"/>
      <c r="K110" s="299"/>
      <c r="L110" s="299"/>
      <c r="M110" s="300"/>
      <c r="N110" s="300"/>
      <c r="O110" s="299"/>
      <c r="P110" s="299"/>
      <c r="Q110" s="299"/>
    </row>
    <row r="111" spans="10:19">
      <c r="S111" s="24"/>
    </row>
    <row r="514" spans="1:1">
      <c r="A514" s="6" t="s">
        <v>297</v>
      </c>
    </row>
  </sheetData>
  <sheetProtection formatCells="0" formatColumns="0" formatRows="0" insertColumns="0" insertRows="0" insertHyperlinks="0" deleteColumns="0" deleteRows="0" sort="0" autoFilter="0" pivotTables="0"/>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7E24B-E4BC-D045-B7FD-2607D2B2DBD9}">
  <sheetPr codeName="Sheet3">
    <tabColor rgb="FFFF7861"/>
  </sheetPr>
  <dimension ref="A1:CO993"/>
  <sheetViews>
    <sheetView showGridLines="0" zoomScale="62" zoomScaleNormal="70" workbookViewId="0">
      <pane xSplit="4" topLeftCell="E1" activePane="topRight" state="frozen"/>
      <selection activeCell="A24" sqref="A24"/>
      <selection pane="topRight" activeCell="M11" sqref="M11"/>
    </sheetView>
  </sheetViews>
  <sheetFormatPr defaultColWidth="10.796875" defaultRowHeight="15.6"/>
  <cols>
    <col min="1" max="1" width="28.796875" style="6" customWidth="1"/>
    <col min="2" max="2" width="23.69921875" style="6" customWidth="1"/>
    <col min="3" max="3" width="10.69921875" style="25" customWidth="1"/>
    <col min="4" max="4" width="28.69921875" style="6" customWidth="1"/>
    <col min="5" max="6" width="9" style="6" bestFit="1" customWidth="1"/>
    <col min="7" max="11" width="10.19921875" style="6" bestFit="1" customWidth="1"/>
    <col min="12" max="12" width="13.296875" style="6" customWidth="1"/>
    <col min="13" max="14" width="10.19921875" style="6" bestFit="1" customWidth="1"/>
    <col min="15" max="15" width="13.69921875" style="6" customWidth="1"/>
    <col min="16" max="16" width="14.296875" style="6" customWidth="1"/>
    <col min="17" max="17" width="10.19921875" style="521" bestFit="1" customWidth="1"/>
    <col min="18" max="18" width="10.19921875" style="6" bestFit="1" customWidth="1"/>
    <col min="19" max="21" width="11.19921875" style="6" bestFit="1" customWidth="1"/>
    <col min="22" max="22" width="11.19921875" style="6" customWidth="1"/>
    <col min="23" max="23" width="11.19921875" style="6" bestFit="1" customWidth="1"/>
    <col min="24" max="24" width="15" style="6" customWidth="1"/>
    <col min="25" max="26" width="11.19921875" style="6" bestFit="1" customWidth="1"/>
    <col min="27" max="27" width="15.796875" style="6" customWidth="1"/>
    <col min="28" max="28" width="14.19921875" style="28" customWidth="1"/>
    <col min="29" max="35" width="11.19921875" style="6" bestFit="1" customWidth="1"/>
    <col min="36" max="36" width="13.69921875" style="6" customWidth="1"/>
    <col min="37" max="38" width="11.19921875" style="6" bestFit="1" customWidth="1"/>
    <col min="39" max="39" width="15.796875" style="6" customWidth="1"/>
    <col min="40" max="40" width="14.296875" style="6" customWidth="1"/>
    <col min="41" max="16384" width="10.796875" style="6"/>
  </cols>
  <sheetData>
    <row r="1" spans="1:89" s="261" customFormat="1" ht="27" customHeight="1">
      <c r="A1" s="260" t="str">
        <f>"v"&amp;'COPYRIGHT PROTECTION'!C14&amp;" "&amp;'COPYRIGHT PROTECTION'!C6</f>
        <v xml:space="preserve">v2023.2 © Simon Hulme and Chris Drew, 2011-2023     IF PART OF AN ACADEMIC ASSIGNMENT, PLEASE DO NOT DELETE THIS SINGLE LINE.  DELETING IT MAY INVALIDATE YOUR SUBMISSION. </v>
      </c>
    </row>
    <row r="2" spans="1:89" s="532" customFormat="1" ht="28.8">
      <c r="B2" s="531" t="s">
        <v>525</v>
      </c>
      <c r="E2" s="533"/>
      <c r="F2" s="534"/>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row>
    <row r="3" spans="1:89" s="19" customFormat="1" ht="11.55" customHeight="1">
      <c r="B3" s="18"/>
    </row>
    <row r="4" spans="1:89" s="19" customFormat="1" ht="18" hidden="1" customHeight="1">
      <c r="B4" s="842" t="s">
        <v>232</v>
      </c>
      <c r="C4" s="107"/>
    </row>
    <row r="5" spans="1:89">
      <c r="C5" s="6"/>
      <c r="Q5" s="6"/>
      <c r="AB5" s="6"/>
    </row>
    <row r="6" spans="1:89" ht="28.8">
      <c r="C6" s="6"/>
      <c r="F6" s="1231" t="s">
        <v>454</v>
      </c>
      <c r="G6" s="1231"/>
      <c r="H6" s="1231"/>
      <c r="I6" s="1231"/>
      <c r="J6" s="1231"/>
      <c r="K6" s="1231"/>
      <c r="Q6" s="6"/>
      <c r="AB6" s="6"/>
    </row>
    <row r="7" spans="1:89" ht="62.4">
      <c r="A7" s="295"/>
      <c r="F7" s="319" t="s">
        <v>327</v>
      </c>
      <c r="G7" s="319" t="s">
        <v>315</v>
      </c>
      <c r="H7" s="319" t="s">
        <v>329</v>
      </c>
      <c r="I7" s="319" t="s">
        <v>328</v>
      </c>
      <c r="J7" s="319" t="s">
        <v>268</v>
      </c>
      <c r="K7" s="319" t="s">
        <v>330</v>
      </c>
      <c r="Q7" s="6"/>
      <c r="AB7" s="6"/>
    </row>
    <row r="8" spans="1:89">
      <c r="F8" s="1242" t="s">
        <v>298</v>
      </c>
      <c r="G8" s="295" t="s">
        <v>452</v>
      </c>
      <c r="H8" s="304">
        <v>0.2</v>
      </c>
      <c r="I8" s="304">
        <v>0.8</v>
      </c>
      <c r="J8" s="292">
        <v>2024</v>
      </c>
      <c r="K8" s="510">
        <v>0.01</v>
      </c>
      <c r="Q8" s="6"/>
      <c r="AB8" s="6"/>
    </row>
    <row r="9" spans="1:89">
      <c r="F9" s="1242"/>
      <c r="G9" s="295" t="s">
        <v>451</v>
      </c>
      <c r="H9" s="304">
        <v>0.17</v>
      </c>
      <c r="I9" s="304">
        <v>0.5</v>
      </c>
      <c r="J9" s="292">
        <f>J8+1</f>
        <v>2025</v>
      </c>
      <c r="K9" s="510">
        <v>0.04</v>
      </c>
      <c r="Q9" s="6"/>
      <c r="AB9" s="6"/>
    </row>
    <row r="10" spans="1:89">
      <c r="F10" s="1242"/>
      <c r="G10" s="295" t="s">
        <v>453</v>
      </c>
      <c r="H10" s="304">
        <v>0.15</v>
      </c>
      <c r="I10" s="304">
        <v>0.25</v>
      </c>
      <c r="J10" s="292">
        <f>J9+1</f>
        <v>2026</v>
      </c>
      <c r="K10" s="510">
        <v>0.2</v>
      </c>
      <c r="Q10" s="6"/>
      <c r="AB10" s="6"/>
    </row>
    <row r="11" spans="1:89">
      <c r="F11" s="300"/>
      <c r="G11" s="295"/>
      <c r="H11" s="295"/>
      <c r="I11" s="295"/>
      <c r="J11" s="292"/>
      <c r="K11" s="511"/>
      <c r="Q11" s="6"/>
      <c r="AB11" s="6"/>
    </row>
    <row r="12" spans="1:89">
      <c r="F12" s="1242" t="s">
        <v>299</v>
      </c>
      <c r="G12" s="295" t="s">
        <v>452</v>
      </c>
      <c r="H12" s="304">
        <v>0.35</v>
      </c>
      <c r="I12" s="304">
        <v>0.7</v>
      </c>
      <c r="J12" s="292">
        <v>2024</v>
      </c>
      <c r="K12" s="510">
        <v>0.1</v>
      </c>
      <c r="Q12" s="6"/>
      <c r="AB12" s="6"/>
    </row>
    <row r="13" spans="1:89">
      <c r="F13" s="1242"/>
      <c r="G13" s="295" t="s">
        <v>451</v>
      </c>
      <c r="H13" s="304">
        <v>0.3</v>
      </c>
      <c r="I13" s="304">
        <v>0.5</v>
      </c>
      <c r="J13" s="292">
        <f>J12+1</f>
        <v>2025</v>
      </c>
      <c r="K13" s="510">
        <v>0.15</v>
      </c>
      <c r="Q13" s="6"/>
      <c r="AB13" s="6"/>
    </row>
    <row r="14" spans="1:89">
      <c r="F14" s="1242"/>
      <c r="G14" s="295" t="s">
        <v>453</v>
      </c>
      <c r="H14" s="304">
        <v>0.2</v>
      </c>
      <c r="I14" s="304">
        <v>0.25</v>
      </c>
      <c r="J14" s="292">
        <f>J13+1</f>
        <v>2026</v>
      </c>
      <c r="K14" s="510">
        <v>0.17</v>
      </c>
      <c r="Q14" s="6"/>
      <c r="AB14" s="6"/>
    </row>
    <row r="15" spans="1:89">
      <c r="F15" s="319"/>
      <c r="G15" s="295"/>
      <c r="H15" s="295"/>
      <c r="I15" s="295"/>
      <c r="J15" s="292"/>
      <c r="K15" s="511"/>
      <c r="Q15" s="6"/>
      <c r="AB15" s="6"/>
    </row>
    <row r="16" spans="1:89">
      <c r="F16" s="1242" t="s">
        <v>300</v>
      </c>
      <c r="G16" s="295" t="s">
        <v>452</v>
      </c>
      <c r="H16" s="304">
        <v>0.35</v>
      </c>
      <c r="I16" s="304">
        <v>0.7</v>
      </c>
      <c r="J16" s="292">
        <v>2024</v>
      </c>
      <c r="K16" s="510">
        <v>0.02</v>
      </c>
      <c r="Q16" s="6"/>
      <c r="AB16" s="6"/>
    </row>
    <row r="17" spans="1:93">
      <c r="F17" s="1242"/>
      <c r="G17" s="295" t="s">
        <v>451</v>
      </c>
      <c r="H17" s="304">
        <v>0.3</v>
      </c>
      <c r="I17" s="304">
        <v>0.55000000000000004</v>
      </c>
      <c r="J17" s="292">
        <f>J16+1</f>
        <v>2025</v>
      </c>
      <c r="K17" s="510">
        <v>0.04</v>
      </c>
      <c r="Q17" s="6"/>
      <c r="AB17" s="6"/>
    </row>
    <row r="18" spans="1:93">
      <c r="F18" s="1242"/>
      <c r="G18" s="295" t="s">
        <v>453</v>
      </c>
      <c r="H18" s="304">
        <v>0.1</v>
      </c>
      <c r="I18" s="304">
        <v>0.2</v>
      </c>
      <c r="J18" s="292">
        <f>J17+1</f>
        <v>2026</v>
      </c>
      <c r="K18" s="510">
        <v>0.1</v>
      </c>
      <c r="Q18" s="6"/>
      <c r="AB18" s="6"/>
    </row>
    <row r="19" spans="1:93">
      <c r="Q19" s="6"/>
      <c r="AB19" s="6"/>
    </row>
    <row r="20" spans="1:93">
      <c r="B20" s="300"/>
      <c r="C20" s="295"/>
      <c r="D20" s="316"/>
      <c r="E20" s="292"/>
      <c r="F20" s="487"/>
      <c r="Q20" s="6"/>
      <c r="AB20" s="6"/>
    </row>
    <row r="21" spans="1:93">
      <c r="C21" s="6"/>
      <c r="E21" s="1217"/>
      <c r="F21" s="1217"/>
      <c r="G21" s="1217"/>
      <c r="H21" s="1217"/>
      <c r="I21" s="1217"/>
      <c r="J21" s="1217"/>
      <c r="K21" s="1217"/>
      <c r="L21" s="1217"/>
      <c r="M21" s="1217"/>
      <c r="N21" s="1217"/>
      <c r="O21" s="1217"/>
      <c r="P21" s="1229"/>
      <c r="Q21" s="1217"/>
      <c r="R21" s="1217"/>
      <c r="S21" s="1217"/>
      <c r="T21" s="1217"/>
      <c r="U21" s="1217"/>
      <c r="V21" s="1217"/>
      <c r="W21" s="1217"/>
      <c r="X21" s="1217"/>
      <c r="Y21" s="1217"/>
      <c r="Z21" s="1217"/>
      <c r="AA21" s="1217"/>
      <c r="AB21" s="1217"/>
      <c r="AC21" s="1217"/>
      <c r="AD21" s="1217"/>
      <c r="AE21" s="1217"/>
      <c r="AF21" s="1217"/>
      <c r="AG21" s="1217"/>
      <c r="AH21" s="1217"/>
      <c r="AI21" s="1217"/>
      <c r="AJ21" s="1217"/>
      <c r="AK21" s="1217"/>
      <c r="AL21" s="1217"/>
      <c r="AM21" s="1217"/>
      <c r="AN21" s="1217"/>
    </row>
    <row r="22" spans="1:93" s="31" customFormat="1" ht="16.2" thickBot="1">
      <c r="B22" s="318"/>
      <c r="C22" s="301"/>
      <c r="D22" s="32"/>
      <c r="E22" s="33">
        <v>45292</v>
      </c>
      <c r="F22" s="34">
        <f>DATE(YEAR(E22),MONTH(E22),DAY(EOMONTH(E22,0)))+1</f>
        <v>45323</v>
      </c>
      <c r="G22" s="34">
        <f t="shared" ref="G22:AM22" si="0">DATE(YEAR(F22),MONTH(F22),DAY(EOMONTH(F22,0)))+1</f>
        <v>45352</v>
      </c>
      <c r="H22" s="34">
        <f t="shared" si="0"/>
        <v>45383</v>
      </c>
      <c r="I22" s="34">
        <f t="shared" si="0"/>
        <v>45413</v>
      </c>
      <c r="J22" s="34">
        <f t="shared" si="0"/>
        <v>45444</v>
      </c>
      <c r="K22" s="34">
        <f t="shared" si="0"/>
        <v>45474</v>
      </c>
      <c r="L22" s="34">
        <f t="shared" si="0"/>
        <v>45505</v>
      </c>
      <c r="M22" s="34">
        <f t="shared" si="0"/>
        <v>45536</v>
      </c>
      <c r="N22" s="34">
        <f t="shared" si="0"/>
        <v>45566</v>
      </c>
      <c r="O22" s="34">
        <f t="shared" si="0"/>
        <v>45597</v>
      </c>
      <c r="P22" s="34">
        <f t="shared" si="0"/>
        <v>45627</v>
      </c>
      <c r="Q22" s="522">
        <f t="shared" si="0"/>
        <v>45658</v>
      </c>
      <c r="R22" s="34">
        <f t="shared" si="0"/>
        <v>45689</v>
      </c>
      <c r="S22" s="34">
        <f t="shared" si="0"/>
        <v>45717</v>
      </c>
      <c r="T22" s="34">
        <f t="shared" si="0"/>
        <v>45748</v>
      </c>
      <c r="U22" s="34">
        <f t="shared" si="0"/>
        <v>45778</v>
      </c>
      <c r="V22" s="34">
        <f t="shared" si="0"/>
        <v>45809</v>
      </c>
      <c r="W22" s="34">
        <f t="shared" si="0"/>
        <v>45839</v>
      </c>
      <c r="X22" s="34">
        <f t="shared" si="0"/>
        <v>45870</v>
      </c>
      <c r="Y22" s="34">
        <f t="shared" si="0"/>
        <v>45901</v>
      </c>
      <c r="Z22" s="34">
        <f t="shared" si="0"/>
        <v>45931</v>
      </c>
      <c r="AA22" s="34">
        <f t="shared" si="0"/>
        <v>45962</v>
      </c>
      <c r="AB22" s="35">
        <f>DATE(YEAR(AA22),MONTH(AA22),DAY(EOMONTH(AA22,0)))+1</f>
        <v>45992</v>
      </c>
      <c r="AC22" s="34">
        <f t="shared" si="0"/>
        <v>46023</v>
      </c>
      <c r="AD22" s="34">
        <f t="shared" si="0"/>
        <v>46054</v>
      </c>
      <c r="AE22" s="34">
        <f t="shared" si="0"/>
        <v>46082</v>
      </c>
      <c r="AF22" s="34">
        <f t="shared" si="0"/>
        <v>46113</v>
      </c>
      <c r="AG22" s="34">
        <f t="shared" si="0"/>
        <v>46143</v>
      </c>
      <c r="AH22" s="34">
        <f t="shared" si="0"/>
        <v>46174</v>
      </c>
      <c r="AI22" s="34">
        <f t="shared" si="0"/>
        <v>46204</v>
      </c>
      <c r="AJ22" s="34">
        <f t="shared" si="0"/>
        <v>46235</v>
      </c>
      <c r="AK22" s="34">
        <f t="shared" si="0"/>
        <v>46266</v>
      </c>
      <c r="AL22" s="34">
        <f t="shared" si="0"/>
        <v>46296</v>
      </c>
      <c r="AM22" s="34">
        <f t="shared" si="0"/>
        <v>46327</v>
      </c>
      <c r="AN22" s="34">
        <f>DATE(YEAR(AM22),MONTH(AM22),DAY(EOMONTH(AM22,0)))+1+2023.2-2022.3</f>
        <v>46357.899999999994</v>
      </c>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c r="BX22" s="40"/>
      <c r="BY22" s="40"/>
      <c r="BZ22" s="40"/>
      <c r="CA22" s="40"/>
      <c r="CB22" s="40"/>
      <c r="CC22" s="40"/>
      <c r="CD22" s="40"/>
      <c r="CE22" s="40"/>
      <c r="CF22" s="40"/>
      <c r="CG22" s="40"/>
      <c r="CH22" s="40"/>
      <c r="CI22" s="40"/>
      <c r="CJ22" s="40"/>
      <c r="CK22" s="40"/>
    </row>
    <row r="23" spans="1:93" s="31" customFormat="1" ht="16.2" thickTop="1">
      <c r="B23" s="318"/>
      <c r="C23" s="301"/>
      <c r="D23" s="32"/>
      <c r="E23" s="32"/>
      <c r="F23" s="36"/>
      <c r="G23" s="36"/>
      <c r="H23" s="36"/>
      <c r="I23" s="36"/>
      <c r="J23" s="36"/>
      <c r="L23" s="1222" t="s">
        <v>316</v>
      </c>
      <c r="M23" s="508"/>
      <c r="N23" s="508"/>
      <c r="O23" s="1238" t="s">
        <v>460</v>
      </c>
      <c r="P23" s="1240" t="s">
        <v>461</v>
      </c>
      <c r="Q23" s="37"/>
      <c r="R23" s="36"/>
      <c r="S23" s="36"/>
      <c r="T23" s="37"/>
      <c r="U23" s="37"/>
      <c r="V23" s="37"/>
      <c r="X23" s="1222" t="s">
        <v>316</v>
      </c>
      <c r="Y23" s="36"/>
      <c r="Z23" s="36"/>
      <c r="AA23" s="1218" t="s">
        <v>460</v>
      </c>
      <c r="AB23" s="1220" t="s">
        <v>461</v>
      </c>
      <c r="AC23" s="37"/>
      <c r="AD23" s="36"/>
      <c r="AE23" s="36"/>
      <c r="AF23" s="36"/>
      <c r="AG23" s="36"/>
      <c r="AH23" s="36"/>
      <c r="AJ23" s="1222" t="s">
        <v>316</v>
      </c>
      <c r="AK23" s="317"/>
      <c r="AL23" s="36"/>
      <c r="AM23" s="1218" t="s">
        <v>460</v>
      </c>
      <c r="AN23" s="1224" t="s">
        <v>461</v>
      </c>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0"/>
      <c r="BU23" s="40"/>
      <c r="BV23" s="40"/>
      <c r="BW23" s="40"/>
      <c r="BX23" s="40"/>
      <c r="BY23" s="40"/>
      <c r="BZ23" s="40"/>
      <c r="CA23" s="40"/>
      <c r="CB23" s="40"/>
      <c r="CC23" s="40"/>
      <c r="CD23" s="40"/>
      <c r="CE23" s="40"/>
      <c r="CF23" s="40"/>
      <c r="CG23" s="40"/>
      <c r="CH23" s="40"/>
      <c r="CI23" s="40"/>
      <c r="CJ23" s="40"/>
      <c r="CK23" s="40"/>
    </row>
    <row r="24" spans="1:93" s="31" customFormat="1" ht="16.2" thickBot="1">
      <c r="B24" s="318"/>
      <c r="C24" s="301"/>
      <c r="D24" s="32"/>
      <c r="E24" s="32"/>
      <c r="F24" s="36"/>
      <c r="G24" s="36"/>
      <c r="H24" s="36"/>
      <c r="I24" s="36"/>
      <c r="J24" s="36"/>
      <c r="K24" s="1131"/>
      <c r="L24" s="1223"/>
      <c r="M24" s="508"/>
      <c r="N24" s="508"/>
      <c r="O24" s="1239"/>
      <c r="P24" s="1241"/>
      <c r="Q24" s="37"/>
      <c r="R24" s="36"/>
      <c r="S24" s="37"/>
      <c r="T24" s="37"/>
      <c r="U24" s="37"/>
      <c r="V24" s="37"/>
      <c r="W24" s="1131"/>
      <c r="X24" s="1230"/>
      <c r="Y24" s="36"/>
      <c r="Z24" s="36"/>
      <c r="AA24" s="1219"/>
      <c r="AB24" s="1221"/>
      <c r="AC24" s="37"/>
      <c r="AD24" s="36"/>
      <c r="AE24" s="36"/>
      <c r="AF24" s="36"/>
      <c r="AG24" s="36"/>
      <c r="AH24" s="36"/>
      <c r="AI24" s="1131"/>
      <c r="AJ24" s="1223"/>
      <c r="AK24" s="317"/>
      <c r="AL24" s="36"/>
      <c r="AM24" s="1219"/>
      <c r="AN24" s="1225"/>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c r="BN24" s="40"/>
      <c r="BO24" s="40"/>
      <c r="BP24" s="40"/>
      <c r="BQ24" s="40"/>
      <c r="BR24" s="40"/>
      <c r="BS24" s="40"/>
      <c r="BT24" s="40"/>
      <c r="BU24" s="40"/>
      <c r="BV24" s="40"/>
      <c r="BW24" s="40"/>
      <c r="BX24" s="40"/>
      <c r="BY24" s="40"/>
      <c r="BZ24" s="40"/>
      <c r="CA24" s="40"/>
      <c r="CB24" s="40"/>
      <c r="CC24" s="40"/>
      <c r="CD24" s="40"/>
      <c r="CE24" s="40"/>
      <c r="CF24" s="40"/>
      <c r="CG24" s="40"/>
      <c r="CH24" s="40"/>
      <c r="CI24" s="40"/>
      <c r="CJ24" s="40"/>
      <c r="CK24" s="40"/>
    </row>
    <row r="25" spans="1:93" s="31" customFormat="1" ht="16.2" thickTop="1">
      <c r="C25" s="25"/>
      <c r="D25" s="32"/>
      <c r="E25" s="32"/>
      <c r="F25" s="36"/>
      <c r="G25" s="36"/>
      <c r="H25" s="36"/>
      <c r="I25" s="36"/>
      <c r="J25" s="36"/>
      <c r="K25" s="37"/>
      <c r="L25" s="1134"/>
      <c r="M25" s="36"/>
      <c r="N25" s="36"/>
      <c r="O25" s="843"/>
      <c r="P25" s="844"/>
      <c r="Q25" s="37"/>
      <c r="R25" s="36"/>
      <c r="S25" s="36"/>
      <c r="T25" s="36"/>
      <c r="U25" s="36"/>
      <c r="V25" s="36"/>
      <c r="W25" s="37"/>
      <c r="X25" s="1132"/>
      <c r="Y25" s="36"/>
      <c r="Z25" s="36"/>
      <c r="AA25" s="843"/>
      <c r="AB25" s="844"/>
      <c r="AC25" s="37"/>
      <c r="AD25" s="36"/>
      <c r="AE25" s="36"/>
      <c r="AF25" s="36"/>
      <c r="AG25" s="36"/>
      <c r="AH25" s="37"/>
      <c r="AI25" s="37"/>
      <c r="AJ25" s="1134"/>
      <c r="AK25" s="36"/>
      <c r="AL25" s="36"/>
      <c r="AM25" s="843"/>
      <c r="AN25" s="844"/>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c r="BX25" s="40"/>
      <c r="BY25" s="40"/>
      <c r="BZ25" s="40"/>
      <c r="CA25" s="40"/>
      <c r="CB25" s="40"/>
      <c r="CC25" s="40"/>
      <c r="CD25" s="40"/>
      <c r="CE25" s="40"/>
      <c r="CF25" s="40"/>
      <c r="CG25" s="40"/>
      <c r="CH25" s="40"/>
      <c r="CI25" s="40"/>
      <c r="CJ25" s="40"/>
      <c r="CK25" s="40"/>
    </row>
    <row r="26" spans="1:93" s="567" customFormat="1" ht="34.799999999999997" customHeight="1">
      <c r="B26" s="780" t="s">
        <v>274</v>
      </c>
      <c r="C26" s="568"/>
      <c r="D26" s="569"/>
      <c r="E26" s="570"/>
      <c r="F26" s="571"/>
      <c r="G26" s="571"/>
      <c r="H26" s="571"/>
      <c r="I26" s="571"/>
      <c r="J26" s="571"/>
      <c r="K26" s="572"/>
      <c r="L26" s="1133"/>
      <c r="M26" s="571"/>
      <c r="N26" s="571"/>
      <c r="O26" s="845"/>
      <c r="P26" s="846"/>
      <c r="Q26" s="869"/>
      <c r="R26" s="571"/>
      <c r="S26" s="571"/>
      <c r="T26" s="571"/>
      <c r="U26" s="571"/>
      <c r="V26" s="571"/>
      <c r="W26" s="572"/>
      <c r="X26" s="1133"/>
      <c r="Y26" s="571"/>
      <c r="Z26" s="571"/>
      <c r="AA26" s="845"/>
      <c r="AB26" s="846"/>
      <c r="AC26" s="572"/>
      <c r="AD26" s="571"/>
      <c r="AE26" s="571"/>
      <c r="AF26" s="571"/>
      <c r="AG26" s="571"/>
      <c r="AH26" s="572"/>
      <c r="AI26" s="572"/>
      <c r="AJ26" s="1133"/>
      <c r="AK26" s="571"/>
      <c r="AL26" s="571"/>
      <c r="AM26" s="845"/>
      <c r="AN26" s="846"/>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c r="CC26" s="40"/>
      <c r="CD26" s="40"/>
      <c r="CE26" s="40"/>
      <c r="CF26" s="40"/>
      <c r="CG26" s="40"/>
      <c r="CH26" s="40"/>
      <c r="CI26" s="40"/>
      <c r="CJ26" s="40"/>
      <c r="CK26" s="40"/>
      <c r="CL26" s="40"/>
      <c r="CM26" s="40"/>
      <c r="CN26" s="40"/>
      <c r="CO26" s="40"/>
    </row>
    <row r="27" spans="1:93" s="31" customFormat="1" ht="21.6" thickBot="1">
      <c r="C27" s="509"/>
      <c r="D27" s="32"/>
      <c r="E27" s="36"/>
      <c r="F27" s="36"/>
      <c r="G27" s="36"/>
      <c r="H27" s="36"/>
      <c r="I27" s="36"/>
      <c r="J27" s="36"/>
      <c r="K27" s="37"/>
      <c r="L27" s="1134"/>
      <c r="M27" s="36"/>
      <c r="N27" s="36"/>
      <c r="O27" s="843"/>
      <c r="P27" s="844"/>
      <c r="Q27" s="870"/>
      <c r="R27" s="36"/>
      <c r="S27" s="36"/>
      <c r="T27" s="36"/>
      <c r="U27" s="36"/>
      <c r="V27" s="36"/>
      <c r="W27" s="37"/>
      <c r="X27" s="1134"/>
      <c r="Y27" s="37"/>
      <c r="Z27" s="36"/>
      <c r="AA27" s="843"/>
      <c r="AB27" s="844"/>
      <c r="AC27" s="37"/>
      <c r="AD27" s="36"/>
      <c r="AE27" s="36"/>
      <c r="AF27" s="36"/>
      <c r="AG27" s="36"/>
      <c r="AH27" s="37"/>
      <c r="AI27" s="37"/>
      <c r="AJ27" s="1134"/>
      <c r="AK27" s="36"/>
      <c r="AL27" s="36"/>
      <c r="AM27" s="843"/>
      <c r="AN27" s="844"/>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c r="BM27" s="40"/>
      <c r="BN27" s="40"/>
      <c r="BO27" s="40"/>
      <c r="BP27" s="40"/>
      <c r="BQ27" s="40"/>
      <c r="BR27" s="40"/>
      <c r="BS27" s="40"/>
      <c r="BT27" s="40"/>
      <c r="BU27" s="40"/>
      <c r="BV27" s="40"/>
      <c r="BW27" s="40"/>
      <c r="BX27" s="40"/>
      <c r="BY27" s="40"/>
      <c r="BZ27" s="40"/>
      <c r="CA27" s="40"/>
      <c r="CB27" s="40"/>
      <c r="CC27" s="40"/>
      <c r="CD27" s="40"/>
      <c r="CE27" s="40"/>
      <c r="CF27" s="40"/>
      <c r="CG27" s="40"/>
      <c r="CH27" s="40"/>
      <c r="CI27" s="40"/>
      <c r="CJ27" s="40"/>
      <c r="CK27" s="40"/>
    </row>
    <row r="28" spans="1:93" s="38" customFormat="1" ht="16.2" thickTop="1">
      <c r="A28" s="1232" t="s">
        <v>307</v>
      </c>
      <c r="B28" s="1146" t="s">
        <v>298</v>
      </c>
      <c r="C28" s="1147"/>
      <c r="D28" s="1148" t="s">
        <v>233</v>
      </c>
      <c r="E28" s="39">
        <v>10</v>
      </c>
      <c r="F28" s="476">
        <f t="shared" ref="F28:K28" si="1">ROUNDUP(E28+(E28*$K8),0)</f>
        <v>11</v>
      </c>
      <c r="G28" s="476">
        <f t="shared" si="1"/>
        <v>12</v>
      </c>
      <c r="H28" s="476">
        <f t="shared" si="1"/>
        <v>13</v>
      </c>
      <c r="I28" s="476">
        <f t="shared" si="1"/>
        <v>14</v>
      </c>
      <c r="J28" s="476">
        <f t="shared" si="1"/>
        <v>15</v>
      </c>
      <c r="K28" s="513">
        <f t="shared" si="1"/>
        <v>16</v>
      </c>
      <c r="L28" s="1135">
        <f>ROUNDUP(J28+(J28*$I10),0)</f>
        <v>19</v>
      </c>
      <c r="M28" s="476">
        <f>ROUNDUP(J28+(J28*$K8),0)</f>
        <v>16</v>
      </c>
      <c r="N28" s="476">
        <f>ROUNDUP(M28+(M28*$K8),0)</f>
        <v>17</v>
      </c>
      <c r="O28" s="847">
        <f>ROUNDUP(N28+(N28*$I9),0)</f>
        <v>26</v>
      </c>
      <c r="P28" s="848">
        <f>ROUNDUP(N28+(N28*$I8),0)</f>
        <v>31</v>
      </c>
      <c r="Q28" s="513">
        <f>ROUNDUP(N28+(N28*$K9),0)</f>
        <v>18</v>
      </c>
      <c r="R28" s="476">
        <f t="shared" ref="R28:W28" si="2">ROUNDUP(Q28+(Q28*$K9),0)</f>
        <v>19</v>
      </c>
      <c r="S28" s="476">
        <f t="shared" si="2"/>
        <v>20</v>
      </c>
      <c r="T28" s="476">
        <f t="shared" si="2"/>
        <v>21</v>
      </c>
      <c r="U28" s="476">
        <f t="shared" si="2"/>
        <v>22</v>
      </c>
      <c r="V28" s="476">
        <f t="shared" si="2"/>
        <v>23</v>
      </c>
      <c r="W28" s="513">
        <f t="shared" si="2"/>
        <v>24</v>
      </c>
      <c r="X28" s="1135">
        <f>ROUNDUP(V28+(V28*$I10),0)</f>
        <v>29</v>
      </c>
      <c r="Y28" s="476">
        <f>ROUNDUP(V28+(V28*$K9),0)</f>
        <v>24</v>
      </c>
      <c r="Z28" s="476">
        <f>ROUNDUP(Y28+(Y28*$K9),0)</f>
        <v>25</v>
      </c>
      <c r="AA28" s="847">
        <f>ROUNDUP(Z28+(Z28*$K9),0)</f>
        <v>26</v>
      </c>
      <c r="AB28" s="848">
        <f>ROUNDUP(Z28+(Z28*$I8),0)</f>
        <v>45</v>
      </c>
      <c r="AC28" s="476">
        <f>ROUNDUP(Z28+(Z28*$K10),0)</f>
        <v>30</v>
      </c>
      <c r="AD28" s="476">
        <f t="shared" ref="AD28:AI28" si="3">ROUNDUP(AC28+(AC28*$K10),0)</f>
        <v>36</v>
      </c>
      <c r="AE28" s="476">
        <f t="shared" si="3"/>
        <v>44</v>
      </c>
      <c r="AF28" s="476">
        <f t="shared" si="3"/>
        <v>53</v>
      </c>
      <c r="AG28" s="476">
        <f t="shared" si="3"/>
        <v>64</v>
      </c>
      <c r="AH28" s="513">
        <f t="shared" si="3"/>
        <v>77</v>
      </c>
      <c r="AI28" s="513">
        <f t="shared" si="3"/>
        <v>93</v>
      </c>
      <c r="AJ28" s="1135">
        <f>ROUNDUP(AH28+(AH28*$I10),0)</f>
        <v>97</v>
      </c>
      <c r="AK28" s="476">
        <f>ROUNDUP(AH28+(AH28*$K10),0)</f>
        <v>93</v>
      </c>
      <c r="AL28" s="476">
        <f>ROUNDUP(AK28+(AK28*$K10),0)</f>
        <v>112</v>
      </c>
      <c r="AM28" s="847">
        <f>ROUNDUP(AL28+(AL28*$I9),0)</f>
        <v>168</v>
      </c>
      <c r="AN28" s="848">
        <f>ROUNDUP(AL28+(AL28*$I8),0)</f>
        <v>202</v>
      </c>
      <c r="AO28" s="353"/>
      <c r="AP28" s="353"/>
      <c r="AQ28" s="353"/>
      <c r="AR28" s="353"/>
      <c r="AS28" s="353"/>
      <c r="AT28" s="353"/>
      <c r="AU28" s="353"/>
      <c r="AV28" s="353"/>
      <c r="AW28" s="353"/>
      <c r="AX28" s="353"/>
      <c r="AY28" s="353"/>
      <c r="AZ28" s="353"/>
      <c r="BA28" s="353"/>
      <c r="BB28" s="353"/>
      <c r="BC28" s="353"/>
      <c r="BD28" s="353"/>
      <c r="BE28" s="353"/>
      <c r="BF28" s="353"/>
      <c r="BG28" s="353"/>
      <c r="BH28" s="353"/>
      <c r="BI28" s="353"/>
      <c r="BJ28" s="353"/>
      <c r="BK28" s="353"/>
      <c r="BL28" s="353"/>
      <c r="BM28" s="353"/>
      <c r="BN28" s="353"/>
      <c r="BO28" s="353"/>
      <c r="BP28" s="353"/>
      <c r="BQ28" s="353"/>
      <c r="BR28" s="353"/>
      <c r="BS28" s="353"/>
      <c r="BT28" s="353"/>
      <c r="BU28" s="353"/>
      <c r="BV28" s="353"/>
      <c r="BW28" s="353"/>
      <c r="BX28" s="353"/>
      <c r="BY28" s="353"/>
      <c r="BZ28" s="353"/>
      <c r="CA28" s="353"/>
      <c r="CB28" s="353"/>
      <c r="CC28" s="353"/>
      <c r="CD28" s="353"/>
      <c r="CE28" s="353"/>
      <c r="CF28" s="353"/>
      <c r="CG28" s="353"/>
      <c r="CH28" s="353"/>
      <c r="CI28" s="353"/>
      <c r="CJ28" s="353"/>
      <c r="CK28" s="353"/>
    </row>
    <row r="29" spans="1:93" s="40" customFormat="1">
      <c r="A29" s="1233"/>
      <c r="B29" s="1149"/>
      <c r="C29" s="1150"/>
      <c r="D29" s="1151" t="s">
        <v>234</v>
      </c>
      <c r="E29" s="479">
        <f>'Pricing Model'!$E$15</f>
        <v>370</v>
      </c>
      <c r="F29" s="479">
        <f>$E29</f>
        <v>370</v>
      </c>
      <c r="G29" s="479">
        <f t="shared" ref="G29:K29" si="4">$E29</f>
        <v>370</v>
      </c>
      <c r="H29" s="479">
        <f t="shared" si="4"/>
        <v>370</v>
      </c>
      <c r="I29" s="479">
        <f t="shared" si="4"/>
        <v>370</v>
      </c>
      <c r="J29" s="479">
        <f t="shared" si="4"/>
        <v>370</v>
      </c>
      <c r="K29" s="514">
        <f t="shared" si="4"/>
        <v>370</v>
      </c>
      <c r="L29" s="1136">
        <f>$E29*(1-$H10)</f>
        <v>314.5</v>
      </c>
      <c r="M29" s="479">
        <f>$E29</f>
        <v>370</v>
      </c>
      <c r="N29" s="479">
        <f>$E29</f>
        <v>370</v>
      </c>
      <c r="O29" s="849">
        <f>E29*(1-$H9)</f>
        <v>307.09999999999997</v>
      </c>
      <c r="P29" s="850">
        <f>$E$29*(1-$H8)</f>
        <v>296</v>
      </c>
      <c r="Q29" s="514">
        <f>'Pricing Model'!E35</f>
        <v>381.1</v>
      </c>
      <c r="R29" s="479">
        <f>$Q29</f>
        <v>381.1</v>
      </c>
      <c r="S29" s="479">
        <f t="shared" ref="S29:W29" si="5">$Q29</f>
        <v>381.1</v>
      </c>
      <c r="T29" s="479">
        <f t="shared" si="5"/>
        <v>381.1</v>
      </c>
      <c r="U29" s="479">
        <f t="shared" si="5"/>
        <v>381.1</v>
      </c>
      <c r="V29" s="479">
        <f t="shared" si="5"/>
        <v>381.1</v>
      </c>
      <c r="W29" s="514">
        <f t="shared" si="5"/>
        <v>381.1</v>
      </c>
      <c r="X29" s="1136">
        <f>$E$29*(1-$H10)</f>
        <v>314.5</v>
      </c>
      <c r="Y29" s="479">
        <f>$V29</f>
        <v>381.1</v>
      </c>
      <c r="Z29" s="479">
        <f>$V29</f>
        <v>381.1</v>
      </c>
      <c r="AA29" s="849">
        <f>$V29</f>
        <v>381.1</v>
      </c>
      <c r="AB29" s="850">
        <f>$E$29*(1-$H8)</f>
        <v>296</v>
      </c>
      <c r="AC29" s="479">
        <f>'Pricing Model'!E56</f>
        <v>388.72200000000004</v>
      </c>
      <c r="AD29" s="479">
        <f>$AC29</f>
        <v>388.72200000000004</v>
      </c>
      <c r="AE29" s="479">
        <f t="shared" ref="AE29:AI29" si="6">$AC29</f>
        <v>388.72200000000004</v>
      </c>
      <c r="AF29" s="479">
        <f t="shared" si="6"/>
        <v>388.72200000000004</v>
      </c>
      <c r="AG29" s="479">
        <f t="shared" si="6"/>
        <v>388.72200000000004</v>
      </c>
      <c r="AH29" s="514">
        <f t="shared" si="6"/>
        <v>388.72200000000004</v>
      </c>
      <c r="AI29" s="514">
        <f t="shared" si="6"/>
        <v>388.72200000000004</v>
      </c>
      <c r="AJ29" s="1136">
        <f>AH29*(1-$H10)</f>
        <v>330.41370000000001</v>
      </c>
      <c r="AK29" s="479">
        <f>$AH29</f>
        <v>388.72200000000004</v>
      </c>
      <c r="AL29" s="479">
        <f>$AH29</f>
        <v>388.72200000000004</v>
      </c>
      <c r="AM29" s="849">
        <f>AC29*(1-$H9)</f>
        <v>322.63926000000004</v>
      </c>
      <c r="AN29" s="850">
        <f>AC29*(1-$H$8)</f>
        <v>310.97760000000005</v>
      </c>
      <c r="AO29" s="42"/>
      <c r="AP29" s="42"/>
      <c r="AQ29" s="42"/>
      <c r="AR29" s="42"/>
      <c r="AS29" s="42"/>
      <c r="AT29" s="42"/>
      <c r="AU29" s="42"/>
      <c r="AV29" s="42"/>
      <c r="AW29" s="42"/>
      <c r="AX29" s="42"/>
      <c r="AY29" s="42"/>
      <c r="AZ29" s="42"/>
      <c r="BA29" s="42"/>
      <c r="BB29" s="42"/>
      <c r="BC29" s="42"/>
      <c r="BD29" s="42"/>
      <c r="BE29" s="42"/>
      <c r="BF29" s="42"/>
      <c r="BG29" s="42"/>
      <c r="BH29" s="42"/>
      <c r="BI29" s="42"/>
      <c r="BJ29" s="42"/>
      <c r="BK29" s="42"/>
      <c r="BL29" s="42"/>
      <c r="BM29" s="42"/>
      <c r="BN29" s="42"/>
      <c r="BO29" s="42"/>
      <c r="BP29" s="42"/>
      <c r="BQ29" s="42"/>
      <c r="BR29" s="42"/>
      <c r="BS29" s="42"/>
      <c r="BT29" s="42"/>
      <c r="BU29" s="42"/>
      <c r="BV29" s="42"/>
      <c r="BW29" s="42"/>
      <c r="BX29" s="42"/>
      <c r="BY29" s="42"/>
      <c r="BZ29" s="42"/>
      <c r="CA29" s="42"/>
      <c r="CB29" s="42"/>
      <c r="CC29" s="42"/>
      <c r="CD29" s="42"/>
      <c r="CE29" s="42"/>
      <c r="CF29" s="42"/>
      <c r="CG29" s="42"/>
      <c r="CH29" s="42"/>
    </row>
    <row r="30" spans="1:93" s="31" customFormat="1">
      <c r="A30" s="1233"/>
      <c r="B30" s="477"/>
      <c r="C30" s="478"/>
      <c r="D30" s="1151" t="s">
        <v>235</v>
      </c>
      <c r="E30" s="479">
        <f>E28*E29</f>
        <v>3700</v>
      </c>
      <c r="F30" s="479">
        <f t="shared" ref="F30:P30" si="7">F28*F29</f>
        <v>4070</v>
      </c>
      <c r="G30" s="479">
        <f t="shared" si="7"/>
        <v>4440</v>
      </c>
      <c r="H30" s="479">
        <f t="shared" si="7"/>
        <v>4810</v>
      </c>
      <c r="I30" s="479">
        <f t="shared" si="7"/>
        <v>5180</v>
      </c>
      <c r="J30" s="479">
        <f t="shared" si="7"/>
        <v>5550</v>
      </c>
      <c r="K30" s="514">
        <f t="shared" si="7"/>
        <v>5920</v>
      </c>
      <c r="L30" s="1136">
        <f t="shared" si="7"/>
        <v>5975.5</v>
      </c>
      <c r="M30" s="479">
        <f t="shared" si="7"/>
        <v>5920</v>
      </c>
      <c r="N30" s="479">
        <f t="shared" si="7"/>
        <v>6290</v>
      </c>
      <c r="O30" s="849">
        <f>O28*O29</f>
        <v>7984.5999999999995</v>
      </c>
      <c r="P30" s="850">
        <f t="shared" si="7"/>
        <v>9176</v>
      </c>
      <c r="Q30" s="514">
        <f>Q28*Q29</f>
        <v>6859.8</v>
      </c>
      <c r="R30" s="479">
        <f t="shared" ref="R30:Z30" si="8">R28*R29</f>
        <v>7240.9000000000005</v>
      </c>
      <c r="S30" s="479">
        <f t="shared" si="8"/>
        <v>7622</v>
      </c>
      <c r="T30" s="479">
        <f t="shared" si="8"/>
        <v>8003.1</v>
      </c>
      <c r="U30" s="479">
        <f t="shared" si="8"/>
        <v>8384.2000000000007</v>
      </c>
      <c r="V30" s="479">
        <f t="shared" si="8"/>
        <v>8765.3000000000011</v>
      </c>
      <c r="W30" s="514">
        <f t="shared" si="8"/>
        <v>9146.4000000000015</v>
      </c>
      <c r="X30" s="1136">
        <f>X28*X29</f>
        <v>9120.5</v>
      </c>
      <c r="Y30" s="479">
        <f t="shared" si="8"/>
        <v>9146.4000000000015</v>
      </c>
      <c r="Z30" s="479">
        <f t="shared" si="8"/>
        <v>9527.5</v>
      </c>
      <c r="AA30" s="849">
        <f>AA28*AA29</f>
        <v>9908.6</v>
      </c>
      <c r="AB30" s="850">
        <f>AB28*AB29</f>
        <v>13320</v>
      </c>
      <c r="AC30" s="479">
        <f>AC28*AC29</f>
        <v>11661.660000000002</v>
      </c>
      <c r="AD30" s="479">
        <f t="shared" ref="AD30:AL30" si="9">AD28*AD29</f>
        <v>13993.992000000002</v>
      </c>
      <c r="AE30" s="479">
        <f t="shared" si="9"/>
        <v>17103.768</v>
      </c>
      <c r="AF30" s="479">
        <f t="shared" si="9"/>
        <v>20602.266000000003</v>
      </c>
      <c r="AG30" s="479">
        <f t="shared" si="9"/>
        <v>24878.208000000002</v>
      </c>
      <c r="AH30" s="514">
        <f t="shared" si="9"/>
        <v>29931.594000000005</v>
      </c>
      <c r="AI30" s="514">
        <f t="shared" si="9"/>
        <v>36151.146000000001</v>
      </c>
      <c r="AJ30" s="1136">
        <f t="shared" si="9"/>
        <v>32050.1289</v>
      </c>
      <c r="AK30" s="479">
        <f t="shared" si="9"/>
        <v>36151.146000000001</v>
      </c>
      <c r="AL30" s="479">
        <f t="shared" si="9"/>
        <v>43536.864000000001</v>
      </c>
      <c r="AM30" s="849">
        <f>AM28*AM29</f>
        <v>54203.395680000009</v>
      </c>
      <c r="AN30" s="850">
        <f t="shared" ref="AN30" si="10">AN28*AN29</f>
        <v>62817.475200000008</v>
      </c>
      <c r="AO30" s="42"/>
      <c r="AP30" s="42"/>
      <c r="AQ30" s="42"/>
      <c r="AR30" s="42"/>
      <c r="AS30" s="42"/>
      <c r="AT30" s="42"/>
      <c r="AU30" s="42"/>
      <c r="AV30" s="42"/>
      <c r="AW30" s="42"/>
      <c r="AX30" s="42"/>
      <c r="AY30" s="42"/>
      <c r="AZ30" s="42"/>
      <c r="BA30" s="42"/>
      <c r="BB30" s="42"/>
      <c r="BC30" s="42"/>
      <c r="BD30" s="42"/>
      <c r="BE30" s="42"/>
      <c r="BF30" s="42"/>
      <c r="BG30" s="42"/>
      <c r="BH30" s="42"/>
      <c r="BI30" s="42"/>
      <c r="BJ30" s="42"/>
      <c r="BK30" s="42"/>
      <c r="BL30" s="42"/>
      <c r="BM30" s="42"/>
      <c r="BN30" s="42"/>
      <c r="BO30" s="42"/>
      <c r="BP30" s="42"/>
      <c r="BQ30" s="42"/>
      <c r="BR30" s="42"/>
      <c r="BS30" s="42"/>
      <c r="BT30" s="42"/>
      <c r="BU30" s="42"/>
      <c r="BV30" s="42"/>
      <c r="BW30" s="42"/>
      <c r="BX30" s="42"/>
      <c r="BY30" s="42"/>
      <c r="BZ30" s="42"/>
      <c r="CA30" s="42"/>
      <c r="CB30" s="42"/>
      <c r="CC30" s="42"/>
      <c r="CD30" s="42"/>
      <c r="CE30" s="42"/>
      <c r="CF30" s="42"/>
      <c r="CG30" s="42"/>
      <c r="CH30" s="42"/>
      <c r="CI30" s="40"/>
      <c r="CJ30" s="40"/>
      <c r="CK30" s="40"/>
    </row>
    <row r="31" spans="1:93" s="31" customFormat="1">
      <c r="A31" s="1233"/>
      <c r="B31" s="1152" t="s">
        <v>236</v>
      </c>
      <c r="C31" s="1153">
        <f>'Pricing Model'!E26</f>
        <v>0.6618918918918919</v>
      </c>
      <c r="D31" s="1151" t="s">
        <v>11</v>
      </c>
      <c r="E31" s="479">
        <f t="shared" ref="E31:AN31" si="11">E30*$C31</f>
        <v>2449</v>
      </c>
      <c r="F31" s="479">
        <f t="shared" si="11"/>
        <v>2693.9</v>
      </c>
      <c r="G31" s="479">
        <f t="shared" si="11"/>
        <v>2938.8</v>
      </c>
      <c r="H31" s="479">
        <f t="shared" si="11"/>
        <v>3183.7000000000003</v>
      </c>
      <c r="I31" s="479">
        <f t="shared" si="11"/>
        <v>3428.6</v>
      </c>
      <c r="J31" s="479">
        <f t="shared" si="11"/>
        <v>3673.5</v>
      </c>
      <c r="K31" s="514">
        <f t="shared" si="11"/>
        <v>3918.4</v>
      </c>
      <c r="L31" s="1136">
        <f t="shared" si="11"/>
        <v>3955.1350000000002</v>
      </c>
      <c r="M31" s="479">
        <f t="shared" si="11"/>
        <v>3918.4</v>
      </c>
      <c r="N31" s="479">
        <f t="shared" si="11"/>
        <v>4163.3</v>
      </c>
      <c r="O31" s="849">
        <f t="shared" si="11"/>
        <v>5284.942</v>
      </c>
      <c r="P31" s="850">
        <f t="shared" si="11"/>
        <v>6073.52</v>
      </c>
      <c r="Q31" s="514">
        <f t="shared" si="11"/>
        <v>4540.4459999999999</v>
      </c>
      <c r="R31" s="479">
        <f t="shared" si="11"/>
        <v>4792.6930000000002</v>
      </c>
      <c r="S31" s="479">
        <f t="shared" si="11"/>
        <v>5044.9400000000005</v>
      </c>
      <c r="T31" s="479">
        <f t="shared" si="11"/>
        <v>5297.1869999999999</v>
      </c>
      <c r="U31" s="479">
        <f t="shared" si="11"/>
        <v>5549.4340000000002</v>
      </c>
      <c r="V31" s="479">
        <f t="shared" si="11"/>
        <v>5801.6810000000005</v>
      </c>
      <c r="W31" s="514">
        <f t="shared" si="11"/>
        <v>6053.9280000000008</v>
      </c>
      <c r="X31" s="1136">
        <f t="shared" si="11"/>
        <v>6036.7849999999999</v>
      </c>
      <c r="Y31" s="479">
        <f t="shared" si="11"/>
        <v>6053.9280000000008</v>
      </c>
      <c r="Z31" s="479">
        <f t="shared" si="11"/>
        <v>6306.1750000000002</v>
      </c>
      <c r="AA31" s="849">
        <f t="shared" si="11"/>
        <v>6558.4220000000005</v>
      </c>
      <c r="AB31" s="850">
        <f t="shared" si="11"/>
        <v>8816.4</v>
      </c>
      <c r="AC31" s="479">
        <f t="shared" si="11"/>
        <v>7718.7582000000011</v>
      </c>
      <c r="AD31" s="479">
        <f t="shared" si="11"/>
        <v>9262.5098400000006</v>
      </c>
      <c r="AE31" s="479">
        <f t="shared" si="11"/>
        <v>11320.845359999999</v>
      </c>
      <c r="AF31" s="479">
        <f t="shared" si="11"/>
        <v>13636.472820000003</v>
      </c>
      <c r="AG31" s="479">
        <f t="shared" si="11"/>
        <v>16466.684160000001</v>
      </c>
      <c r="AH31" s="514">
        <f t="shared" si="11"/>
        <v>19811.479380000004</v>
      </c>
      <c r="AI31" s="514">
        <f t="shared" si="11"/>
        <v>23928.150420000002</v>
      </c>
      <c r="AJ31" s="1136">
        <f t="shared" si="11"/>
        <v>21213.720453000002</v>
      </c>
      <c r="AK31" s="479">
        <f t="shared" si="11"/>
        <v>23928.150420000002</v>
      </c>
      <c r="AL31" s="479">
        <f t="shared" si="11"/>
        <v>28816.69728</v>
      </c>
      <c r="AM31" s="849">
        <f t="shared" si="11"/>
        <v>35876.788113600007</v>
      </c>
      <c r="AN31" s="850">
        <f t="shared" si="11"/>
        <v>41578.377504000004</v>
      </c>
      <c r="AO31" s="42"/>
      <c r="AP31" s="42"/>
      <c r="AQ31" s="42"/>
      <c r="AR31" s="42"/>
      <c r="AS31" s="42"/>
      <c r="AT31" s="42"/>
      <c r="AU31" s="42"/>
      <c r="AV31" s="42"/>
      <c r="AW31" s="42"/>
      <c r="AX31" s="42"/>
      <c r="AY31" s="42"/>
      <c r="AZ31" s="42"/>
      <c r="BA31" s="42"/>
      <c r="BB31" s="42"/>
      <c r="BC31" s="42"/>
      <c r="BD31" s="42"/>
      <c r="BE31" s="42"/>
      <c r="BF31" s="42"/>
      <c r="BG31" s="42"/>
      <c r="BH31" s="42"/>
      <c r="BI31" s="42"/>
      <c r="BJ31" s="42"/>
      <c r="BK31" s="42"/>
      <c r="BL31" s="42"/>
      <c r="BM31" s="42"/>
      <c r="BN31" s="42"/>
      <c r="BO31" s="42"/>
      <c r="BP31" s="42"/>
      <c r="BQ31" s="42"/>
      <c r="BR31" s="42"/>
      <c r="BS31" s="42"/>
      <c r="BT31" s="42"/>
      <c r="BU31" s="42"/>
      <c r="BV31" s="42"/>
      <c r="BW31" s="42"/>
      <c r="BX31" s="42"/>
      <c r="BY31" s="42"/>
      <c r="BZ31" s="42"/>
      <c r="CA31" s="42"/>
      <c r="CB31" s="42"/>
      <c r="CC31" s="42"/>
      <c r="CD31" s="42"/>
      <c r="CE31" s="42"/>
      <c r="CF31" s="42"/>
      <c r="CG31" s="42"/>
      <c r="CH31" s="42"/>
      <c r="CI31" s="40"/>
      <c r="CJ31" s="40"/>
      <c r="CK31" s="40"/>
    </row>
    <row r="32" spans="1:93" s="31" customFormat="1">
      <c r="A32" s="1233"/>
      <c r="B32" s="1152"/>
      <c r="C32" s="1153"/>
      <c r="D32" s="1151"/>
      <c r="E32" s="479"/>
      <c r="F32" s="479"/>
      <c r="G32" s="479"/>
      <c r="H32" s="479"/>
      <c r="I32" s="479"/>
      <c r="J32" s="479"/>
      <c r="K32" s="514"/>
      <c r="L32" s="1136"/>
      <c r="M32" s="479"/>
      <c r="N32" s="479"/>
      <c r="O32" s="849"/>
      <c r="P32" s="872"/>
      <c r="Q32" s="514"/>
      <c r="R32" s="479"/>
      <c r="S32" s="479"/>
      <c r="T32" s="479"/>
      <c r="U32" s="479"/>
      <c r="V32" s="479"/>
      <c r="W32" s="514"/>
      <c r="X32" s="1136"/>
      <c r="Y32" s="479"/>
      <c r="Z32" s="479"/>
      <c r="AA32" s="849"/>
      <c r="AB32" s="850"/>
      <c r="AC32" s="479"/>
      <c r="AD32" s="479"/>
      <c r="AE32" s="479"/>
      <c r="AF32" s="479"/>
      <c r="AG32" s="479"/>
      <c r="AH32" s="514"/>
      <c r="AI32" s="514"/>
      <c r="AJ32" s="1136"/>
      <c r="AK32" s="479"/>
      <c r="AL32" s="479"/>
      <c r="AM32" s="849"/>
      <c r="AN32" s="850"/>
      <c r="AO32" s="42"/>
      <c r="AP32" s="42"/>
      <c r="AQ32" s="42"/>
      <c r="AR32" s="42"/>
      <c r="AS32" s="42"/>
      <c r="AT32" s="42"/>
      <c r="AU32" s="42"/>
      <c r="AV32" s="42"/>
      <c r="AW32" s="42"/>
      <c r="AX32" s="42"/>
      <c r="AY32" s="42"/>
      <c r="AZ32" s="42"/>
      <c r="BA32" s="42"/>
      <c r="BB32" s="42"/>
      <c r="BC32" s="42"/>
      <c r="BD32" s="42"/>
      <c r="BE32" s="42"/>
      <c r="BF32" s="42"/>
      <c r="BG32" s="42"/>
      <c r="BH32" s="42"/>
      <c r="BI32" s="42"/>
      <c r="BJ32" s="42"/>
      <c r="BK32" s="42"/>
      <c r="BL32" s="42"/>
      <c r="BM32" s="42"/>
      <c r="BN32" s="42"/>
      <c r="BO32" s="42"/>
      <c r="BP32" s="42"/>
      <c r="BQ32" s="42"/>
      <c r="BR32" s="42"/>
      <c r="BS32" s="42"/>
      <c r="BT32" s="42"/>
      <c r="BU32" s="42"/>
      <c r="BV32" s="42"/>
      <c r="BW32" s="42"/>
      <c r="BX32" s="42"/>
      <c r="BY32" s="42"/>
      <c r="BZ32" s="42"/>
      <c r="CA32" s="42"/>
      <c r="CB32" s="42"/>
      <c r="CC32" s="42"/>
      <c r="CD32" s="42"/>
      <c r="CE32" s="42"/>
      <c r="CF32" s="42"/>
      <c r="CG32" s="42"/>
      <c r="CH32" s="42"/>
      <c r="CI32" s="40"/>
      <c r="CJ32" s="40"/>
      <c r="CK32" s="40"/>
    </row>
    <row r="33" spans="1:89" s="38" customFormat="1">
      <c r="A33" s="1233"/>
      <c r="B33" s="1154" t="s">
        <v>299</v>
      </c>
      <c r="C33" s="1150"/>
      <c r="D33" s="1155" t="s">
        <v>233</v>
      </c>
      <c r="E33" s="39">
        <v>30</v>
      </c>
      <c r="F33" s="476">
        <f t="shared" ref="F33:K33" si="12">ROUNDUP(E33+(E33*$K12),0)</f>
        <v>33</v>
      </c>
      <c r="G33" s="476">
        <f t="shared" si="12"/>
        <v>37</v>
      </c>
      <c r="H33" s="476">
        <f t="shared" si="12"/>
        <v>41</v>
      </c>
      <c r="I33" s="476">
        <f t="shared" si="12"/>
        <v>46</v>
      </c>
      <c r="J33" s="476">
        <f t="shared" si="12"/>
        <v>51</v>
      </c>
      <c r="K33" s="513">
        <f t="shared" si="12"/>
        <v>57</v>
      </c>
      <c r="L33" s="1135">
        <f>ROUNDUP(J33+(J33*$I14),0)</f>
        <v>64</v>
      </c>
      <c r="M33" s="476">
        <f>ROUNDUP(J33+(J33*$K12),0)</f>
        <v>57</v>
      </c>
      <c r="N33" s="476">
        <f>ROUNDUP(M33+(M33*$K12),0)</f>
        <v>63</v>
      </c>
      <c r="O33" s="847">
        <f>ROUNDUP(N33+(N33*$I14),0)</f>
        <v>79</v>
      </c>
      <c r="P33" s="848">
        <f>ROUNDUP(N33+(N33*$I13),0)</f>
        <v>95</v>
      </c>
      <c r="Q33" s="513">
        <f>ROUNDUP(O33+(O33*$K14),0)</f>
        <v>93</v>
      </c>
      <c r="R33" s="476">
        <f t="shared" ref="R33:W33" si="13">ROUNDUP(Q33+(Q33*$K14),0)</f>
        <v>109</v>
      </c>
      <c r="S33" s="476">
        <f t="shared" si="13"/>
        <v>128</v>
      </c>
      <c r="T33" s="476">
        <f t="shared" si="13"/>
        <v>150</v>
      </c>
      <c r="U33" s="476">
        <f t="shared" si="13"/>
        <v>176</v>
      </c>
      <c r="V33" s="476">
        <f t="shared" si="13"/>
        <v>206</v>
      </c>
      <c r="W33" s="513">
        <f t="shared" si="13"/>
        <v>242</v>
      </c>
      <c r="X33" s="1135">
        <f>ROUNDUP(V33+(V33*$I14),0)</f>
        <v>258</v>
      </c>
      <c r="Y33" s="476">
        <f>ROUNDUP(X33+(X33*$K14),0)</f>
        <v>302</v>
      </c>
      <c r="Z33" s="476">
        <f>ROUNDUP(Y33+(Y33*$K14),0)</f>
        <v>354</v>
      </c>
      <c r="AA33" s="847">
        <f>ROUNDUP(Z33+(Z33*$K14),0)</f>
        <v>415</v>
      </c>
      <c r="AB33" s="848">
        <f>ROUNDUP(Z33+(Z33*$I12),0)</f>
        <v>602</v>
      </c>
      <c r="AC33" s="476">
        <f>ROUNDUP(Z33+(Z33*$K14),0)</f>
        <v>415</v>
      </c>
      <c r="AD33" s="476">
        <f t="shared" ref="AD33:AI33" si="14">ROUNDUP(AC33+(AC33*$K14),0)</f>
        <v>486</v>
      </c>
      <c r="AE33" s="476">
        <f t="shared" si="14"/>
        <v>569</v>
      </c>
      <c r="AF33" s="476">
        <f t="shared" si="14"/>
        <v>666</v>
      </c>
      <c r="AG33" s="476">
        <f t="shared" si="14"/>
        <v>780</v>
      </c>
      <c r="AH33" s="513">
        <f t="shared" si="14"/>
        <v>913</v>
      </c>
      <c r="AI33" s="513">
        <f t="shared" si="14"/>
        <v>1069</v>
      </c>
      <c r="AJ33" s="1135">
        <f>ROUNDUP(AH33+(AH33*$I14),0)</f>
        <v>1142</v>
      </c>
      <c r="AK33" s="476">
        <f>ROUNDUP(AH33+(AH33*$K13),0)</f>
        <v>1050</v>
      </c>
      <c r="AL33" s="476">
        <f>ROUNDUP(AK33+(AK33*$K13),0)</f>
        <v>1208</v>
      </c>
      <c r="AM33" s="847">
        <f>ROUNDUP(AL33+(AL33*$I13),0)</f>
        <v>1812</v>
      </c>
      <c r="AN33" s="848">
        <f>ROUNDUP(AL33+(AL33*$I12),0)</f>
        <v>2054</v>
      </c>
      <c r="AO33" s="353"/>
      <c r="AP33" s="353"/>
      <c r="AQ33" s="353"/>
      <c r="AR33" s="353"/>
      <c r="AS33" s="353"/>
      <c r="AT33" s="353"/>
      <c r="AU33" s="353"/>
      <c r="AV33" s="353"/>
      <c r="AW33" s="353"/>
      <c r="AX33" s="353"/>
      <c r="AY33" s="353"/>
      <c r="AZ33" s="353"/>
      <c r="BA33" s="353"/>
      <c r="BB33" s="353"/>
      <c r="BC33" s="353"/>
      <c r="BD33" s="353"/>
      <c r="BE33" s="353"/>
      <c r="BF33" s="353"/>
      <c r="BG33" s="353"/>
      <c r="BH33" s="353"/>
      <c r="BI33" s="353"/>
      <c r="BJ33" s="353"/>
      <c r="BK33" s="353"/>
      <c r="BL33" s="353"/>
      <c r="BM33" s="353"/>
      <c r="BN33" s="353"/>
      <c r="BO33" s="353"/>
      <c r="BP33" s="353"/>
      <c r="BQ33" s="353"/>
      <c r="BR33" s="353"/>
      <c r="BS33" s="353"/>
      <c r="BT33" s="353"/>
      <c r="BU33" s="353"/>
      <c r="BV33" s="353"/>
      <c r="BW33" s="353"/>
      <c r="BX33" s="353"/>
      <c r="BY33" s="353"/>
      <c r="BZ33" s="353"/>
      <c r="CA33" s="353"/>
      <c r="CB33" s="353"/>
      <c r="CC33" s="353"/>
      <c r="CD33" s="353"/>
      <c r="CE33" s="353"/>
      <c r="CF33" s="353"/>
      <c r="CG33" s="353"/>
      <c r="CH33" s="353"/>
      <c r="CI33" s="353"/>
      <c r="CJ33" s="353"/>
      <c r="CK33" s="353"/>
    </row>
    <row r="34" spans="1:89" s="31" customFormat="1">
      <c r="A34" s="1233"/>
      <c r="B34" s="1149"/>
      <c r="C34" s="1153"/>
      <c r="D34" s="1151" t="s">
        <v>234</v>
      </c>
      <c r="E34" s="479">
        <f>'Pricing Model'!F15</f>
        <v>200</v>
      </c>
      <c r="F34" s="479">
        <f>$E34</f>
        <v>200</v>
      </c>
      <c r="G34" s="479">
        <f t="shared" ref="G34:J34" si="15">$E34</f>
        <v>200</v>
      </c>
      <c r="H34" s="479">
        <f t="shared" si="15"/>
        <v>200</v>
      </c>
      <c r="I34" s="479">
        <f t="shared" si="15"/>
        <v>200</v>
      </c>
      <c r="J34" s="479">
        <f t="shared" si="15"/>
        <v>200</v>
      </c>
      <c r="K34" s="514">
        <f>$E34</f>
        <v>200</v>
      </c>
      <c r="L34" s="1136">
        <f>$E34*(1-$H14)</f>
        <v>160</v>
      </c>
      <c r="M34" s="479">
        <f>$E34</f>
        <v>200</v>
      </c>
      <c r="N34" s="479">
        <f>$E34</f>
        <v>200</v>
      </c>
      <c r="O34" s="849">
        <f>E34*(1-$H13)</f>
        <v>140</v>
      </c>
      <c r="P34" s="850">
        <f>$E$34*(1-$H12)</f>
        <v>130</v>
      </c>
      <c r="Q34" s="514">
        <f>'Pricing Model'!F35</f>
        <v>206</v>
      </c>
      <c r="R34" s="479">
        <f>$Q34</f>
        <v>206</v>
      </c>
      <c r="S34" s="479">
        <f t="shared" ref="S34:U34" si="16">$Q34</f>
        <v>206</v>
      </c>
      <c r="T34" s="479">
        <f t="shared" si="16"/>
        <v>206</v>
      </c>
      <c r="U34" s="479">
        <f t="shared" si="16"/>
        <v>206</v>
      </c>
      <c r="V34" s="479">
        <f>$Q34</f>
        <v>206</v>
      </c>
      <c r="W34" s="514">
        <f>$Q34</f>
        <v>206</v>
      </c>
      <c r="X34" s="1136">
        <f>$U$34*(1-$H14)</f>
        <v>164.8</v>
      </c>
      <c r="Y34" s="479">
        <f>$V34</f>
        <v>206</v>
      </c>
      <c r="Z34" s="479">
        <f>$V34</f>
        <v>206</v>
      </c>
      <c r="AA34" s="849">
        <f>$V34</f>
        <v>206</v>
      </c>
      <c r="AB34" s="850">
        <f>$Q$34*(1-$H12)</f>
        <v>133.9</v>
      </c>
      <c r="AC34" s="479">
        <f>'Pricing Model'!F56</f>
        <v>210.12</v>
      </c>
      <c r="AD34" s="479">
        <f>$AC34</f>
        <v>210.12</v>
      </c>
      <c r="AE34" s="479">
        <f t="shared" ref="AE34:AI34" si="17">$AC34</f>
        <v>210.12</v>
      </c>
      <c r="AF34" s="479">
        <f t="shared" si="17"/>
        <v>210.12</v>
      </c>
      <c r="AG34" s="479">
        <f t="shared" si="17"/>
        <v>210.12</v>
      </c>
      <c r="AH34" s="514">
        <f t="shared" si="17"/>
        <v>210.12</v>
      </c>
      <c r="AI34" s="514">
        <f t="shared" si="17"/>
        <v>210.12</v>
      </c>
      <c r="AJ34" s="1136">
        <f>AH34*(1-$H15)</f>
        <v>210.12</v>
      </c>
      <c r="AK34" s="479">
        <f>$AH34</f>
        <v>210.12</v>
      </c>
      <c r="AL34" s="479">
        <f>$AH34</f>
        <v>210.12</v>
      </c>
      <c r="AM34" s="849">
        <f>AC34*(1-$H13)</f>
        <v>147.084</v>
      </c>
      <c r="AN34" s="850">
        <f>AC34*(1-$H$12)</f>
        <v>136.578</v>
      </c>
      <c r="AO34" s="42"/>
      <c r="AP34" s="42"/>
      <c r="AQ34" s="42"/>
      <c r="AR34" s="42"/>
      <c r="AS34" s="42"/>
      <c r="AT34" s="42"/>
      <c r="AU34" s="42"/>
      <c r="AV34" s="42"/>
      <c r="AW34" s="42"/>
      <c r="AX34" s="42"/>
      <c r="AY34" s="42"/>
      <c r="AZ34" s="42"/>
      <c r="BA34" s="42"/>
      <c r="BB34" s="42"/>
      <c r="BC34" s="42"/>
      <c r="BD34" s="42"/>
      <c r="BE34" s="42"/>
      <c r="BF34" s="42"/>
      <c r="BG34" s="42"/>
      <c r="BH34" s="42"/>
      <c r="BI34" s="42"/>
      <c r="BJ34" s="42"/>
      <c r="BK34" s="42"/>
      <c r="BL34" s="42"/>
      <c r="BM34" s="42"/>
      <c r="BN34" s="42"/>
      <c r="BO34" s="42"/>
      <c r="BP34" s="42"/>
      <c r="BQ34" s="42"/>
      <c r="BR34" s="42"/>
      <c r="BS34" s="42"/>
      <c r="BT34" s="42"/>
      <c r="BU34" s="42"/>
      <c r="BV34" s="42"/>
      <c r="BW34" s="42"/>
      <c r="BX34" s="42"/>
      <c r="BY34" s="42"/>
      <c r="BZ34" s="42"/>
      <c r="CA34" s="42"/>
      <c r="CB34" s="42"/>
      <c r="CC34" s="42"/>
      <c r="CD34" s="42"/>
      <c r="CE34" s="42"/>
      <c r="CF34" s="42"/>
      <c r="CG34" s="42"/>
      <c r="CH34" s="42"/>
      <c r="CI34" s="40"/>
      <c r="CJ34" s="40"/>
      <c r="CK34" s="40"/>
    </row>
    <row r="35" spans="1:89" s="31" customFormat="1">
      <c r="A35" s="1233"/>
      <c r="B35" s="477"/>
      <c r="C35" s="478"/>
      <c r="D35" s="1151" t="s">
        <v>235</v>
      </c>
      <c r="E35" s="479">
        <f>E33*E34</f>
        <v>6000</v>
      </c>
      <c r="F35" s="479">
        <f t="shared" ref="F35:P35" si="18">F33*F34</f>
        <v>6600</v>
      </c>
      <c r="G35" s="479">
        <f t="shared" si="18"/>
        <v>7400</v>
      </c>
      <c r="H35" s="479">
        <f t="shared" si="18"/>
        <v>8200</v>
      </c>
      <c r="I35" s="479">
        <f t="shared" si="18"/>
        <v>9200</v>
      </c>
      <c r="J35" s="479">
        <f t="shared" si="18"/>
        <v>10200</v>
      </c>
      <c r="K35" s="514">
        <f>K33*K34</f>
        <v>11400</v>
      </c>
      <c r="L35" s="1136">
        <f t="shared" si="18"/>
        <v>10240</v>
      </c>
      <c r="M35" s="479">
        <f>M33*M34</f>
        <v>11400</v>
      </c>
      <c r="N35" s="479">
        <f t="shared" si="18"/>
        <v>12600</v>
      </c>
      <c r="O35" s="849">
        <f t="shared" si="18"/>
        <v>11060</v>
      </c>
      <c r="P35" s="850">
        <f t="shared" si="18"/>
        <v>12350</v>
      </c>
      <c r="Q35" s="514">
        <f>Q33*Q34</f>
        <v>19158</v>
      </c>
      <c r="R35" s="479">
        <f t="shared" ref="R35:Z35" si="19">R33*R34</f>
        <v>22454</v>
      </c>
      <c r="S35" s="479">
        <f t="shared" si="19"/>
        <v>26368</v>
      </c>
      <c r="T35" s="479">
        <f t="shared" si="19"/>
        <v>30900</v>
      </c>
      <c r="U35" s="479">
        <f t="shared" si="19"/>
        <v>36256</v>
      </c>
      <c r="V35" s="479">
        <f t="shared" ref="V35" si="20">V33*V34</f>
        <v>42436</v>
      </c>
      <c r="W35" s="514">
        <f>W33*W34</f>
        <v>49852</v>
      </c>
      <c r="X35" s="1136">
        <f t="shared" si="19"/>
        <v>42518.400000000001</v>
      </c>
      <c r="Y35" s="479">
        <f t="shared" si="19"/>
        <v>62212</v>
      </c>
      <c r="Z35" s="479">
        <f t="shared" si="19"/>
        <v>72924</v>
      </c>
      <c r="AA35" s="849">
        <f>AA33*AA34</f>
        <v>85490</v>
      </c>
      <c r="AB35" s="850">
        <f t="shared" ref="AB35" si="21">AB33*AB34</f>
        <v>80607.8</v>
      </c>
      <c r="AC35" s="479">
        <f>AC33*AC34</f>
        <v>87199.8</v>
      </c>
      <c r="AD35" s="479">
        <f t="shared" ref="AD35:AL35" si="22">AD33*AD34</f>
        <v>102118.32</v>
      </c>
      <c r="AE35" s="479">
        <f t="shared" si="22"/>
        <v>119558.28</v>
      </c>
      <c r="AF35" s="479">
        <f t="shared" si="22"/>
        <v>139939.92000000001</v>
      </c>
      <c r="AG35" s="479">
        <f t="shared" si="22"/>
        <v>163893.6</v>
      </c>
      <c r="AH35" s="514">
        <f t="shared" si="22"/>
        <v>191839.56</v>
      </c>
      <c r="AI35" s="514">
        <f t="shared" si="22"/>
        <v>224618.28</v>
      </c>
      <c r="AJ35" s="1136">
        <f t="shared" si="22"/>
        <v>239957.04</v>
      </c>
      <c r="AK35" s="479">
        <f t="shared" si="22"/>
        <v>220626</v>
      </c>
      <c r="AL35" s="479">
        <f t="shared" si="22"/>
        <v>253824.96</v>
      </c>
      <c r="AM35" s="849">
        <f>AM33*AM34</f>
        <v>266516.20799999998</v>
      </c>
      <c r="AN35" s="850">
        <f t="shared" ref="AN35" si="23">AN33*AN34</f>
        <v>280531.212</v>
      </c>
      <c r="AO35" s="42"/>
      <c r="AP35" s="42"/>
      <c r="AQ35" s="42"/>
      <c r="AR35" s="42"/>
      <c r="AS35" s="42"/>
      <c r="AT35" s="42"/>
      <c r="AU35" s="42"/>
      <c r="AV35" s="42"/>
      <c r="AW35" s="42"/>
      <c r="AX35" s="42"/>
      <c r="AY35" s="42"/>
      <c r="AZ35" s="42"/>
      <c r="BA35" s="42"/>
      <c r="BB35" s="42"/>
      <c r="BC35" s="42"/>
      <c r="BD35" s="42"/>
      <c r="BE35" s="42"/>
      <c r="BF35" s="42"/>
      <c r="BG35" s="42"/>
      <c r="BH35" s="42"/>
      <c r="BI35" s="42"/>
      <c r="BJ35" s="42"/>
      <c r="BK35" s="42"/>
      <c r="BL35" s="42"/>
      <c r="BM35" s="42"/>
      <c r="BN35" s="42"/>
      <c r="BO35" s="42"/>
      <c r="BP35" s="42"/>
      <c r="BQ35" s="42"/>
      <c r="BR35" s="42"/>
      <c r="BS35" s="42"/>
      <c r="BT35" s="42"/>
      <c r="BU35" s="42"/>
      <c r="BV35" s="42"/>
      <c r="BW35" s="42"/>
      <c r="BX35" s="42"/>
      <c r="BY35" s="42"/>
      <c r="BZ35" s="42"/>
      <c r="CA35" s="42"/>
      <c r="CB35" s="42"/>
      <c r="CC35" s="42"/>
      <c r="CD35" s="42"/>
      <c r="CE35" s="42"/>
      <c r="CF35" s="42"/>
      <c r="CG35" s="42"/>
      <c r="CH35" s="42"/>
      <c r="CI35" s="40"/>
      <c r="CJ35" s="40"/>
      <c r="CK35" s="40"/>
    </row>
    <row r="36" spans="1:89" s="31" customFormat="1">
      <c r="A36" s="1233"/>
      <c r="B36" s="1152" t="s">
        <v>236</v>
      </c>
      <c r="C36" s="1153">
        <f>'Pricing Model'!F26</f>
        <v>0.75950000000000006</v>
      </c>
      <c r="D36" s="1151" t="s">
        <v>11</v>
      </c>
      <c r="E36" s="479">
        <f>E35*$C36</f>
        <v>4557</v>
      </c>
      <c r="F36" s="479">
        <f t="shared" ref="F36:P36" si="24">F35*$C36</f>
        <v>5012.7000000000007</v>
      </c>
      <c r="G36" s="479">
        <f t="shared" si="24"/>
        <v>5620.3</v>
      </c>
      <c r="H36" s="479">
        <f t="shared" si="24"/>
        <v>6227.9000000000005</v>
      </c>
      <c r="I36" s="479">
        <f t="shared" si="24"/>
        <v>6987.4000000000005</v>
      </c>
      <c r="J36" s="479">
        <f t="shared" si="24"/>
        <v>7746.9000000000005</v>
      </c>
      <c r="K36" s="514">
        <f t="shared" si="24"/>
        <v>8658.3000000000011</v>
      </c>
      <c r="L36" s="1136">
        <f t="shared" si="24"/>
        <v>7777.2800000000007</v>
      </c>
      <c r="M36" s="479">
        <f t="shared" si="24"/>
        <v>8658.3000000000011</v>
      </c>
      <c r="N36" s="479">
        <f t="shared" si="24"/>
        <v>9569.7000000000007</v>
      </c>
      <c r="O36" s="849">
        <f t="shared" si="24"/>
        <v>8400.0700000000015</v>
      </c>
      <c r="P36" s="850">
        <f t="shared" si="24"/>
        <v>9379.8250000000007</v>
      </c>
      <c r="Q36" s="514">
        <f>Q35*$C36</f>
        <v>14550.501000000002</v>
      </c>
      <c r="R36" s="479">
        <f t="shared" ref="R36:AB36" si="25">R35*$C36</f>
        <v>17053.813000000002</v>
      </c>
      <c r="S36" s="479">
        <f t="shared" si="25"/>
        <v>20026.496000000003</v>
      </c>
      <c r="T36" s="479">
        <f t="shared" si="25"/>
        <v>23468.550000000003</v>
      </c>
      <c r="U36" s="479">
        <f t="shared" si="25"/>
        <v>27536.432000000001</v>
      </c>
      <c r="V36" s="479">
        <f t="shared" ref="V36" si="26">V35*$C36</f>
        <v>32230.142000000003</v>
      </c>
      <c r="W36" s="514">
        <f>W35*$C36</f>
        <v>37862.594000000005</v>
      </c>
      <c r="X36" s="1136">
        <f t="shared" si="25"/>
        <v>32292.724800000004</v>
      </c>
      <c r="Y36" s="479">
        <f t="shared" si="25"/>
        <v>47250.014000000003</v>
      </c>
      <c r="Z36" s="479">
        <f t="shared" si="25"/>
        <v>55385.778000000006</v>
      </c>
      <c r="AA36" s="849">
        <f t="shared" si="25"/>
        <v>64929.655000000006</v>
      </c>
      <c r="AB36" s="850">
        <f t="shared" si="25"/>
        <v>61221.624100000008</v>
      </c>
      <c r="AC36" s="479">
        <f>AC35*$C36</f>
        <v>66228.248100000012</v>
      </c>
      <c r="AD36" s="479">
        <f t="shared" ref="AD36:AN36" si="27">AD35*$C36</f>
        <v>77558.864040000015</v>
      </c>
      <c r="AE36" s="479">
        <f t="shared" si="27"/>
        <v>90804.513660000011</v>
      </c>
      <c r="AF36" s="479">
        <f t="shared" si="27"/>
        <v>106284.36924000001</v>
      </c>
      <c r="AG36" s="479">
        <f t="shared" si="27"/>
        <v>124477.18920000001</v>
      </c>
      <c r="AH36" s="514">
        <f t="shared" si="27"/>
        <v>145702.14582000001</v>
      </c>
      <c r="AI36" s="514">
        <f t="shared" si="27"/>
        <v>170597.58366</v>
      </c>
      <c r="AJ36" s="1136">
        <f t="shared" si="27"/>
        <v>182247.37188000002</v>
      </c>
      <c r="AK36" s="479">
        <f t="shared" si="27"/>
        <v>167565.44700000001</v>
      </c>
      <c r="AL36" s="479">
        <f t="shared" si="27"/>
        <v>192780.05712000001</v>
      </c>
      <c r="AM36" s="849">
        <f t="shared" si="27"/>
        <v>202419.05997600002</v>
      </c>
      <c r="AN36" s="850">
        <f t="shared" si="27"/>
        <v>213063.45551400003</v>
      </c>
      <c r="AO36" s="42"/>
      <c r="AP36" s="42"/>
      <c r="AQ36" s="42"/>
      <c r="AR36" s="42"/>
      <c r="AS36" s="42"/>
      <c r="AT36" s="42"/>
      <c r="AU36" s="42"/>
      <c r="AV36" s="42"/>
      <c r="AW36" s="42"/>
      <c r="AX36" s="42"/>
      <c r="AY36" s="42"/>
      <c r="AZ36" s="42"/>
      <c r="BA36" s="42"/>
      <c r="BB36" s="42"/>
      <c r="BC36" s="42"/>
      <c r="BD36" s="42"/>
      <c r="BE36" s="42"/>
      <c r="BF36" s="42"/>
      <c r="BG36" s="42"/>
      <c r="BH36" s="42"/>
      <c r="BI36" s="42"/>
      <c r="BJ36" s="42"/>
      <c r="BK36" s="42"/>
      <c r="BL36" s="42"/>
      <c r="BM36" s="42"/>
      <c r="BN36" s="42"/>
      <c r="BO36" s="42"/>
      <c r="BP36" s="42"/>
      <c r="BQ36" s="42"/>
      <c r="BR36" s="42"/>
      <c r="BS36" s="42"/>
      <c r="BT36" s="42"/>
      <c r="BU36" s="42"/>
      <c r="BV36" s="42"/>
      <c r="BW36" s="42"/>
      <c r="BX36" s="42"/>
      <c r="BY36" s="42"/>
      <c r="BZ36" s="42"/>
      <c r="CA36" s="42"/>
      <c r="CB36" s="42"/>
      <c r="CC36" s="42"/>
      <c r="CD36" s="42"/>
      <c r="CE36" s="42"/>
      <c r="CF36" s="42"/>
      <c r="CG36" s="42"/>
      <c r="CH36" s="42"/>
      <c r="CI36" s="40"/>
      <c r="CJ36" s="40"/>
      <c r="CK36" s="40"/>
    </row>
    <row r="37" spans="1:89" s="31" customFormat="1">
      <c r="A37" s="1233"/>
      <c r="B37" s="1152"/>
      <c r="C37" s="1153"/>
      <c r="D37" s="1151"/>
      <c r="E37" s="479"/>
      <c r="F37" s="479"/>
      <c r="G37" s="479"/>
      <c r="H37" s="479"/>
      <c r="I37" s="479"/>
      <c r="J37" s="479"/>
      <c r="K37" s="514"/>
      <c r="L37" s="1136"/>
      <c r="M37" s="479"/>
      <c r="N37" s="479"/>
      <c r="O37" s="849"/>
      <c r="P37" s="850"/>
      <c r="Q37" s="514"/>
      <c r="R37" s="479"/>
      <c r="S37" s="479"/>
      <c r="T37" s="479"/>
      <c r="U37" s="479"/>
      <c r="V37" s="479"/>
      <c r="W37" s="514"/>
      <c r="X37" s="1136"/>
      <c r="Y37" s="479"/>
      <c r="Z37" s="479"/>
      <c r="AA37" s="849"/>
      <c r="AB37" s="850"/>
      <c r="AC37" s="479"/>
      <c r="AD37" s="479"/>
      <c r="AE37" s="479"/>
      <c r="AF37" s="479"/>
      <c r="AG37" s="479"/>
      <c r="AH37" s="514"/>
      <c r="AI37" s="514"/>
      <c r="AJ37" s="1136"/>
      <c r="AK37" s="479"/>
      <c r="AL37" s="479"/>
      <c r="AM37" s="849"/>
      <c r="AN37" s="850"/>
      <c r="AO37" s="42"/>
      <c r="AP37" s="42"/>
      <c r="AQ37" s="42"/>
      <c r="AR37" s="42"/>
      <c r="AS37" s="42"/>
      <c r="AT37" s="42"/>
      <c r="AU37" s="42"/>
      <c r="AV37" s="42"/>
      <c r="AW37" s="42"/>
      <c r="AX37" s="42"/>
      <c r="AY37" s="42"/>
      <c r="AZ37" s="42"/>
      <c r="BA37" s="42"/>
      <c r="BB37" s="42"/>
      <c r="BC37" s="42"/>
      <c r="BD37" s="42"/>
      <c r="BE37" s="42"/>
      <c r="BF37" s="42"/>
      <c r="BG37" s="42"/>
      <c r="BH37" s="42"/>
      <c r="BI37" s="42"/>
      <c r="BJ37" s="42"/>
      <c r="BK37" s="42"/>
      <c r="BL37" s="42"/>
      <c r="BM37" s="42"/>
      <c r="BN37" s="42"/>
      <c r="BO37" s="42"/>
      <c r="BP37" s="42"/>
      <c r="BQ37" s="42"/>
      <c r="BR37" s="42"/>
      <c r="BS37" s="42"/>
      <c r="BT37" s="42"/>
      <c r="BU37" s="42"/>
      <c r="BV37" s="42"/>
      <c r="BW37" s="42"/>
      <c r="BX37" s="42"/>
      <c r="BY37" s="42"/>
      <c r="BZ37" s="42"/>
      <c r="CA37" s="42"/>
      <c r="CB37" s="42"/>
      <c r="CC37" s="42"/>
      <c r="CD37" s="42"/>
      <c r="CE37" s="42"/>
      <c r="CF37" s="42"/>
      <c r="CG37" s="42"/>
      <c r="CH37" s="42"/>
      <c r="CI37" s="40"/>
      <c r="CJ37" s="40"/>
      <c r="CK37" s="40"/>
    </row>
    <row r="38" spans="1:89" s="38" customFormat="1">
      <c r="A38" s="1233"/>
      <c r="B38" s="1154" t="s">
        <v>300</v>
      </c>
      <c r="C38" s="1150"/>
      <c r="D38" s="1155" t="s">
        <v>233</v>
      </c>
      <c r="E38" s="39">
        <v>20</v>
      </c>
      <c r="F38" s="476">
        <f>ROUNDUP(E38+(E38*$K16),0)</f>
        <v>21</v>
      </c>
      <c r="G38" s="476">
        <f>ROUNDUP(F38+(F38*$K18),0)</f>
        <v>24</v>
      </c>
      <c r="H38" s="476">
        <f>ROUNDUP(G38+(G38*$K18),0)</f>
        <v>27</v>
      </c>
      <c r="I38" s="476">
        <f>ROUNDUP(H38+(H38*$K18),0)</f>
        <v>30</v>
      </c>
      <c r="J38" s="476">
        <f>ROUNDUP(I38+(I38*$K18),0)</f>
        <v>33</v>
      </c>
      <c r="K38" s="513">
        <f>ROUNDUP(J38+(J38*$K18),0)</f>
        <v>37</v>
      </c>
      <c r="L38" s="1135">
        <f>ROUNDUP(J38+(J38*$I18),0)</f>
        <v>40</v>
      </c>
      <c r="M38" s="476">
        <f>ROUNDUP(J38+(J38*$K18),0)</f>
        <v>37</v>
      </c>
      <c r="N38" s="476">
        <f>ROUNDUP(M38+(M38*$K18),0)</f>
        <v>41</v>
      </c>
      <c r="O38" s="847">
        <f>ROUNDUP(N38+(N38*$I17),0)</f>
        <v>64</v>
      </c>
      <c r="P38" s="848">
        <f>ROUNDUP(N38+(N38*$I16),0)</f>
        <v>70</v>
      </c>
      <c r="Q38" s="513">
        <f>ROUNDUP(N38+(N38*$K17),0)</f>
        <v>43</v>
      </c>
      <c r="R38" s="476">
        <f t="shared" ref="R38:W38" si="28">ROUNDUP(Q38+(Q38*$K17),0)</f>
        <v>45</v>
      </c>
      <c r="S38" s="476">
        <f t="shared" si="28"/>
        <v>47</v>
      </c>
      <c r="T38" s="476">
        <f t="shared" si="28"/>
        <v>49</v>
      </c>
      <c r="U38" s="476">
        <f t="shared" si="28"/>
        <v>51</v>
      </c>
      <c r="V38" s="476">
        <f t="shared" si="28"/>
        <v>54</v>
      </c>
      <c r="W38" s="513">
        <f t="shared" si="28"/>
        <v>57</v>
      </c>
      <c r="X38" s="1135">
        <f>ROUNDUP(V38+(V38*$I18),0)</f>
        <v>65</v>
      </c>
      <c r="Y38" s="476">
        <f>ROUNDUP(V38+(V38*$K17),0)</f>
        <v>57</v>
      </c>
      <c r="Z38" s="476">
        <f>ROUNDUP(Y38+(Y38*$K17),0)</f>
        <v>60</v>
      </c>
      <c r="AA38" s="847">
        <f>ROUNDUP(Z38+(Z38*$K17),0)</f>
        <v>63</v>
      </c>
      <c r="AB38" s="848">
        <f>ROUNDUP(Z38+(Z38*$I16),0)</f>
        <v>102</v>
      </c>
      <c r="AC38" s="476">
        <f t="shared" ref="AC38:AH38" si="29">ROUNDUP(Z38+(Z38*$K18),0)</f>
        <v>66</v>
      </c>
      <c r="AD38" s="476">
        <f t="shared" si="29"/>
        <v>70</v>
      </c>
      <c r="AE38" s="476">
        <f t="shared" si="29"/>
        <v>113</v>
      </c>
      <c r="AF38" s="476">
        <f t="shared" si="29"/>
        <v>73</v>
      </c>
      <c r="AG38" s="476">
        <f t="shared" si="29"/>
        <v>77</v>
      </c>
      <c r="AH38" s="513">
        <f t="shared" si="29"/>
        <v>125</v>
      </c>
      <c r="AI38" s="513">
        <f>ROUNDUP(AH38+(AH38*$I18),0)</f>
        <v>150</v>
      </c>
      <c r="AJ38" s="1135">
        <f>ROUNDUP(AH38+(AH38*$I18),0)</f>
        <v>150</v>
      </c>
      <c r="AK38" s="476">
        <f>ROUNDUP(AH38+(AH38*$K18),0)</f>
        <v>138</v>
      </c>
      <c r="AL38" s="476">
        <f>ROUNDUP(AK38+(AK38*$K18),0)</f>
        <v>152</v>
      </c>
      <c r="AM38" s="847">
        <f>ROUNDUP(AL38+(AL38*$I17),0)</f>
        <v>236</v>
      </c>
      <c r="AN38" s="848">
        <f>ROUNDUP(AL38+(AL38*$I16),0)</f>
        <v>259</v>
      </c>
      <c r="AO38" s="353"/>
      <c r="AP38" s="353"/>
      <c r="AQ38" s="353"/>
      <c r="AR38" s="353"/>
      <c r="AS38" s="353"/>
      <c r="AT38" s="353"/>
      <c r="AU38" s="353"/>
      <c r="AV38" s="353"/>
      <c r="AW38" s="353"/>
      <c r="AX38" s="353"/>
      <c r="AY38" s="353"/>
      <c r="AZ38" s="353"/>
      <c r="BA38" s="353"/>
      <c r="BB38" s="353"/>
      <c r="BC38" s="353"/>
      <c r="BD38" s="353"/>
      <c r="BE38" s="353"/>
      <c r="BF38" s="353"/>
      <c r="BG38" s="353"/>
      <c r="BH38" s="353"/>
      <c r="BI38" s="353"/>
      <c r="BJ38" s="353"/>
      <c r="BK38" s="353"/>
      <c r="BL38" s="353"/>
      <c r="BM38" s="353"/>
      <c r="BN38" s="353"/>
      <c r="BO38" s="353"/>
      <c r="BP38" s="353"/>
      <c r="BQ38" s="353"/>
      <c r="BR38" s="353"/>
      <c r="BS38" s="353"/>
      <c r="BT38" s="353"/>
      <c r="BU38" s="353"/>
      <c r="BV38" s="353"/>
      <c r="BW38" s="353"/>
      <c r="BX38" s="353"/>
      <c r="BY38" s="353"/>
      <c r="BZ38" s="353"/>
      <c r="CA38" s="353"/>
      <c r="CB38" s="353"/>
      <c r="CC38" s="353"/>
      <c r="CD38" s="353"/>
      <c r="CE38" s="353"/>
      <c r="CF38" s="353"/>
      <c r="CG38" s="353"/>
      <c r="CH38" s="353"/>
      <c r="CI38" s="353"/>
      <c r="CJ38" s="353"/>
      <c r="CK38" s="353"/>
    </row>
    <row r="39" spans="1:89" s="31" customFormat="1">
      <c r="A39" s="1233"/>
      <c r="B39" s="1149"/>
      <c r="C39" s="1149"/>
      <c r="D39" s="1151" t="s">
        <v>234</v>
      </c>
      <c r="E39" s="479">
        <f>'Pricing Model'!G15</f>
        <v>500</v>
      </c>
      <c r="F39" s="479">
        <f>$E39</f>
        <v>500</v>
      </c>
      <c r="G39" s="479">
        <f t="shared" ref="G39:K39" si="30">$E39</f>
        <v>500</v>
      </c>
      <c r="H39" s="479">
        <f t="shared" si="30"/>
        <v>500</v>
      </c>
      <c r="I39" s="479">
        <f t="shared" si="30"/>
        <v>500</v>
      </c>
      <c r="J39" s="479">
        <f t="shared" si="30"/>
        <v>500</v>
      </c>
      <c r="K39" s="514">
        <f t="shared" si="30"/>
        <v>500</v>
      </c>
      <c r="L39" s="1136">
        <f>$E39*(1-$H18)</f>
        <v>450</v>
      </c>
      <c r="M39" s="479">
        <f>$E39</f>
        <v>500</v>
      </c>
      <c r="N39" s="479">
        <f>$E39</f>
        <v>500</v>
      </c>
      <c r="O39" s="849">
        <f>E39*(1-$H17)</f>
        <v>350</v>
      </c>
      <c r="P39" s="850">
        <f>$E$39*(1-$H16)</f>
        <v>325</v>
      </c>
      <c r="Q39" s="514">
        <f>'Pricing Model'!G35</f>
        <v>515</v>
      </c>
      <c r="R39" s="479">
        <f>$Q39</f>
        <v>515</v>
      </c>
      <c r="S39" s="479">
        <f t="shared" ref="S39:W39" si="31">$Q39</f>
        <v>515</v>
      </c>
      <c r="T39" s="479">
        <f t="shared" si="31"/>
        <v>515</v>
      </c>
      <c r="U39" s="479">
        <f t="shared" si="31"/>
        <v>515</v>
      </c>
      <c r="V39" s="479">
        <f t="shared" si="31"/>
        <v>515</v>
      </c>
      <c r="W39" s="514">
        <f t="shared" si="31"/>
        <v>515</v>
      </c>
      <c r="X39" s="1136">
        <f>$Q$39*(1-$H18)</f>
        <v>463.5</v>
      </c>
      <c r="Y39" s="479">
        <f>$V39</f>
        <v>515</v>
      </c>
      <c r="Z39" s="479">
        <f>$V39</f>
        <v>515</v>
      </c>
      <c r="AA39" s="849">
        <f>$V39</f>
        <v>515</v>
      </c>
      <c r="AB39" s="873">
        <f>R39*(1-$H16)</f>
        <v>334.75</v>
      </c>
      <c r="AC39" s="479">
        <f>'Pricing Model'!G56</f>
        <v>525.29999999999995</v>
      </c>
      <c r="AD39" s="479">
        <f>$AC39</f>
        <v>525.29999999999995</v>
      </c>
      <c r="AE39" s="479">
        <f t="shared" ref="AE39:AH39" si="32">$AC39</f>
        <v>525.29999999999995</v>
      </c>
      <c r="AF39" s="479">
        <f t="shared" si="32"/>
        <v>525.29999999999995</v>
      </c>
      <c r="AG39" s="479">
        <f t="shared" si="32"/>
        <v>525.29999999999995</v>
      </c>
      <c r="AH39" s="514">
        <f t="shared" si="32"/>
        <v>525.29999999999995</v>
      </c>
      <c r="AI39" s="514">
        <f>AH39*(1-$H18)</f>
        <v>472.77</v>
      </c>
      <c r="AJ39" s="1136">
        <f>AH39*(1-$H18)</f>
        <v>472.77</v>
      </c>
      <c r="AK39" s="479">
        <f>$AH39</f>
        <v>525.29999999999995</v>
      </c>
      <c r="AL39" s="479">
        <f>$AH39</f>
        <v>525.29999999999995</v>
      </c>
      <c r="AM39" s="849">
        <f>AC39*(1-$H17)</f>
        <v>367.70999999999992</v>
      </c>
      <c r="AN39" s="850">
        <f>AC39*(1-$H$16)</f>
        <v>341.44499999999999</v>
      </c>
      <c r="AO39" s="42"/>
      <c r="AP39" s="42"/>
      <c r="AQ39" s="42"/>
      <c r="AR39" s="42"/>
      <c r="AS39" s="42"/>
      <c r="AT39" s="42"/>
      <c r="AU39" s="42"/>
      <c r="AV39" s="42"/>
      <c r="AW39" s="42"/>
      <c r="AX39" s="42"/>
      <c r="AY39" s="42"/>
      <c r="AZ39" s="42"/>
      <c r="BA39" s="42"/>
      <c r="BB39" s="42"/>
      <c r="BC39" s="42"/>
      <c r="BD39" s="42"/>
      <c r="BE39" s="42"/>
      <c r="BF39" s="42"/>
      <c r="BG39" s="42"/>
      <c r="BH39" s="42"/>
      <c r="BI39" s="42"/>
      <c r="BJ39" s="42"/>
      <c r="BK39" s="42"/>
      <c r="BL39" s="42"/>
      <c r="BM39" s="42"/>
      <c r="BN39" s="42"/>
      <c r="BO39" s="42"/>
      <c r="BP39" s="42"/>
      <c r="BQ39" s="42"/>
      <c r="BR39" s="42"/>
      <c r="BS39" s="42"/>
      <c r="BT39" s="42"/>
      <c r="BU39" s="42"/>
      <c r="BV39" s="42"/>
      <c r="BW39" s="42"/>
      <c r="BX39" s="42"/>
      <c r="BY39" s="42"/>
      <c r="BZ39" s="42"/>
      <c r="CA39" s="42"/>
      <c r="CB39" s="42"/>
      <c r="CC39" s="42"/>
      <c r="CD39" s="42"/>
      <c r="CE39" s="42"/>
      <c r="CF39" s="42"/>
      <c r="CG39" s="42"/>
      <c r="CH39" s="42"/>
      <c r="CI39" s="40"/>
      <c r="CJ39" s="40"/>
      <c r="CK39" s="40"/>
    </row>
    <row r="40" spans="1:89" s="31" customFormat="1">
      <c r="A40" s="1233"/>
      <c r="B40" s="1149"/>
      <c r="C40" s="1153"/>
      <c r="D40" s="1151" t="s">
        <v>235</v>
      </c>
      <c r="E40" s="479">
        <f>E38*E39</f>
        <v>10000</v>
      </c>
      <c r="F40" s="479">
        <f t="shared" ref="F40:N40" si="33">F38*F39</f>
        <v>10500</v>
      </c>
      <c r="G40" s="479">
        <f t="shared" si="33"/>
        <v>12000</v>
      </c>
      <c r="H40" s="479">
        <f t="shared" si="33"/>
        <v>13500</v>
      </c>
      <c r="I40" s="479">
        <f t="shared" si="33"/>
        <v>15000</v>
      </c>
      <c r="J40" s="479">
        <f t="shared" si="33"/>
        <v>16500</v>
      </c>
      <c r="K40" s="514">
        <f t="shared" si="33"/>
        <v>18500</v>
      </c>
      <c r="L40" s="1136">
        <f t="shared" si="33"/>
        <v>18000</v>
      </c>
      <c r="M40" s="479">
        <f t="shared" si="33"/>
        <v>18500</v>
      </c>
      <c r="N40" s="479">
        <f t="shared" si="33"/>
        <v>20500</v>
      </c>
      <c r="O40" s="849">
        <f>O38*O39</f>
        <v>22400</v>
      </c>
      <c r="P40" s="850">
        <f>P38*P39</f>
        <v>22750</v>
      </c>
      <c r="Q40" s="514">
        <f>Q38*Q39</f>
        <v>22145</v>
      </c>
      <c r="R40" s="479">
        <f t="shared" ref="R40:Z40" si="34">R38*R39</f>
        <v>23175</v>
      </c>
      <c r="S40" s="479">
        <f t="shared" si="34"/>
        <v>24205</v>
      </c>
      <c r="T40" s="479">
        <f t="shared" si="34"/>
        <v>25235</v>
      </c>
      <c r="U40" s="479">
        <f t="shared" si="34"/>
        <v>26265</v>
      </c>
      <c r="V40" s="479">
        <f t="shared" si="34"/>
        <v>27810</v>
      </c>
      <c r="W40" s="514">
        <f>W38*W39</f>
        <v>29355</v>
      </c>
      <c r="X40" s="1136">
        <f t="shared" si="34"/>
        <v>30127.5</v>
      </c>
      <c r="Y40" s="479">
        <f t="shared" si="34"/>
        <v>29355</v>
      </c>
      <c r="Z40" s="479">
        <f t="shared" si="34"/>
        <v>30900</v>
      </c>
      <c r="AA40" s="849">
        <f>AA38*AA39</f>
        <v>32445</v>
      </c>
      <c r="AB40" s="850">
        <f t="shared" ref="AB40" si="35">AB38*AB39</f>
        <v>34144.5</v>
      </c>
      <c r="AC40" s="479">
        <f>AC38*AC39</f>
        <v>34669.799999999996</v>
      </c>
      <c r="AD40" s="479">
        <f t="shared" ref="AD40:AL40" si="36">AD38*AD39</f>
        <v>36771</v>
      </c>
      <c r="AE40" s="479">
        <f t="shared" si="36"/>
        <v>59358.899999999994</v>
      </c>
      <c r="AF40" s="479">
        <f t="shared" si="36"/>
        <v>38346.899999999994</v>
      </c>
      <c r="AG40" s="479">
        <f t="shared" si="36"/>
        <v>40448.1</v>
      </c>
      <c r="AH40" s="514">
        <f t="shared" si="36"/>
        <v>65662.5</v>
      </c>
      <c r="AI40" s="514">
        <f t="shared" si="36"/>
        <v>70915.5</v>
      </c>
      <c r="AJ40" s="1136">
        <f>AJ38*AJ39</f>
        <v>70915.5</v>
      </c>
      <c r="AK40" s="479">
        <f t="shared" si="36"/>
        <v>72491.399999999994</v>
      </c>
      <c r="AL40" s="479">
        <f t="shared" si="36"/>
        <v>79845.599999999991</v>
      </c>
      <c r="AM40" s="849">
        <f>AM38*AM39</f>
        <v>86779.559999999983</v>
      </c>
      <c r="AN40" s="850">
        <f t="shared" ref="AN40" si="37">AN38*AN39</f>
        <v>88434.255000000005</v>
      </c>
      <c r="AO40" s="42"/>
      <c r="AP40" s="42"/>
      <c r="AQ40" s="42"/>
      <c r="AR40" s="42"/>
      <c r="AS40" s="42"/>
      <c r="AT40" s="42"/>
      <c r="AU40" s="42"/>
      <c r="AV40" s="42"/>
      <c r="AW40" s="42"/>
      <c r="AX40" s="42"/>
      <c r="AY40" s="42"/>
      <c r="AZ40" s="42"/>
      <c r="BA40" s="42"/>
      <c r="BB40" s="42"/>
      <c r="BC40" s="42"/>
      <c r="BD40" s="42"/>
      <c r="BE40" s="42"/>
      <c r="BF40" s="42"/>
      <c r="BG40" s="42"/>
      <c r="BH40" s="42"/>
      <c r="BI40" s="42"/>
      <c r="BJ40" s="42"/>
      <c r="BK40" s="42"/>
      <c r="BL40" s="42"/>
      <c r="BM40" s="42"/>
      <c r="BN40" s="42"/>
      <c r="BO40" s="42"/>
      <c r="BP40" s="42"/>
      <c r="BQ40" s="42"/>
      <c r="BR40" s="42"/>
      <c r="BS40" s="42"/>
      <c r="BT40" s="42"/>
      <c r="BU40" s="42"/>
      <c r="BV40" s="42"/>
      <c r="BW40" s="42"/>
      <c r="BX40" s="42"/>
      <c r="BY40" s="42"/>
      <c r="BZ40" s="42"/>
      <c r="CA40" s="42"/>
      <c r="CB40" s="42"/>
      <c r="CC40" s="42"/>
      <c r="CD40" s="42"/>
      <c r="CE40" s="42"/>
      <c r="CF40" s="42"/>
      <c r="CG40" s="42"/>
      <c r="CH40" s="42"/>
      <c r="CI40" s="40"/>
      <c r="CJ40" s="40"/>
      <c r="CK40" s="40"/>
    </row>
    <row r="41" spans="1:89" s="31" customFormat="1" ht="16.2" thickBot="1">
      <c r="A41" s="1234"/>
      <c r="B41" s="1156" t="s">
        <v>236</v>
      </c>
      <c r="C41" s="1157">
        <f>'Pricing Model'!G26</f>
        <v>0.74979999999999991</v>
      </c>
      <c r="D41" s="1158" t="s">
        <v>11</v>
      </c>
      <c r="E41" s="479">
        <f>E40*$C41</f>
        <v>7497.9999999999991</v>
      </c>
      <c r="F41" s="479">
        <f t="shared" ref="F41:P41" si="38">F40*$C41</f>
        <v>7872.8999999999987</v>
      </c>
      <c r="G41" s="479">
        <f t="shared" si="38"/>
        <v>8997.5999999999985</v>
      </c>
      <c r="H41" s="479">
        <f t="shared" si="38"/>
        <v>10122.299999999999</v>
      </c>
      <c r="I41" s="479">
        <f t="shared" si="38"/>
        <v>11246.999999999998</v>
      </c>
      <c r="J41" s="479">
        <f t="shared" si="38"/>
        <v>12371.699999999999</v>
      </c>
      <c r="K41" s="514">
        <f t="shared" si="38"/>
        <v>13871.299999999997</v>
      </c>
      <c r="L41" s="1136">
        <f t="shared" si="38"/>
        <v>13496.399999999998</v>
      </c>
      <c r="M41" s="479">
        <f t="shared" si="38"/>
        <v>13871.299999999997</v>
      </c>
      <c r="N41" s="479">
        <f t="shared" si="38"/>
        <v>15370.899999999998</v>
      </c>
      <c r="O41" s="849">
        <f t="shared" si="38"/>
        <v>16795.519999999997</v>
      </c>
      <c r="P41" s="850">
        <f t="shared" si="38"/>
        <v>17057.949999999997</v>
      </c>
      <c r="Q41" s="514">
        <f>Q40*$C41</f>
        <v>16604.320999999996</v>
      </c>
      <c r="R41" s="479">
        <f t="shared" ref="R41:AB41" si="39">R40*$C41</f>
        <v>17376.614999999998</v>
      </c>
      <c r="S41" s="479">
        <f t="shared" si="39"/>
        <v>18148.909</v>
      </c>
      <c r="T41" s="479">
        <f t="shared" si="39"/>
        <v>18921.202999999998</v>
      </c>
      <c r="U41" s="479">
        <f t="shared" si="39"/>
        <v>19693.496999999999</v>
      </c>
      <c r="V41" s="479">
        <f t="shared" si="39"/>
        <v>20851.937999999998</v>
      </c>
      <c r="W41" s="514">
        <f t="shared" si="39"/>
        <v>22010.378999999997</v>
      </c>
      <c r="X41" s="1136">
        <f t="shared" si="39"/>
        <v>22589.599499999997</v>
      </c>
      <c r="Y41" s="479">
        <f t="shared" si="39"/>
        <v>22010.378999999997</v>
      </c>
      <c r="Z41" s="479">
        <f t="shared" si="39"/>
        <v>23168.819999999996</v>
      </c>
      <c r="AA41" s="849">
        <f t="shared" si="39"/>
        <v>24327.260999999999</v>
      </c>
      <c r="AB41" s="850">
        <f t="shared" si="39"/>
        <v>25601.546099999996</v>
      </c>
      <c r="AC41" s="479">
        <f>AC40*$C41</f>
        <v>25995.416039999993</v>
      </c>
      <c r="AD41" s="479">
        <f t="shared" ref="AD41:AN41" si="40">AD40*$C41</f>
        <v>27570.895799999998</v>
      </c>
      <c r="AE41" s="479">
        <f t="shared" si="40"/>
        <v>44507.303219999987</v>
      </c>
      <c r="AF41" s="479">
        <f t="shared" si="40"/>
        <v>28752.505619999993</v>
      </c>
      <c r="AG41" s="479">
        <f t="shared" si="40"/>
        <v>30327.985379999995</v>
      </c>
      <c r="AH41" s="514">
        <f t="shared" si="40"/>
        <v>49233.742499999993</v>
      </c>
      <c r="AI41" s="514">
        <f t="shared" si="40"/>
        <v>53172.441899999991</v>
      </c>
      <c r="AJ41" s="1136">
        <f t="shared" si="40"/>
        <v>53172.441899999991</v>
      </c>
      <c r="AK41" s="479">
        <f t="shared" si="40"/>
        <v>54354.051719999989</v>
      </c>
      <c r="AL41" s="479">
        <f t="shared" si="40"/>
        <v>59868.230879999988</v>
      </c>
      <c r="AM41" s="849">
        <f t="shared" si="40"/>
        <v>65067.314087999977</v>
      </c>
      <c r="AN41" s="850">
        <f t="shared" si="40"/>
        <v>66308.004398999998</v>
      </c>
      <c r="AO41" s="42"/>
      <c r="AP41" s="42"/>
      <c r="AQ41" s="42"/>
      <c r="AR41" s="42"/>
      <c r="AS41" s="42"/>
      <c r="AT41" s="42"/>
      <c r="AU41" s="42"/>
      <c r="AV41" s="42"/>
      <c r="AW41" s="42"/>
      <c r="AX41" s="42"/>
      <c r="AY41" s="42"/>
      <c r="AZ41" s="42"/>
      <c r="BA41" s="42"/>
      <c r="BB41" s="42"/>
      <c r="BC41" s="42"/>
      <c r="BD41" s="42"/>
      <c r="BE41" s="42"/>
      <c r="BF41" s="42"/>
      <c r="BG41" s="42"/>
      <c r="BH41" s="42"/>
      <c r="BI41" s="42"/>
      <c r="BJ41" s="42"/>
      <c r="BK41" s="42"/>
      <c r="BL41" s="42"/>
      <c r="BM41" s="42"/>
      <c r="BN41" s="42"/>
      <c r="BO41" s="42"/>
      <c r="BP41" s="42"/>
      <c r="BQ41" s="42"/>
      <c r="BR41" s="42"/>
      <c r="BS41" s="42"/>
      <c r="BT41" s="42"/>
      <c r="BU41" s="42"/>
      <c r="BV41" s="42"/>
      <c r="BW41" s="42"/>
      <c r="BX41" s="42"/>
      <c r="BY41" s="42"/>
      <c r="BZ41" s="42"/>
      <c r="CA41" s="42"/>
      <c r="CB41" s="42"/>
      <c r="CC41" s="42"/>
      <c r="CD41" s="42"/>
      <c r="CE41" s="42"/>
      <c r="CF41" s="42"/>
      <c r="CG41" s="42"/>
      <c r="CH41" s="42"/>
      <c r="CI41" s="40"/>
      <c r="CJ41" s="40"/>
      <c r="CK41" s="40"/>
    </row>
    <row r="42" spans="1:89" s="40" customFormat="1" ht="19.8" customHeight="1" thickTop="1">
      <c r="A42" s="771"/>
      <c r="B42" s="772"/>
      <c r="C42" s="487"/>
      <c r="D42" s="773"/>
      <c r="E42" s="42"/>
      <c r="F42" s="42"/>
      <c r="G42" s="42"/>
      <c r="H42" s="42"/>
      <c r="I42" s="42"/>
      <c r="J42" s="42"/>
      <c r="K42" s="774"/>
      <c r="L42" s="1137"/>
      <c r="M42" s="42"/>
      <c r="N42" s="42"/>
      <c r="O42" s="851"/>
      <c r="P42" s="852"/>
      <c r="Q42" s="774"/>
      <c r="R42" s="42"/>
      <c r="S42" s="42"/>
      <c r="T42" s="42"/>
      <c r="U42" s="42"/>
      <c r="V42" s="42"/>
      <c r="W42" s="774"/>
      <c r="X42" s="1137"/>
      <c r="Y42" s="42"/>
      <c r="Z42" s="42"/>
      <c r="AA42" s="851"/>
      <c r="AB42" s="852"/>
      <c r="AC42" s="42"/>
      <c r="AD42" s="42"/>
      <c r="AE42" s="42"/>
      <c r="AF42" s="42"/>
      <c r="AG42" s="42"/>
      <c r="AH42" s="774"/>
      <c r="AI42" s="774"/>
      <c r="AJ42" s="1137"/>
      <c r="AK42" s="42"/>
      <c r="AL42" s="42"/>
      <c r="AM42" s="851"/>
      <c r="AN42" s="852"/>
      <c r="AO42" s="42"/>
      <c r="AP42" s="42"/>
      <c r="AQ42" s="42"/>
      <c r="AR42" s="42"/>
      <c r="AS42" s="42"/>
      <c r="AT42" s="42"/>
      <c r="AU42" s="42"/>
      <c r="AV42" s="42"/>
      <c r="AW42" s="42"/>
      <c r="AX42" s="42"/>
      <c r="AY42" s="42"/>
      <c r="AZ42" s="42"/>
      <c r="BA42" s="42"/>
      <c r="BB42" s="42"/>
      <c r="BC42" s="42"/>
      <c r="BD42" s="42"/>
      <c r="BE42" s="42"/>
      <c r="BF42" s="42"/>
      <c r="BG42" s="42"/>
      <c r="BH42" s="42"/>
      <c r="BI42" s="42"/>
      <c r="BJ42" s="42"/>
      <c r="BK42" s="42"/>
      <c r="BL42" s="42"/>
      <c r="BM42" s="42"/>
      <c r="BN42" s="42"/>
      <c r="BO42" s="42"/>
      <c r="BP42" s="42"/>
      <c r="BQ42" s="42"/>
      <c r="BR42" s="42"/>
      <c r="BS42" s="42"/>
      <c r="BT42" s="42"/>
      <c r="BU42" s="42"/>
      <c r="BV42" s="42"/>
      <c r="BW42" s="42"/>
      <c r="BX42" s="42"/>
      <c r="BY42" s="42"/>
      <c r="BZ42" s="42"/>
      <c r="CA42" s="42"/>
      <c r="CB42" s="42"/>
      <c r="CC42" s="42"/>
      <c r="CD42" s="42"/>
      <c r="CE42" s="42"/>
      <c r="CF42" s="42"/>
      <c r="CG42" s="42"/>
      <c r="CH42" s="42"/>
    </row>
    <row r="43" spans="1:89" s="31" customFormat="1">
      <c r="A43" s="1227" t="s">
        <v>484</v>
      </c>
      <c r="B43" s="1227"/>
      <c r="C43" s="1227"/>
      <c r="D43" s="768" t="s">
        <v>278</v>
      </c>
      <c r="E43" s="769">
        <f>E$30+E$35+E$40</f>
        <v>19700</v>
      </c>
      <c r="F43" s="769">
        <f t="shared" ref="F43:AN43" si="41">F$30+F$35+F$40</f>
        <v>21170</v>
      </c>
      <c r="G43" s="769">
        <f t="shared" si="41"/>
        <v>23840</v>
      </c>
      <c r="H43" s="769">
        <f t="shared" si="41"/>
        <v>26510</v>
      </c>
      <c r="I43" s="769">
        <f t="shared" si="41"/>
        <v>29380</v>
      </c>
      <c r="J43" s="769">
        <f t="shared" si="41"/>
        <v>32250</v>
      </c>
      <c r="K43" s="769">
        <f t="shared" si="41"/>
        <v>35820</v>
      </c>
      <c r="L43" s="1138">
        <f t="shared" si="41"/>
        <v>34215.5</v>
      </c>
      <c r="M43" s="769">
        <f t="shared" si="41"/>
        <v>35820</v>
      </c>
      <c r="N43" s="769">
        <f t="shared" si="41"/>
        <v>39390</v>
      </c>
      <c r="O43" s="853">
        <f t="shared" si="41"/>
        <v>41444.6</v>
      </c>
      <c r="P43" s="854">
        <f t="shared" si="41"/>
        <v>44276</v>
      </c>
      <c r="Q43" s="769">
        <f t="shared" si="41"/>
        <v>48162.8</v>
      </c>
      <c r="R43" s="769">
        <f t="shared" si="41"/>
        <v>52869.9</v>
      </c>
      <c r="S43" s="769">
        <f t="shared" si="41"/>
        <v>58195</v>
      </c>
      <c r="T43" s="769">
        <f t="shared" si="41"/>
        <v>64138.1</v>
      </c>
      <c r="U43" s="769">
        <f t="shared" si="41"/>
        <v>70905.2</v>
      </c>
      <c r="V43" s="769">
        <f t="shared" si="41"/>
        <v>79011.3</v>
      </c>
      <c r="W43" s="769">
        <f t="shared" si="41"/>
        <v>88353.4</v>
      </c>
      <c r="X43" s="1138">
        <f t="shared" si="41"/>
        <v>81766.399999999994</v>
      </c>
      <c r="Y43" s="769">
        <f t="shared" si="41"/>
        <v>100713.4</v>
      </c>
      <c r="Z43" s="769">
        <f t="shared" si="41"/>
        <v>113351.5</v>
      </c>
      <c r="AA43" s="853">
        <f t="shared" si="41"/>
        <v>127843.6</v>
      </c>
      <c r="AB43" s="854">
        <f t="shared" si="41"/>
        <v>128072.3</v>
      </c>
      <c r="AC43" s="769">
        <f t="shared" si="41"/>
        <v>133531.26</v>
      </c>
      <c r="AD43" s="769">
        <f t="shared" si="41"/>
        <v>152883.31200000001</v>
      </c>
      <c r="AE43" s="769">
        <f t="shared" si="41"/>
        <v>196020.948</v>
      </c>
      <c r="AF43" s="769">
        <f t="shared" si="41"/>
        <v>198889.08600000001</v>
      </c>
      <c r="AG43" s="769">
        <f t="shared" si="41"/>
        <v>229219.90800000002</v>
      </c>
      <c r="AH43" s="769">
        <f t="shared" si="41"/>
        <v>287433.65399999998</v>
      </c>
      <c r="AI43" s="769">
        <f t="shared" si="41"/>
        <v>331684.92599999998</v>
      </c>
      <c r="AJ43" s="1138">
        <f t="shared" si="41"/>
        <v>342922.66889999999</v>
      </c>
      <c r="AK43" s="769">
        <f t="shared" si="41"/>
        <v>329268.54599999997</v>
      </c>
      <c r="AL43" s="769">
        <f t="shared" si="41"/>
        <v>377207.424</v>
      </c>
      <c r="AM43" s="853">
        <f t="shared" si="41"/>
        <v>407499.16368</v>
      </c>
      <c r="AN43" s="854">
        <f t="shared" si="41"/>
        <v>431782.94219999999</v>
      </c>
      <c r="AO43" s="48"/>
      <c r="AP43" s="42"/>
      <c r="AQ43" s="42"/>
      <c r="AR43" s="42"/>
      <c r="AS43" s="42"/>
      <c r="AT43" s="42"/>
      <c r="AU43" s="42"/>
      <c r="AV43" s="42"/>
      <c r="AW43" s="42"/>
      <c r="AX43" s="42"/>
      <c r="AY43" s="42"/>
      <c r="AZ43" s="42"/>
      <c r="BA43" s="42"/>
      <c r="BB43" s="42"/>
      <c r="BC43" s="42"/>
      <c r="BD43" s="42"/>
      <c r="BE43" s="42"/>
      <c r="BF43" s="42"/>
      <c r="BG43" s="42"/>
      <c r="BH43" s="42"/>
      <c r="BI43" s="42"/>
      <c r="BJ43" s="42"/>
      <c r="BK43" s="42"/>
      <c r="BL43" s="42"/>
      <c r="BM43" s="42"/>
      <c r="BN43" s="42"/>
      <c r="BO43" s="42"/>
      <c r="BP43" s="42"/>
      <c r="BQ43" s="42"/>
      <c r="BR43" s="42"/>
      <c r="BS43" s="42"/>
      <c r="BT43" s="42"/>
      <c r="BU43" s="42"/>
      <c r="BV43" s="42"/>
      <c r="BW43" s="42"/>
      <c r="BX43" s="42"/>
      <c r="BY43" s="42"/>
      <c r="BZ43" s="42"/>
      <c r="CA43" s="42"/>
      <c r="CB43" s="42"/>
      <c r="CC43" s="42"/>
      <c r="CD43" s="42"/>
      <c r="CE43" s="42"/>
      <c r="CF43" s="42"/>
      <c r="CG43" s="42"/>
      <c r="CH43" s="42"/>
      <c r="CI43" s="40"/>
      <c r="CJ43" s="40"/>
      <c r="CK43" s="40"/>
    </row>
    <row r="44" spans="1:89" s="31" customFormat="1">
      <c r="A44" s="1227"/>
      <c r="B44" s="1227"/>
      <c r="C44" s="1227"/>
      <c r="D44" s="768" t="s">
        <v>279</v>
      </c>
      <c r="E44" s="770">
        <f>E$31+E$36+E$41</f>
        <v>14504</v>
      </c>
      <c r="F44" s="770">
        <f t="shared" ref="F44:AN44" si="42">F$31+F$36+F$41</f>
        <v>15579.5</v>
      </c>
      <c r="G44" s="770">
        <f t="shared" si="42"/>
        <v>17556.699999999997</v>
      </c>
      <c r="H44" s="770">
        <f t="shared" si="42"/>
        <v>19533.900000000001</v>
      </c>
      <c r="I44" s="770">
        <f t="shared" si="42"/>
        <v>21663</v>
      </c>
      <c r="J44" s="770">
        <f t="shared" si="42"/>
        <v>23792.1</v>
      </c>
      <c r="K44" s="770">
        <f t="shared" si="42"/>
        <v>26448</v>
      </c>
      <c r="L44" s="1139">
        <f t="shared" si="42"/>
        <v>25228.814999999999</v>
      </c>
      <c r="M44" s="770">
        <f t="shared" si="42"/>
        <v>26448</v>
      </c>
      <c r="N44" s="770">
        <f t="shared" si="42"/>
        <v>29103.899999999998</v>
      </c>
      <c r="O44" s="855">
        <f t="shared" si="42"/>
        <v>30480.531999999999</v>
      </c>
      <c r="P44" s="856">
        <f t="shared" si="42"/>
        <v>32511.294999999998</v>
      </c>
      <c r="Q44" s="770">
        <f t="shared" si="42"/>
        <v>35695.267999999996</v>
      </c>
      <c r="R44" s="770">
        <f t="shared" si="42"/>
        <v>39223.120999999999</v>
      </c>
      <c r="S44" s="770">
        <f t="shared" si="42"/>
        <v>43220.345000000001</v>
      </c>
      <c r="T44" s="770">
        <f t="shared" si="42"/>
        <v>47686.94</v>
      </c>
      <c r="U44" s="770">
        <f t="shared" si="42"/>
        <v>52779.362999999998</v>
      </c>
      <c r="V44" s="770">
        <f t="shared" si="42"/>
        <v>58883.760999999999</v>
      </c>
      <c r="W44" s="770">
        <f t="shared" si="42"/>
        <v>65926.900999999998</v>
      </c>
      <c r="X44" s="1139">
        <f t="shared" si="42"/>
        <v>60919.109299999996</v>
      </c>
      <c r="Y44" s="770">
        <f t="shared" si="42"/>
        <v>75314.320999999996</v>
      </c>
      <c r="Z44" s="770">
        <f t="shared" si="42"/>
        <v>84860.773000000001</v>
      </c>
      <c r="AA44" s="855">
        <f t="shared" si="42"/>
        <v>95815.338000000003</v>
      </c>
      <c r="AB44" s="856">
        <f t="shared" si="42"/>
        <v>95639.570200000002</v>
      </c>
      <c r="AC44" s="770">
        <f t="shared" si="42"/>
        <v>99942.422340000005</v>
      </c>
      <c r="AD44" s="770">
        <f t="shared" si="42"/>
        <v>114392.26968000001</v>
      </c>
      <c r="AE44" s="770">
        <f t="shared" si="42"/>
        <v>146632.66223999998</v>
      </c>
      <c r="AF44" s="770">
        <f t="shared" si="42"/>
        <v>148673.34768000001</v>
      </c>
      <c r="AG44" s="770">
        <f t="shared" si="42"/>
        <v>171271.85874</v>
      </c>
      <c r="AH44" s="770">
        <f t="shared" si="42"/>
        <v>214747.3677</v>
      </c>
      <c r="AI44" s="770">
        <f t="shared" si="42"/>
        <v>247698.17598</v>
      </c>
      <c r="AJ44" s="1139">
        <f t="shared" si="42"/>
        <v>256633.53423300001</v>
      </c>
      <c r="AK44" s="770">
        <f t="shared" si="42"/>
        <v>245847.64913999999</v>
      </c>
      <c r="AL44" s="770">
        <f t="shared" si="42"/>
        <v>281464.98528000002</v>
      </c>
      <c r="AM44" s="855">
        <f t="shared" si="42"/>
        <v>303363.16217760002</v>
      </c>
      <c r="AN44" s="856">
        <f t="shared" si="42"/>
        <v>320949.83741700003</v>
      </c>
      <c r="AO44" s="48"/>
      <c r="AP44" s="42"/>
      <c r="AQ44" s="42"/>
      <c r="AR44" s="42"/>
      <c r="AS44" s="42"/>
      <c r="AT44" s="42"/>
      <c r="AU44" s="42"/>
      <c r="AV44" s="42"/>
      <c r="AW44" s="42"/>
      <c r="AX44" s="42"/>
      <c r="AY44" s="42"/>
      <c r="AZ44" s="42"/>
      <c r="BA44" s="42"/>
      <c r="BB44" s="42"/>
      <c r="BC44" s="42"/>
      <c r="BD44" s="42"/>
      <c r="BE44" s="42"/>
      <c r="BF44" s="42"/>
      <c r="BG44" s="42"/>
      <c r="BH44" s="42"/>
      <c r="BI44" s="42"/>
      <c r="BJ44" s="42"/>
      <c r="BK44" s="42"/>
      <c r="BL44" s="42"/>
      <c r="BM44" s="42"/>
      <c r="BN44" s="42"/>
      <c r="BO44" s="42"/>
      <c r="BP44" s="42"/>
      <c r="BQ44" s="42"/>
      <c r="BR44" s="42"/>
      <c r="BS44" s="42"/>
      <c r="BT44" s="42"/>
      <c r="BU44" s="42"/>
      <c r="BV44" s="42"/>
      <c r="BW44" s="42"/>
      <c r="BX44" s="42"/>
      <c r="BY44" s="42"/>
      <c r="BZ44" s="42"/>
      <c r="CA44" s="42"/>
      <c r="CB44" s="42"/>
      <c r="CC44" s="42"/>
      <c r="CD44" s="42"/>
      <c r="CE44" s="42"/>
      <c r="CF44" s="42"/>
      <c r="CG44" s="42"/>
      <c r="CH44" s="42"/>
      <c r="CI44" s="40"/>
      <c r="CJ44" s="40"/>
      <c r="CK44" s="40"/>
    </row>
    <row r="45" spans="1:89" s="40" customFormat="1" ht="18.600000000000001" thickBot="1">
      <c r="A45" s="775"/>
      <c r="B45" s="775"/>
      <c r="C45" s="775"/>
      <c r="D45" s="300"/>
      <c r="E45" s="48"/>
      <c r="F45" s="48"/>
      <c r="G45" s="48"/>
      <c r="H45" s="48"/>
      <c r="I45" s="48"/>
      <c r="J45" s="48"/>
      <c r="K45" s="48"/>
      <c r="L45" s="1140"/>
      <c r="M45" s="48"/>
      <c r="N45" s="48"/>
      <c r="O45" s="857"/>
      <c r="P45" s="858"/>
      <c r="Q45" s="48"/>
      <c r="R45" s="48"/>
      <c r="S45" s="48"/>
      <c r="T45" s="48"/>
      <c r="U45" s="48"/>
      <c r="V45" s="48"/>
      <c r="W45" s="48"/>
      <c r="X45" s="1140"/>
      <c r="Y45" s="48"/>
      <c r="Z45" s="48"/>
      <c r="AA45" s="857"/>
      <c r="AB45" s="858"/>
      <c r="AC45" s="48"/>
      <c r="AD45" s="48"/>
      <c r="AE45" s="48"/>
      <c r="AF45" s="48"/>
      <c r="AG45" s="48"/>
      <c r="AH45" s="48"/>
      <c r="AI45" s="48"/>
      <c r="AJ45" s="1140"/>
      <c r="AK45" s="48"/>
      <c r="AL45" s="48"/>
      <c r="AM45" s="857"/>
      <c r="AN45" s="858"/>
      <c r="AO45" s="48"/>
      <c r="AP45" s="42"/>
      <c r="AQ45" s="42"/>
      <c r="AR45" s="42"/>
      <c r="AS45" s="42"/>
      <c r="AT45" s="42"/>
      <c r="AU45" s="42"/>
      <c r="AV45" s="42"/>
      <c r="AW45" s="42"/>
      <c r="AX45" s="42"/>
      <c r="AY45" s="42"/>
      <c r="AZ45" s="42"/>
      <c r="BA45" s="42"/>
      <c r="BB45" s="42"/>
      <c r="BC45" s="42"/>
      <c r="BD45" s="42"/>
      <c r="BE45" s="42"/>
      <c r="BF45" s="42"/>
      <c r="BG45" s="42"/>
      <c r="BH45" s="42"/>
      <c r="BI45" s="42"/>
      <c r="BJ45" s="42"/>
      <c r="BK45" s="42"/>
      <c r="BL45" s="42"/>
      <c r="BM45" s="42"/>
      <c r="BN45" s="42"/>
      <c r="BO45" s="42"/>
      <c r="BP45" s="42"/>
      <c r="BQ45" s="42"/>
      <c r="BR45" s="42"/>
      <c r="BS45" s="42"/>
      <c r="BT45" s="42"/>
      <c r="BU45" s="42"/>
      <c r="BV45" s="42"/>
      <c r="BW45" s="42"/>
      <c r="BX45" s="42"/>
      <c r="BY45" s="42"/>
      <c r="BZ45" s="42"/>
      <c r="CA45" s="42"/>
      <c r="CB45" s="42"/>
      <c r="CC45" s="42"/>
      <c r="CD45" s="42"/>
      <c r="CE45" s="42"/>
      <c r="CF45" s="42"/>
      <c r="CG45" s="42"/>
      <c r="CH45" s="42"/>
    </row>
    <row r="46" spans="1:89" s="31" customFormat="1" ht="16.2" thickTop="1">
      <c r="A46" s="1235" t="s">
        <v>319</v>
      </c>
      <c r="B46" s="474" t="s">
        <v>298</v>
      </c>
      <c r="C46" s="475"/>
      <c r="D46" s="486" t="s">
        <v>233</v>
      </c>
      <c r="E46" s="483">
        <v>0</v>
      </c>
      <c r="F46" s="483">
        <v>0</v>
      </c>
      <c r="G46" s="483">
        <v>0</v>
      </c>
      <c r="H46" s="483">
        <v>0</v>
      </c>
      <c r="I46" s="483">
        <v>0</v>
      </c>
      <c r="J46" s="483">
        <v>0</v>
      </c>
      <c r="K46" s="515">
        <v>0</v>
      </c>
      <c r="L46" s="1141">
        <v>0</v>
      </c>
      <c r="M46" s="483">
        <v>0</v>
      </c>
      <c r="N46" s="483">
        <v>0</v>
      </c>
      <c r="O46" s="859">
        <v>0</v>
      </c>
      <c r="P46" s="860">
        <v>0</v>
      </c>
      <c r="Q46" s="515">
        <v>0</v>
      </c>
      <c r="R46" s="483">
        <v>0</v>
      </c>
      <c r="S46" s="483">
        <v>0</v>
      </c>
      <c r="T46" s="483">
        <v>0</v>
      </c>
      <c r="U46" s="483">
        <v>0</v>
      </c>
      <c r="V46" s="483">
        <v>0</v>
      </c>
      <c r="W46" s="515">
        <v>0</v>
      </c>
      <c r="X46" s="1141">
        <v>0</v>
      </c>
      <c r="Y46" s="483">
        <v>0</v>
      </c>
      <c r="Z46" s="483">
        <v>0</v>
      </c>
      <c r="AA46" s="859">
        <v>0</v>
      </c>
      <c r="AB46" s="860">
        <v>0</v>
      </c>
      <c r="AC46" s="489">
        <v>50</v>
      </c>
      <c r="AD46" s="483">
        <f t="shared" ref="AD46:AL46" si="43">ROUNDUP(AC46+(AC46*$K10),0)</f>
        <v>60</v>
      </c>
      <c r="AE46" s="483">
        <f t="shared" si="43"/>
        <v>72</v>
      </c>
      <c r="AF46" s="483">
        <f t="shared" si="43"/>
        <v>87</v>
      </c>
      <c r="AG46" s="483">
        <f t="shared" si="43"/>
        <v>105</v>
      </c>
      <c r="AH46" s="515">
        <f t="shared" si="43"/>
        <v>126</v>
      </c>
      <c r="AI46" s="515">
        <f t="shared" si="43"/>
        <v>152</v>
      </c>
      <c r="AJ46" s="1141">
        <f t="shared" si="43"/>
        <v>183</v>
      </c>
      <c r="AK46" s="483">
        <f t="shared" si="43"/>
        <v>220</v>
      </c>
      <c r="AL46" s="483">
        <f t="shared" si="43"/>
        <v>264</v>
      </c>
      <c r="AM46" s="859">
        <f>ROUNDUP(AL46+(AL46*$I9),0)</f>
        <v>396</v>
      </c>
      <c r="AN46" s="860">
        <f>ROUNDUP(AL46+(AL46*$I8),0)</f>
        <v>476</v>
      </c>
      <c r="AO46" s="880"/>
      <c r="AP46" s="42"/>
      <c r="AQ46" s="42"/>
      <c r="AR46" s="42"/>
      <c r="AS46" s="42"/>
      <c r="AT46" s="42"/>
      <c r="AU46" s="42"/>
      <c r="AV46" s="42"/>
      <c r="AW46" s="42"/>
      <c r="AX46" s="42"/>
      <c r="AY46" s="42"/>
      <c r="AZ46" s="42"/>
      <c r="BA46" s="42"/>
      <c r="BB46" s="42"/>
      <c r="BC46" s="42"/>
      <c r="BD46" s="42"/>
      <c r="BE46" s="42"/>
      <c r="BF46" s="42"/>
      <c r="BG46" s="42"/>
      <c r="BH46" s="42"/>
      <c r="BI46" s="42"/>
      <c r="BJ46" s="42"/>
      <c r="BK46" s="42"/>
      <c r="BL46" s="42"/>
      <c r="BM46" s="42"/>
      <c r="BN46" s="42"/>
      <c r="BO46" s="42"/>
      <c r="BP46" s="42"/>
      <c r="BQ46" s="42"/>
      <c r="BR46" s="42"/>
      <c r="BS46" s="42"/>
      <c r="BT46" s="42"/>
      <c r="BU46" s="42"/>
      <c r="BV46" s="42"/>
      <c r="BW46" s="42"/>
      <c r="BX46" s="42"/>
      <c r="BY46" s="42"/>
      <c r="BZ46" s="42"/>
      <c r="CA46" s="42"/>
      <c r="CB46" s="42"/>
      <c r="CC46" s="42"/>
      <c r="CD46" s="42"/>
      <c r="CE46" s="42"/>
      <c r="CF46" s="42"/>
      <c r="CG46" s="42"/>
      <c r="CH46" s="42"/>
      <c r="CI46" s="40"/>
      <c r="CJ46" s="40"/>
      <c r="CK46" s="40"/>
    </row>
    <row r="47" spans="1:89" s="31" customFormat="1">
      <c r="A47" s="1236"/>
      <c r="B47" s="477"/>
      <c r="C47" s="475"/>
      <c r="D47" s="477" t="s">
        <v>234</v>
      </c>
      <c r="E47" s="484">
        <v>0</v>
      </c>
      <c r="F47" s="484">
        <v>0</v>
      </c>
      <c r="G47" s="484">
        <v>0</v>
      </c>
      <c r="H47" s="484">
        <v>0</v>
      </c>
      <c r="I47" s="484">
        <v>0</v>
      </c>
      <c r="J47" s="484">
        <v>0</v>
      </c>
      <c r="K47" s="516">
        <v>0</v>
      </c>
      <c r="L47" s="1142">
        <v>0</v>
      </c>
      <c r="M47" s="484">
        <v>0</v>
      </c>
      <c r="N47" s="484">
        <v>0</v>
      </c>
      <c r="O47" s="861">
        <v>0</v>
      </c>
      <c r="P47" s="862">
        <v>0</v>
      </c>
      <c r="Q47" s="516">
        <v>0</v>
      </c>
      <c r="R47" s="484">
        <v>0</v>
      </c>
      <c r="S47" s="484">
        <v>0</v>
      </c>
      <c r="T47" s="484">
        <v>0</v>
      </c>
      <c r="U47" s="484">
        <v>0</v>
      </c>
      <c r="V47" s="484">
        <v>0</v>
      </c>
      <c r="W47" s="516">
        <v>0</v>
      </c>
      <c r="X47" s="1142">
        <v>0</v>
      </c>
      <c r="Y47" s="484">
        <v>0</v>
      </c>
      <c r="Z47" s="484">
        <v>0</v>
      </c>
      <c r="AA47" s="861">
        <v>0</v>
      </c>
      <c r="AB47" s="862">
        <v>0</v>
      </c>
      <c r="AC47" s="484">
        <f>'Pricing Model'!L56</f>
        <v>388.72200000000004</v>
      </c>
      <c r="AD47" s="484">
        <f>$AC47</f>
        <v>388.72200000000004</v>
      </c>
      <c r="AE47" s="484">
        <f t="shared" ref="AE47:AH47" si="44">$AC47</f>
        <v>388.72200000000004</v>
      </c>
      <c r="AF47" s="484">
        <f t="shared" si="44"/>
        <v>388.72200000000004</v>
      </c>
      <c r="AG47" s="484">
        <f t="shared" si="44"/>
        <v>388.72200000000004</v>
      </c>
      <c r="AH47" s="516">
        <f t="shared" si="44"/>
        <v>388.72200000000004</v>
      </c>
      <c r="AI47" s="516">
        <f>AH47*(1-$H10)</f>
        <v>330.41370000000001</v>
      </c>
      <c r="AJ47" s="1142">
        <f>AH47*(1-$H10)</f>
        <v>330.41370000000001</v>
      </c>
      <c r="AK47" s="484">
        <f>$AH47</f>
        <v>388.72200000000004</v>
      </c>
      <c r="AL47" s="484">
        <f>$AH47</f>
        <v>388.72200000000004</v>
      </c>
      <c r="AM47" s="861">
        <f>AC47*(1-$H9)</f>
        <v>322.63926000000004</v>
      </c>
      <c r="AN47" s="862">
        <f>AC47*(1-$H$8)</f>
        <v>310.97760000000005</v>
      </c>
      <c r="AO47" s="485"/>
      <c r="AP47" s="42"/>
      <c r="AQ47" s="42"/>
      <c r="AR47" s="42"/>
      <c r="AS47" s="42"/>
      <c r="AT47" s="42"/>
      <c r="AU47" s="42"/>
      <c r="AV47" s="42"/>
      <c r="AW47" s="42"/>
      <c r="AX47" s="42"/>
      <c r="AY47" s="42"/>
      <c r="AZ47" s="42"/>
      <c r="BA47" s="42"/>
      <c r="BB47" s="42"/>
      <c r="BC47" s="42"/>
      <c r="BD47" s="42"/>
      <c r="BE47" s="42"/>
      <c r="BF47" s="42"/>
      <c r="BG47" s="42"/>
      <c r="BH47" s="42"/>
      <c r="BI47" s="42"/>
      <c r="BJ47" s="42"/>
      <c r="BK47" s="42"/>
      <c r="BL47" s="42"/>
      <c r="BM47" s="42"/>
      <c r="BN47" s="42"/>
      <c r="BO47" s="42"/>
      <c r="BP47" s="42"/>
      <c r="BQ47" s="42"/>
      <c r="BR47" s="42"/>
      <c r="BS47" s="42"/>
      <c r="BT47" s="42"/>
      <c r="BU47" s="42"/>
      <c r="BV47" s="42"/>
      <c r="BW47" s="42"/>
      <c r="BX47" s="42"/>
      <c r="BY47" s="42"/>
      <c r="BZ47" s="42"/>
      <c r="CA47" s="42"/>
      <c r="CB47" s="42"/>
      <c r="CC47" s="42"/>
      <c r="CD47" s="42"/>
      <c r="CE47" s="42"/>
      <c r="CF47" s="42"/>
      <c r="CG47" s="42"/>
      <c r="CH47" s="42"/>
      <c r="CI47" s="40"/>
      <c r="CJ47" s="40"/>
      <c r="CK47" s="40"/>
    </row>
    <row r="48" spans="1:89" s="31" customFormat="1">
      <c r="A48" s="1236"/>
      <c r="B48" s="477"/>
      <c r="C48" s="480"/>
      <c r="D48" s="477" t="s">
        <v>235</v>
      </c>
      <c r="E48" s="484">
        <v>0</v>
      </c>
      <c r="F48" s="484">
        <v>0</v>
      </c>
      <c r="G48" s="484">
        <v>0</v>
      </c>
      <c r="H48" s="484">
        <v>0</v>
      </c>
      <c r="I48" s="484">
        <v>0</v>
      </c>
      <c r="J48" s="484">
        <v>0</v>
      </c>
      <c r="K48" s="516">
        <v>0</v>
      </c>
      <c r="L48" s="1142">
        <v>0</v>
      </c>
      <c r="M48" s="484">
        <v>0</v>
      </c>
      <c r="N48" s="484">
        <v>0</v>
      </c>
      <c r="O48" s="861">
        <v>0</v>
      </c>
      <c r="P48" s="862">
        <v>0</v>
      </c>
      <c r="Q48" s="516">
        <v>0</v>
      </c>
      <c r="R48" s="484">
        <v>0</v>
      </c>
      <c r="S48" s="484">
        <v>0</v>
      </c>
      <c r="T48" s="484">
        <v>0</v>
      </c>
      <c r="U48" s="484">
        <v>0</v>
      </c>
      <c r="V48" s="484">
        <v>0</v>
      </c>
      <c r="W48" s="516">
        <v>0</v>
      </c>
      <c r="X48" s="1142">
        <v>0</v>
      </c>
      <c r="Y48" s="484">
        <v>0</v>
      </c>
      <c r="Z48" s="484">
        <v>0</v>
      </c>
      <c r="AA48" s="861">
        <v>0</v>
      </c>
      <c r="AB48" s="862">
        <v>0</v>
      </c>
      <c r="AC48" s="484">
        <f>AC46*AC47</f>
        <v>19436.100000000002</v>
      </c>
      <c r="AD48" s="484">
        <f t="shared" ref="AD48:AL48" si="45">AD46*AD47</f>
        <v>23323.320000000003</v>
      </c>
      <c r="AE48" s="484">
        <f t="shared" si="45"/>
        <v>27987.984000000004</v>
      </c>
      <c r="AF48" s="484">
        <f t="shared" si="45"/>
        <v>33818.814000000006</v>
      </c>
      <c r="AG48" s="484">
        <f t="shared" si="45"/>
        <v>40815.810000000005</v>
      </c>
      <c r="AH48" s="516">
        <f t="shared" si="45"/>
        <v>48978.972000000002</v>
      </c>
      <c r="AI48" s="516">
        <f t="shared" si="45"/>
        <v>50222.882400000002</v>
      </c>
      <c r="AJ48" s="1142">
        <f t="shared" si="45"/>
        <v>60465.7071</v>
      </c>
      <c r="AK48" s="484">
        <f t="shared" si="45"/>
        <v>85518.840000000011</v>
      </c>
      <c r="AL48" s="484">
        <f t="shared" si="45"/>
        <v>102622.60800000001</v>
      </c>
      <c r="AM48" s="861">
        <f>AM46*AM47</f>
        <v>127765.14696000001</v>
      </c>
      <c r="AN48" s="862">
        <f t="shared" ref="AN48" si="46">AN46*AN47</f>
        <v>148025.33760000003</v>
      </c>
      <c r="AO48" s="485"/>
      <c r="AP48" s="42"/>
      <c r="AQ48" s="42"/>
      <c r="AR48" s="42"/>
      <c r="AS48" s="42"/>
      <c r="AT48" s="42"/>
      <c r="AU48" s="42"/>
      <c r="AV48" s="42"/>
      <c r="AW48" s="42"/>
      <c r="AX48" s="42"/>
      <c r="AY48" s="42"/>
      <c r="AZ48" s="42"/>
      <c r="BA48" s="42"/>
      <c r="BB48" s="42"/>
      <c r="BC48" s="42"/>
      <c r="BD48" s="42"/>
      <c r="BE48" s="42"/>
      <c r="BF48" s="42"/>
      <c r="BG48" s="42"/>
      <c r="BH48" s="42"/>
      <c r="BI48" s="42"/>
      <c r="BJ48" s="42"/>
      <c r="BK48" s="42"/>
      <c r="BL48" s="42"/>
      <c r="BM48" s="42"/>
      <c r="BN48" s="42"/>
      <c r="BO48" s="42"/>
      <c r="BP48" s="42"/>
      <c r="BQ48" s="42"/>
      <c r="BR48" s="42"/>
      <c r="BS48" s="42"/>
      <c r="BT48" s="42"/>
      <c r="BU48" s="42"/>
      <c r="BV48" s="42"/>
      <c r="BW48" s="42"/>
      <c r="BX48" s="42"/>
      <c r="BY48" s="42"/>
      <c r="BZ48" s="42"/>
      <c r="CA48" s="42"/>
      <c r="CB48" s="42"/>
      <c r="CC48" s="42"/>
      <c r="CD48" s="42"/>
      <c r="CE48" s="42"/>
      <c r="CF48" s="42"/>
      <c r="CG48" s="42"/>
      <c r="CH48" s="42"/>
      <c r="CI48" s="40"/>
      <c r="CJ48" s="40"/>
      <c r="CK48" s="40"/>
    </row>
    <row r="49" spans="1:92" s="31" customFormat="1">
      <c r="A49" s="1236"/>
      <c r="B49" s="481" t="s">
        <v>236</v>
      </c>
      <c r="C49" s="482">
        <f>'Pricing Model'!L66</f>
        <v>0.58067719346988345</v>
      </c>
      <c r="D49" s="477" t="s">
        <v>11</v>
      </c>
      <c r="E49" s="484">
        <v>0</v>
      </c>
      <c r="F49" s="484">
        <v>0</v>
      </c>
      <c r="G49" s="484">
        <v>0</v>
      </c>
      <c r="H49" s="484">
        <v>0</v>
      </c>
      <c r="I49" s="484">
        <v>0</v>
      </c>
      <c r="J49" s="484">
        <v>0</v>
      </c>
      <c r="K49" s="516">
        <v>0</v>
      </c>
      <c r="L49" s="1142">
        <v>0</v>
      </c>
      <c r="M49" s="484">
        <v>0</v>
      </c>
      <c r="N49" s="484">
        <v>0</v>
      </c>
      <c r="O49" s="861">
        <v>0</v>
      </c>
      <c r="P49" s="862">
        <v>0</v>
      </c>
      <c r="Q49" s="516">
        <v>0</v>
      </c>
      <c r="R49" s="484">
        <v>0</v>
      </c>
      <c r="S49" s="484">
        <v>0</v>
      </c>
      <c r="T49" s="484">
        <v>0</v>
      </c>
      <c r="U49" s="484">
        <v>0</v>
      </c>
      <c r="V49" s="484">
        <v>0</v>
      </c>
      <c r="W49" s="516">
        <v>0</v>
      </c>
      <c r="X49" s="1142">
        <v>0</v>
      </c>
      <c r="Y49" s="484">
        <v>0</v>
      </c>
      <c r="Z49" s="484">
        <v>0</v>
      </c>
      <c r="AA49" s="861">
        <v>0</v>
      </c>
      <c r="AB49" s="862">
        <v>0</v>
      </c>
      <c r="AC49" s="484">
        <f>AC48*$C49</f>
        <v>11286.100000000002</v>
      </c>
      <c r="AD49" s="484">
        <f t="shared" ref="AD49:AN49" si="47">AD48*$C49</f>
        <v>13543.320000000003</v>
      </c>
      <c r="AE49" s="484">
        <f t="shared" si="47"/>
        <v>16251.984000000004</v>
      </c>
      <c r="AF49" s="484">
        <f t="shared" si="47"/>
        <v>19637.814000000006</v>
      </c>
      <c r="AG49" s="484">
        <f t="shared" si="47"/>
        <v>23700.810000000005</v>
      </c>
      <c r="AH49" s="516">
        <f t="shared" si="47"/>
        <v>28440.972000000005</v>
      </c>
      <c r="AI49" s="516">
        <f t="shared" si="47"/>
        <v>29163.282400000007</v>
      </c>
      <c r="AJ49" s="1142">
        <f t="shared" si="47"/>
        <v>35111.057100000005</v>
      </c>
      <c r="AK49" s="484">
        <f t="shared" si="47"/>
        <v>49658.840000000011</v>
      </c>
      <c r="AL49" s="484">
        <f t="shared" si="47"/>
        <v>59590.608000000015</v>
      </c>
      <c r="AM49" s="861">
        <f t="shared" si="47"/>
        <v>74190.306960000016</v>
      </c>
      <c r="AN49" s="862">
        <f t="shared" si="47"/>
        <v>85954.937600000034</v>
      </c>
      <c r="AO49" s="485"/>
      <c r="AP49" s="42"/>
      <c r="AQ49" s="42"/>
      <c r="AR49" s="42"/>
      <c r="AS49" s="42"/>
      <c r="AT49" s="42"/>
      <c r="AU49" s="42"/>
      <c r="AV49" s="42"/>
      <c r="AW49" s="42"/>
      <c r="AX49" s="42"/>
      <c r="AY49" s="42"/>
      <c r="AZ49" s="42"/>
      <c r="BA49" s="42"/>
      <c r="BB49" s="42"/>
      <c r="BC49" s="42"/>
      <c r="BD49" s="42"/>
      <c r="BE49" s="42"/>
      <c r="BF49" s="42"/>
      <c r="BG49" s="42"/>
      <c r="BH49" s="42"/>
      <c r="BI49" s="42"/>
      <c r="BJ49" s="42"/>
      <c r="BK49" s="42"/>
      <c r="BL49" s="42"/>
      <c r="BM49" s="42"/>
      <c r="BN49" s="42"/>
      <c r="BO49" s="42"/>
      <c r="BP49" s="42"/>
      <c r="BQ49" s="42"/>
      <c r="BR49" s="42"/>
      <c r="BS49" s="42"/>
      <c r="BT49" s="42"/>
      <c r="BU49" s="42"/>
      <c r="BV49" s="42"/>
      <c r="BW49" s="42"/>
      <c r="BX49" s="42"/>
      <c r="BY49" s="42"/>
      <c r="BZ49" s="42"/>
      <c r="CA49" s="42"/>
      <c r="CB49" s="42"/>
      <c r="CC49" s="42"/>
      <c r="CD49" s="42"/>
      <c r="CE49" s="42"/>
      <c r="CF49" s="42"/>
      <c r="CG49" s="42"/>
      <c r="CH49" s="42"/>
      <c r="CI49" s="40"/>
      <c r="CJ49" s="40"/>
      <c r="CK49" s="40"/>
    </row>
    <row r="50" spans="1:92" s="31" customFormat="1">
      <c r="A50" s="1236"/>
      <c r="B50" s="481"/>
      <c r="C50" s="482"/>
      <c r="D50" s="477"/>
      <c r="E50" s="484"/>
      <c r="F50" s="484"/>
      <c r="G50" s="484"/>
      <c r="H50" s="484"/>
      <c r="I50" s="484"/>
      <c r="J50" s="484"/>
      <c r="K50" s="516"/>
      <c r="L50" s="1142"/>
      <c r="M50" s="484"/>
      <c r="N50" s="484"/>
      <c r="O50" s="861"/>
      <c r="P50" s="862"/>
      <c r="Q50" s="516"/>
      <c r="R50" s="484"/>
      <c r="S50" s="484"/>
      <c r="T50" s="484"/>
      <c r="U50" s="484"/>
      <c r="V50" s="484"/>
      <c r="W50" s="516"/>
      <c r="X50" s="1142"/>
      <c r="Y50" s="484"/>
      <c r="Z50" s="484"/>
      <c r="AA50" s="861"/>
      <c r="AB50" s="862"/>
      <c r="AC50" s="484"/>
      <c r="AD50" s="484"/>
      <c r="AE50" s="484"/>
      <c r="AF50" s="484"/>
      <c r="AG50" s="484"/>
      <c r="AH50" s="516"/>
      <c r="AI50" s="516"/>
      <c r="AJ50" s="1142"/>
      <c r="AK50" s="484"/>
      <c r="AL50" s="484"/>
      <c r="AM50" s="861"/>
      <c r="AN50" s="862"/>
      <c r="AO50" s="485"/>
      <c r="AP50" s="42"/>
      <c r="AQ50" s="42"/>
      <c r="AR50" s="42"/>
      <c r="AS50" s="42"/>
      <c r="AT50" s="42"/>
      <c r="AU50" s="42"/>
      <c r="AV50" s="42"/>
      <c r="AW50" s="42"/>
      <c r="AX50" s="42"/>
      <c r="AY50" s="42"/>
      <c r="AZ50" s="42"/>
      <c r="BA50" s="42"/>
      <c r="BB50" s="42"/>
      <c r="BC50" s="42"/>
      <c r="BD50" s="42"/>
      <c r="BE50" s="42"/>
      <c r="BF50" s="42"/>
      <c r="BG50" s="42"/>
      <c r="BH50" s="42"/>
      <c r="BI50" s="42"/>
      <c r="BJ50" s="42"/>
      <c r="BK50" s="42"/>
      <c r="BL50" s="42"/>
      <c r="BM50" s="42"/>
      <c r="BN50" s="42"/>
      <c r="BO50" s="42"/>
      <c r="BP50" s="42"/>
      <c r="BQ50" s="42"/>
      <c r="BR50" s="42"/>
      <c r="BS50" s="42"/>
      <c r="BT50" s="42"/>
      <c r="BU50" s="42"/>
      <c r="BV50" s="42"/>
      <c r="BW50" s="42"/>
      <c r="BX50" s="42"/>
      <c r="BY50" s="42"/>
      <c r="BZ50" s="42"/>
      <c r="CA50" s="42"/>
      <c r="CB50" s="42"/>
      <c r="CC50" s="42"/>
      <c r="CD50" s="42"/>
      <c r="CE50" s="42"/>
      <c r="CF50" s="42"/>
      <c r="CG50" s="42"/>
      <c r="CH50" s="42"/>
      <c r="CI50" s="40"/>
      <c r="CJ50" s="40"/>
      <c r="CK50" s="40"/>
    </row>
    <row r="51" spans="1:92" s="31" customFormat="1">
      <c r="A51" s="1236"/>
      <c r="B51" s="474" t="s">
        <v>299</v>
      </c>
      <c r="C51" s="475"/>
      <c r="D51" s="486" t="s">
        <v>233</v>
      </c>
      <c r="E51" s="483">
        <v>0</v>
      </c>
      <c r="F51" s="483">
        <v>0</v>
      </c>
      <c r="G51" s="483">
        <v>0</v>
      </c>
      <c r="H51" s="483">
        <v>0</v>
      </c>
      <c r="I51" s="483">
        <v>0</v>
      </c>
      <c r="J51" s="483">
        <v>0</v>
      </c>
      <c r="K51" s="515">
        <v>0</v>
      </c>
      <c r="L51" s="1141">
        <v>0</v>
      </c>
      <c r="M51" s="483">
        <v>0</v>
      </c>
      <c r="N51" s="483">
        <v>0</v>
      </c>
      <c r="O51" s="859">
        <v>0</v>
      </c>
      <c r="P51" s="860">
        <v>0</v>
      </c>
      <c r="Q51" s="515">
        <v>0</v>
      </c>
      <c r="R51" s="483">
        <v>0</v>
      </c>
      <c r="S51" s="483">
        <v>0</v>
      </c>
      <c r="T51" s="483">
        <v>0</v>
      </c>
      <c r="U51" s="483">
        <v>0</v>
      </c>
      <c r="V51" s="483">
        <v>0</v>
      </c>
      <c r="W51" s="515">
        <v>0</v>
      </c>
      <c r="X51" s="1141">
        <v>0</v>
      </c>
      <c r="Y51" s="483">
        <v>0</v>
      </c>
      <c r="Z51" s="483">
        <v>0</v>
      </c>
      <c r="AA51" s="859">
        <v>0</v>
      </c>
      <c r="AB51" s="860">
        <v>0</v>
      </c>
      <c r="AC51" s="489">
        <v>10</v>
      </c>
      <c r="AD51" s="483">
        <f>ROUNDUP(AC51+(AC51*$K14),0)</f>
        <v>12</v>
      </c>
      <c r="AE51" s="483">
        <f>ROUNDUP(AD51+(AD51*$K14),0)</f>
        <v>15</v>
      </c>
      <c r="AF51" s="483">
        <f>ROUNDUP(AE51+(AE51*$K14),0)</f>
        <v>18</v>
      </c>
      <c r="AG51" s="483">
        <f>ROUNDUP(AF51+(AF51*$K14),0)</f>
        <v>22</v>
      </c>
      <c r="AH51" s="515">
        <f>ROUNDUP(AG51+(AG51*$K14),0)</f>
        <v>26</v>
      </c>
      <c r="AI51" s="515">
        <f>ROUNDUP(AH51+(AH51*$I14),0)</f>
        <v>33</v>
      </c>
      <c r="AJ51" s="1141">
        <f>ROUNDUP(AH51+(AH51*$I14),0)</f>
        <v>33</v>
      </c>
      <c r="AK51" s="483">
        <f>ROUNDUP(AH51+(A154*$K14),0)</f>
        <v>26</v>
      </c>
      <c r="AL51" s="483">
        <f>ROUNDUP(AK51+(AK51*$K14),0)</f>
        <v>31</v>
      </c>
      <c r="AM51" s="859">
        <f>ROUNDUP(AL51+(AL51*$I13),0)</f>
        <v>47</v>
      </c>
      <c r="AN51" s="860">
        <f>ROUNDUP(AL51+(AL51*$I12),0)</f>
        <v>53</v>
      </c>
      <c r="AO51" s="880"/>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2"/>
      <c r="BY51" s="42"/>
      <c r="BZ51" s="42"/>
      <c r="CA51" s="42"/>
      <c r="CB51" s="42"/>
      <c r="CC51" s="42"/>
      <c r="CD51" s="42"/>
      <c r="CE51" s="42"/>
      <c r="CF51" s="42"/>
      <c r="CG51" s="42"/>
      <c r="CH51" s="42"/>
      <c r="CI51" s="40"/>
      <c r="CJ51" s="40"/>
      <c r="CK51" s="40"/>
    </row>
    <row r="52" spans="1:92" s="31" customFormat="1">
      <c r="A52" s="1236"/>
      <c r="B52" s="477"/>
      <c r="C52" s="480"/>
      <c r="D52" s="477" t="s">
        <v>234</v>
      </c>
      <c r="E52" s="484">
        <v>0</v>
      </c>
      <c r="F52" s="484">
        <v>0</v>
      </c>
      <c r="G52" s="484">
        <v>0</v>
      </c>
      <c r="H52" s="484">
        <v>0</v>
      </c>
      <c r="I52" s="484">
        <v>0</v>
      </c>
      <c r="J52" s="484">
        <v>0</v>
      </c>
      <c r="K52" s="516">
        <v>0</v>
      </c>
      <c r="L52" s="1142">
        <v>0</v>
      </c>
      <c r="M52" s="484">
        <v>0</v>
      </c>
      <c r="N52" s="484">
        <v>0</v>
      </c>
      <c r="O52" s="861">
        <v>0</v>
      </c>
      <c r="P52" s="862">
        <v>0</v>
      </c>
      <c r="Q52" s="516">
        <v>0</v>
      </c>
      <c r="R52" s="484">
        <v>0</v>
      </c>
      <c r="S52" s="484">
        <v>0</v>
      </c>
      <c r="T52" s="484">
        <v>0</v>
      </c>
      <c r="U52" s="484">
        <v>0</v>
      </c>
      <c r="V52" s="484">
        <v>0</v>
      </c>
      <c r="W52" s="516">
        <v>0</v>
      </c>
      <c r="X52" s="1142">
        <v>0</v>
      </c>
      <c r="Y52" s="484">
        <v>0</v>
      </c>
      <c r="Z52" s="484">
        <v>0</v>
      </c>
      <c r="AA52" s="861">
        <v>0</v>
      </c>
      <c r="AB52" s="862">
        <v>0</v>
      </c>
      <c r="AC52" s="484">
        <f>'Pricing Model'!M56</f>
        <v>210.12</v>
      </c>
      <c r="AD52" s="484">
        <f>$AC52</f>
        <v>210.12</v>
      </c>
      <c r="AE52" s="484">
        <f t="shared" ref="AE52:AH52" si="48">$AC52</f>
        <v>210.12</v>
      </c>
      <c r="AF52" s="484">
        <f t="shared" si="48"/>
        <v>210.12</v>
      </c>
      <c r="AG52" s="484">
        <f t="shared" si="48"/>
        <v>210.12</v>
      </c>
      <c r="AH52" s="516">
        <f t="shared" si="48"/>
        <v>210.12</v>
      </c>
      <c r="AI52" s="516">
        <f>AH52*(1-$H14)</f>
        <v>168.096</v>
      </c>
      <c r="AJ52" s="1142">
        <f>AH52*(1-$H14)</f>
        <v>168.096</v>
      </c>
      <c r="AK52" s="484">
        <f>$AH52</f>
        <v>210.12</v>
      </c>
      <c r="AL52" s="484">
        <f>$AH52</f>
        <v>210.12</v>
      </c>
      <c r="AM52" s="861">
        <f>AC52*(1-$H13)</f>
        <v>147.084</v>
      </c>
      <c r="AN52" s="862">
        <f>AC52*(1-$H$12)</f>
        <v>136.578</v>
      </c>
      <c r="AO52" s="485"/>
      <c r="AP52" s="42"/>
      <c r="AQ52" s="42"/>
      <c r="AR52" s="42"/>
      <c r="AS52" s="42"/>
      <c r="AT52" s="42"/>
      <c r="AU52" s="42"/>
      <c r="AV52" s="42"/>
      <c r="AW52" s="42"/>
      <c r="AX52" s="42"/>
      <c r="AY52" s="42"/>
      <c r="AZ52" s="42"/>
      <c r="BA52" s="42"/>
      <c r="BB52" s="42"/>
      <c r="BC52" s="42"/>
      <c r="BD52" s="42"/>
      <c r="BE52" s="42"/>
      <c r="BF52" s="42"/>
      <c r="BG52" s="42"/>
      <c r="BH52" s="42"/>
      <c r="BI52" s="42"/>
      <c r="BJ52" s="42"/>
      <c r="BK52" s="42"/>
      <c r="BL52" s="42"/>
      <c r="BM52" s="42"/>
      <c r="BN52" s="42"/>
      <c r="BO52" s="42"/>
      <c r="BP52" s="42"/>
      <c r="BQ52" s="42"/>
      <c r="BR52" s="42"/>
      <c r="BS52" s="42"/>
      <c r="BT52" s="42"/>
      <c r="BU52" s="42"/>
      <c r="BV52" s="42"/>
      <c r="BW52" s="42"/>
      <c r="BX52" s="42"/>
      <c r="BY52" s="42"/>
      <c r="BZ52" s="42"/>
      <c r="CA52" s="42"/>
      <c r="CB52" s="42"/>
      <c r="CC52" s="42"/>
      <c r="CD52" s="42"/>
      <c r="CE52" s="42"/>
      <c r="CF52" s="42"/>
      <c r="CG52" s="42"/>
      <c r="CH52" s="42"/>
      <c r="CI52" s="40"/>
      <c r="CJ52" s="40"/>
      <c r="CK52" s="40"/>
    </row>
    <row r="53" spans="1:92" s="31" customFormat="1">
      <c r="A53" s="1236"/>
      <c r="B53" s="477"/>
      <c r="C53" s="478"/>
      <c r="D53" s="477" t="s">
        <v>235</v>
      </c>
      <c r="E53" s="484">
        <v>0</v>
      </c>
      <c r="F53" s="484">
        <v>0</v>
      </c>
      <c r="G53" s="484">
        <v>0</v>
      </c>
      <c r="H53" s="484">
        <v>0</v>
      </c>
      <c r="I53" s="484">
        <v>0</v>
      </c>
      <c r="J53" s="484">
        <v>0</v>
      </c>
      <c r="K53" s="516">
        <v>0</v>
      </c>
      <c r="L53" s="1142">
        <v>0</v>
      </c>
      <c r="M53" s="484">
        <v>0</v>
      </c>
      <c r="N53" s="484">
        <v>0</v>
      </c>
      <c r="O53" s="861">
        <v>0</v>
      </c>
      <c r="P53" s="862">
        <v>0</v>
      </c>
      <c r="Q53" s="516">
        <v>0</v>
      </c>
      <c r="R53" s="484">
        <v>0</v>
      </c>
      <c r="S53" s="484">
        <v>0</v>
      </c>
      <c r="T53" s="484">
        <v>0</v>
      </c>
      <c r="U53" s="484">
        <v>0</v>
      </c>
      <c r="V53" s="484">
        <v>0</v>
      </c>
      <c r="W53" s="516">
        <v>0</v>
      </c>
      <c r="X53" s="1142">
        <v>0</v>
      </c>
      <c r="Y53" s="484">
        <v>0</v>
      </c>
      <c r="Z53" s="484">
        <v>0</v>
      </c>
      <c r="AA53" s="861">
        <v>0</v>
      </c>
      <c r="AB53" s="862">
        <v>0</v>
      </c>
      <c r="AC53" s="484">
        <f>AC51*AC52</f>
        <v>2101.1999999999998</v>
      </c>
      <c r="AD53" s="484">
        <f t="shared" ref="AD53:AL53" si="49">AD51*AD52</f>
        <v>2521.44</v>
      </c>
      <c r="AE53" s="484">
        <f t="shared" si="49"/>
        <v>3151.8</v>
      </c>
      <c r="AF53" s="484">
        <f t="shared" si="49"/>
        <v>3782.16</v>
      </c>
      <c r="AG53" s="484">
        <f t="shared" si="49"/>
        <v>4622.6400000000003</v>
      </c>
      <c r="AH53" s="516">
        <f t="shared" si="49"/>
        <v>5463.12</v>
      </c>
      <c r="AI53" s="516">
        <f t="shared" si="49"/>
        <v>5547.1679999999997</v>
      </c>
      <c r="AJ53" s="1142">
        <f t="shared" si="49"/>
        <v>5547.1679999999997</v>
      </c>
      <c r="AK53" s="484">
        <f t="shared" si="49"/>
        <v>5463.12</v>
      </c>
      <c r="AL53" s="484">
        <f t="shared" si="49"/>
        <v>6513.72</v>
      </c>
      <c r="AM53" s="861">
        <f>AM51*AM52</f>
        <v>6912.9480000000003</v>
      </c>
      <c r="AN53" s="862">
        <f t="shared" ref="AN53" si="50">AN51*AN52</f>
        <v>7238.634</v>
      </c>
      <c r="AO53" s="485"/>
      <c r="AP53" s="42"/>
      <c r="AQ53" s="42"/>
      <c r="AR53" s="42"/>
      <c r="AS53" s="42"/>
      <c r="AT53" s="42"/>
      <c r="AU53" s="42"/>
      <c r="AV53" s="42"/>
      <c r="AW53" s="42"/>
      <c r="AX53" s="42"/>
      <c r="AY53" s="42"/>
      <c r="AZ53" s="42"/>
      <c r="BA53" s="42"/>
      <c r="BB53" s="42"/>
      <c r="BC53" s="42"/>
      <c r="BD53" s="42"/>
      <c r="BE53" s="42"/>
      <c r="BF53" s="42"/>
      <c r="BG53" s="42"/>
      <c r="BH53" s="42"/>
      <c r="BI53" s="42"/>
      <c r="BJ53" s="42"/>
      <c r="BK53" s="42"/>
      <c r="BL53" s="42"/>
      <c r="BM53" s="42"/>
      <c r="BN53" s="42"/>
      <c r="BO53" s="42"/>
      <c r="BP53" s="42"/>
      <c r="BQ53" s="42"/>
      <c r="BR53" s="42"/>
      <c r="BS53" s="42"/>
      <c r="BT53" s="42"/>
      <c r="BU53" s="42"/>
      <c r="BV53" s="42"/>
      <c r="BW53" s="42"/>
      <c r="BX53" s="42"/>
      <c r="BY53" s="42"/>
      <c r="BZ53" s="42"/>
      <c r="CA53" s="42"/>
      <c r="CB53" s="42"/>
      <c r="CC53" s="42"/>
      <c r="CD53" s="42"/>
      <c r="CE53" s="42"/>
      <c r="CF53" s="42"/>
      <c r="CG53" s="42"/>
      <c r="CH53" s="42"/>
      <c r="CI53" s="40"/>
      <c r="CJ53" s="40"/>
      <c r="CK53" s="40"/>
    </row>
    <row r="54" spans="1:92" s="31" customFormat="1">
      <c r="A54" s="1236"/>
      <c r="B54" s="481" t="s">
        <v>236</v>
      </c>
      <c r="C54" s="482">
        <f>'Pricing Model'!M66</f>
        <v>0.54311821816105088</v>
      </c>
      <c r="D54" s="477" t="s">
        <v>11</v>
      </c>
      <c r="E54" s="484">
        <v>0</v>
      </c>
      <c r="F54" s="484">
        <v>0</v>
      </c>
      <c r="G54" s="484">
        <v>0</v>
      </c>
      <c r="H54" s="484">
        <v>0</v>
      </c>
      <c r="I54" s="484">
        <v>0</v>
      </c>
      <c r="J54" s="484">
        <v>0</v>
      </c>
      <c r="K54" s="516">
        <v>0</v>
      </c>
      <c r="L54" s="1142">
        <v>0</v>
      </c>
      <c r="M54" s="484">
        <v>0</v>
      </c>
      <c r="N54" s="484">
        <v>0</v>
      </c>
      <c r="O54" s="861">
        <v>0</v>
      </c>
      <c r="P54" s="862">
        <v>0</v>
      </c>
      <c r="Q54" s="516">
        <v>0</v>
      </c>
      <c r="R54" s="484">
        <v>0</v>
      </c>
      <c r="S54" s="484">
        <v>0</v>
      </c>
      <c r="T54" s="484">
        <v>0</v>
      </c>
      <c r="U54" s="484">
        <v>0</v>
      </c>
      <c r="V54" s="484">
        <v>0</v>
      </c>
      <c r="W54" s="516">
        <v>0</v>
      </c>
      <c r="X54" s="1142">
        <v>0</v>
      </c>
      <c r="Y54" s="484">
        <v>0</v>
      </c>
      <c r="Z54" s="484">
        <v>0</v>
      </c>
      <c r="AA54" s="861">
        <v>0</v>
      </c>
      <c r="AB54" s="862">
        <v>0</v>
      </c>
      <c r="AC54" s="484">
        <f>AC53*$C54</f>
        <v>1141.2</v>
      </c>
      <c r="AD54" s="484">
        <f t="shared" ref="AD54:AN54" si="51">AD53*$C54</f>
        <v>1369.44</v>
      </c>
      <c r="AE54" s="484">
        <f t="shared" si="51"/>
        <v>1711.8000000000002</v>
      </c>
      <c r="AF54" s="484">
        <f t="shared" si="51"/>
        <v>2054.1600000000003</v>
      </c>
      <c r="AG54" s="484">
        <f t="shared" si="51"/>
        <v>2510.6400000000003</v>
      </c>
      <c r="AH54" s="516">
        <f t="shared" si="51"/>
        <v>2967.1200000000003</v>
      </c>
      <c r="AI54" s="516">
        <f t="shared" si="51"/>
        <v>3012.768</v>
      </c>
      <c r="AJ54" s="1142">
        <f t="shared" si="51"/>
        <v>3012.768</v>
      </c>
      <c r="AK54" s="484">
        <f t="shared" si="51"/>
        <v>2967.1200000000003</v>
      </c>
      <c r="AL54" s="484">
        <f t="shared" si="51"/>
        <v>3537.7200000000003</v>
      </c>
      <c r="AM54" s="861">
        <f t="shared" si="51"/>
        <v>3754.5480000000007</v>
      </c>
      <c r="AN54" s="862">
        <f t="shared" si="51"/>
        <v>3931.4340000000002</v>
      </c>
      <c r="AO54" s="485"/>
      <c r="AP54" s="42"/>
      <c r="AQ54" s="42"/>
      <c r="AR54" s="42"/>
      <c r="AS54" s="42"/>
      <c r="AT54" s="42"/>
      <c r="AU54" s="42"/>
      <c r="AV54" s="42"/>
      <c r="AW54" s="42"/>
      <c r="AX54" s="42"/>
      <c r="AY54" s="42"/>
      <c r="AZ54" s="42"/>
      <c r="BA54" s="42"/>
      <c r="BB54" s="42"/>
      <c r="BC54" s="42"/>
      <c r="BD54" s="42"/>
      <c r="BE54" s="42"/>
      <c r="BF54" s="42"/>
      <c r="BG54" s="42"/>
      <c r="BH54" s="42"/>
      <c r="BI54" s="42"/>
      <c r="BJ54" s="42"/>
      <c r="BK54" s="42"/>
      <c r="BL54" s="42"/>
      <c r="BM54" s="42"/>
      <c r="BN54" s="42"/>
      <c r="BO54" s="42"/>
      <c r="BP54" s="42"/>
      <c r="BQ54" s="42"/>
      <c r="BR54" s="42"/>
      <c r="BS54" s="42"/>
      <c r="BT54" s="42"/>
      <c r="BU54" s="42"/>
      <c r="BV54" s="42"/>
      <c r="BW54" s="42"/>
      <c r="BX54" s="42"/>
      <c r="BY54" s="42"/>
      <c r="BZ54" s="42"/>
      <c r="CA54" s="42"/>
      <c r="CB54" s="42"/>
      <c r="CC54" s="42"/>
      <c r="CD54" s="42"/>
      <c r="CE54" s="42"/>
      <c r="CF54" s="42"/>
      <c r="CG54" s="42"/>
      <c r="CH54" s="42"/>
      <c r="CI54" s="40"/>
      <c r="CJ54" s="40"/>
      <c r="CK54" s="40"/>
    </row>
    <row r="55" spans="1:92" s="31" customFormat="1">
      <c r="A55" s="1236"/>
      <c r="B55" s="481"/>
      <c r="C55" s="482"/>
      <c r="D55" s="477"/>
      <c r="E55" s="484"/>
      <c r="F55" s="484"/>
      <c r="G55" s="484"/>
      <c r="H55" s="484"/>
      <c r="I55" s="484"/>
      <c r="J55" s="484"/>
      <c r="K55" s="516"/>
      <c r="L55" s="1142"/>
      <c r="M55" s="484"/>
      <c r="N55" s="484"/>
      <c r="O55" s="861"/>
      <c r="P55" s="862"/>
      <c r="Q55" s="516"/>
      <c r="R55" s="484"/>
      <c r="S55" s="484"/>
      <c r="T55" s="484"/>
      <c r="U55" s="484"/>
      <c r="V55" s="484"/>
      <c r="W55" s="516"/>
      <c r="X55" s="1142"/>
      <c r="Y55" s="484"/>
      <c r="Z55" s="484"/>
      <c r="AA55" s="861"/>
      <c r="AB55" s="862"/>
      <c r="AC55" s="484"/>
      <c r="AD55" s="484"/>
      <c r="AE55" s="512"/>
      <c r="AF55" s="484"/>
      <c r="AG55" s="484"/>
      <c r="AH55" s="516"/>
      <c r="AI55" s="516"/>
      <c r="AJ55" s="1142"/>
      <c r="AK55" s="484"/>
      <c r="AL55" s="484"/>
      <c r="AM55" s="861"/>
      <c r="AN55" s="862"/>
      <c r="AO55" s="485"/>
      <c r="AP55" s="42"/>
      <c r="AQ55" s="42"/>
      <c r="AR55" s="42"/>
      <c r="AS55" s="42"/>
      <c r="AT55" s="42"/>
      <c r="AU55" s="42"/>
      <c r="AV55" s="42"/>
      <c r="AW55" s="42"/>
      <c r="AX55" s="42"/>
      <c r="AY55" s="42"/>
      <c r="AZ55" s="42"/>
      <c r="BA55" s="42"/>
      <c r="BB55" s="42"/>
      <c r="BC55" s="42"/>
      <c r="BD55" s="42"/>
      <c r="BE55" s="42"/>
      <c r="BF55" s="42"/>
      <c r="BG55" s="42"/>
      <c r="BH55" s="42"/>
      <c r="BI55" s="42"/>
      <c r="BJ55" s="42"/>
      <c r="BK55" s="42"/>
      <c r="BL55" s="42"/>
      <c r="BM55" s="42"/>
      <c r="BN55" s="42"/>
      <c r="BO55" s="42"/>
      <c r="BP55" s="42"/>
      <c r="BQ55" s="42"/>
      <c r="BR55" s="42"/>
      <c r="BS55" s="42"/>
      <c r="BT55" s="42"/>
      <c r="BU55" s="42"/>
      <c r="BV55" s="42"/>
      <c r="BW55" s="42"/>
      <c r="BX55" s="42"/>
      <c r="BY55" s="42"/>
      <c r="BZ55" s="42"/>
      <c r="CA55" s="42"/>
      <c r="CB55" s="42"/>
      <c r="CC55" s="42"/>
      <c r="CD55" s="42"/>
      <c r="CE55" s="42"/>
      <c r="CF55" s="42"/>
      <c r="CG55" s="42"/>
      <c r="CH55" s="42"/>
      <c r="CI55" s="40"/>
      <c r="CJ55" s="40"/>
      <c r="CK55" s="40"/>
    </row>
    <row r="56" spans="1:92" s="31" customFormat="1">
      <c r="A56" s="1236"/>
      <c r="B56" s="474" t="s">
        <v>300</v>
      </c>
      <c r="C56" s="475"/>
      <c r="D56" s="486" t="s">
        <v>233</v>
      </c>
      <c r="E56" s="483">
        <v>0</v>
      </c>
      <c r="F56" s="483">
        <v>0</v>
      </c>
      <c r="G56" s="483">
        <v>0</v>
      </c>
      <c r="H56" s="483">
        <v>0</v>
      </c>
      <c r="I56" s="483">
        <v>0</v>
      </c>
      <c r="J56" s="483">
        <v>0</v>
      </c>
      <c r="K56" s="515">
        <v>0</v>
      </c>
      <c r="L56" s="1141">
        <v>0</v>
      </c>
      <c r="M56" s="483">
        <v>0</v>
      </c>
      <c r="N56" s="483">
        <v>0</v>
      </c>
      <c r="O56" s="859">
        <v>0</v>
      </c>
      <c r="P56" s="860">
        <v>0</v>
      </c>
      <c r="Q56" s="515">
        <v>0</v>
      </c>
      <c r="R56" s="483">
        <v>0</v>
      </c>
      <c r="S56" s="483">
        <v>0</v>
      </c>
      <c r="T56" s="483">
        <v>0</v>
      </c>
      <c r="U56" s="483">
        <v>0</v>
      </c>
      <c r="V56" s="483">
        <v>0</v>
      </c>
      <c r="W56" s="515">
        <v>0</v>
      </c>
      <c r="X56" s="1141">
        <v>0</v>
      </c>
      <c r="Y56" s="483">
        <v>0</v>
      </c>
      <c r="Z56" s="483">
        <v>0</v>
      </c>
      <c r="AA56" s="859">
        <v>0</v>
      </c>
      <c r="AB56" s="860">
        <v>0</v>
      </c>
      <c r="AC56" s="489">
        <v>25</v>
      </c>
      <c r="AD56" s="483">
        <f>ROUNDUP(AC56+(AC56*$K18),0)</f>
        <v>28</v>
      </c>
      <c r="AE56" s="483">
        <f>ROUNDUP(AD56+(AD56*$K18),0)</f>
        <v>31</v>
      </c>
      <c r="AF56" s="483">
        <f>ROUNDUP(AE56+(AE56*$K18),0)</f>
        <v>35</v>
      </c>
      <c r="AG56" s="483">
        <f>ROUNDUP(AF56+(AF56*$K18),0)</f>
        <v>39</v>
      </c>
      <c r="AH56" s="515">
        <f>ROUNDUP(AG56+(AG56*$K18),0)</f>
        <v>43</v>
      </c>
      <c r="AI56" s="515">
        <f>ROUNDUP(AH56+(AH56*$I18),0)</f>
        <v>52</v>
      </c>
      <c r="AJ56" s="1141">
        <f>ROUNDUP(AH56+(AH56*$I18),0)</f>
        <v>52</v>
      </c>
      <c r="AK56" s="483">
        <f>ROUNDUP(AH56+(AH56*$K18),0)</f>
        <v>48</v>
      </c>
      <c r="AL56" s="483">
        <f>ROUNDUP(AK56+(AK56*$K18),0)</f>
        <v>53</v>
      </c>
      <c r="AM56" s="859">
        <f>ROUNDUP(AL56+(AL56*$I17),0)</f>
        <v>83</v>
      </c>
      <c r="AN56" s="860">
        <f>ROUNDUP(AL56+(AL56*$I16),0)</f>
        <v>91</v>
      </c>
      <c r="AO56" s="880"/>
      <c r="AP56" s="42"/>
      <c r="AQ56" s="42"/>
      <c r="AR56" s="42"/>
      <c r="AS56" s="42"/>
      <c r="AT56" s="42"/>
      <c r="AU56" s="42"/>
      <c r="AV56" s="42"/>
      <c r="AW56" s="42"/>
      <c r="AX56" s="42"/>
      <c r="AY56" s="42"/>
      <c r="AZ56" s="42"/>
      <c r="BA56" s="42"/>
      <c r="BB56" s="42"/>
      <c r="BC56" s="42"/>
      <c r="BD56" s="42"/>
      <c r="BE56" s="42"/>
      <c r="BF56" s="42"/>
      <c r="BG56" s="42"/>
      <c r="BH56" s="42"/>
      <c r="BI56" s="42"/>
      <c r="BJ56" s="42"/>
      <c r="BK56" s="42"/>
      <c r="BL56" s="42"/>
      <c r="BM56" s="42"/>
      <c r="BN56" s="42"/>
      <c r="BO56" s="42"/>
      <c r="BP56" s="42"/>
      <c r="BQ56" s="42"/>
      <c r="BR56" s="42"/>
      <c r="BS56" s="42"/>
      <c r="BT56" s="42"/>
      <c r="BU56" s="42"/>
      <c r="BV56" s="42"/>
      <c r="BW56" s="42"/>
      <c r="BX56" s="42"/>
      <c r="BY56" s="42"/>
      <c r="BZ56" s="42"/>
      <c r="CA56" s="42"/>
      <c r="CB56" s="42"/>
      <c r="CC56" s="42"/>
      <c r="CD56" s="42"/>
      <c r="CE56" s="42"/>
      <c r="CF56" s="42"/>
      <c r="CG56" s="42"/>
      <c r="CH56" s="42"/>
      <c r="CI56" s="40"/>
      <c r="CJ56" s="40"/>
      <c r="CK56" s="40"/>
    </row>
    <row r="57" spans="1:92" s="31" customFormat="1">
      <c r="A57" s="1236"/>
      <c r="B57" s="477"/>
      <c r="C57" s="478"/>
      <c r="D57" s="477" t="s">
        <v>234</v>
      </c>
      <c r="E57" s="484">
        <v>0</v>
      </c>
      <c r="F57" s="484">
        <v>0</v>
      </c>
      <c r="G57" s="484">
        <v>0</v>
      </c>
      <c r="H57" s="484">
        <v>0</v>
      </c>
      <c r="I57" s="484">
        <v>0</v>
      </c>
      <c r="J57" s="484">
        <v>0</v>
      </c>
      <c r="K57" s="516">
        <v>0</v>
      </c>
      <c r="L57" s="1142">
        <v>0</v>
      </c>
      <c r="M57" s="484">
        <v>0</v>
      </c>
      <c r="N57" s="484">
        <v>0</v>
      </c>
      <c r="O57" s="861">
        <v>0</v>
      </c>
      <c r="P57" s="862">
        <v>0</v>
      </c>
      <c r="Q57" s="516">
        <v>0</v>
      </c>
      <c r="R57" s="484">
        <v>0</v>
      </c>
      <c r="S57" s="484">
        <v>0</v>
      </c>
      <c r="T57" s="484">
        <v>0</v>
      </c>
      <c r="U57" s="484">
        <v>0</v>
      </c>
      <c r="V57" s="484">
        <v>0</v>
      </c>
      <c r="W57" s="516">
        <v>0</v>
      </c>
      <c r="X57" s="1142">
        <v>0</v>
      </c>
      <c r="Y57" s="484">
        <v>0</v>
      </c>
      <c r="Z57" s="484">
        <v>0</v>
      </c>
      <c r="AA57" s="861">
        <v>0</v>
      </c>
      <c r="AB57" s="862">
        <v>0</v>
      </c>
      <c r="AC57" s="484">
        <f>'Pricing Model'!N56</f>
        <v>525.29999999999995</v>
      </c>
      <c r="AD57" s="484">
        <f>$AC57</f>
        <v>525.29999999999995</v>
      </c>
      <c r="AE57" s="484">
        <f t="shared" ref="AE57:AH57" si="52">$AC57</f>
        <v>525.29999999999995</v>
      </c>
      <c r="AF57" s="484">
        <f t="shared" si="52"/>
        <v>525.29999999999995</v>
      </c>
      <c r="AG57" s="484">
        <f t="shared" si="52"/>
        <v>525.29999999999995</v>
      </c>
      <c r="AH57" s="516">
        <f t="shared" si="52"/>
        <v>525.29999999999995</v>
      </c>
      <c r="AI57" s="516">
        <f>AH57*(1-$I18)</f>
        <v>420.24</v>
      </c>
      <c r="AJ57" s="1142">
        <f>AH57*(1-$I18)</f>
        <v>420.24</v>
      </c>
      <c r="AK57" s="484">
        <f>$AH57</f>
        <v>525.29999999999995</v>
      </c>
      <c r="AL57" s="484">
        <f>$AH57</f>
        <v>525.29999999999995</v>
      </c>
      <c r="AM57" s="861">
        <f>AC57*(1-$I17)</f>
        <v>236.38499999999996</v>
      </c>
      <c r="AN57" s="862">
        <f>AC57*(1-$I$16)</f>
        <v>157.59</v>
      </c>
      <c r="AO57" s="485"/>
      <c r="AP57" s="42"/>
      <c r="AQ57" s="42"/>
      <c r="AR57" s="42"/>
      <c r="AS57" s="42"/>
      <c r="AT57" s="42"/>
      <c r="AU57" s="42"/>
      <c r="AV57" s="42"/>
      <c r="AW57" s="42"/>
      <c r="AX57" s="42"/>
      <c r="AY57" s="42"/>
      <c r="AZ57" s="42"/>
      <c r="BA57" s="42"/>
      <c r="BB57" s="42"/>
      <c r="BC57" s="42"/>
      <c r="BD57" s="42"/>
      <c r="BE57" s="42"/>
      <c r="BF57" s="42"/>
      <c r="BG57" s="42"/>
      <c r="BH57" s="42"/>
      <c r="BI57" s="42"/>
      <c r="BJ57" s="42"/>
      <c r="BK57" s="42"/>
      <c r="BL57" s="42"/>
      <c r="BM57" s="42"/>
      <c r="BN57" s="42"/>
      <c r="BO57" s="42"/>
      <c r="BP57" s="42"/>
      <c r="BQ57" s="42"/>
      <c r="BR57" s="42"/>
      <c r="BS57" s="42"/>
      <c r="BT57" s="42"/>
      <c r="BU57" s="42"/>
      <c r="BV57" s="42"/>
      <c r="BW57" s="42"/>
      <c r="BX57" s="42"/>
      <c r="BY57" s="42"/>
      <c r="BZ57" s="42"/>
      <c r="CA57" s="42"/>
      <c r="CB57" s="42"/>
      <c r="CC57" s="42"/>
      <c r="CD57" s="42"/>
      <c r="CE57" s="42"/>
      <c r="CF57" s="42"/>
      <c r="CG57" s="42"/>
      <c r="CH57" s="42"/>
      <c r="CI57" s="40"/>
      <c r="CJ57" s="40"/>
      <c r="CK57" s="40"/>
    </row>
    <row r="58" spans="1:92" s="31" customFormat="1">
      <c r="A58" s="1236"/>
      <c r="B58" s="477"/>
      <c r="C58" s="480"/>
      <c r="D58" s="477" t="s">
        <v>235</v>
      </c>
      <c r="E58" s="484">
        <v>0</v>
      </c>
      <c r="F58" s="484">
        <v>0</v>
      </c>
      <c r="G58" s="484">
        <v>0</v>
      </c>
      <c r="H58" s="484">
        <v>0</v>
      </c>
      <c r="I58" s="484">
        <v>0</v>
      </c>
      <c r="J58" s="484">
        <v>0</v>
      </c>
      <c r="K58" s="516">
        <v>0</v>
      </c>
      <c r="L58" s="1142">
        <v>0</v>
      </c>
      <c r="M58" s="484">
        <v>0</v>
      </c>
      <c r="N58" s="484">
        <v>0</v>
      </c>
      <c r="O58" s="861">
        <v>0</v>
      </c>
      <c r="P58" s="862">
        <v>0</v>
      </c>
      <c r="Q58" s="516">
        <v>0</v>
      </c>
      <c r="R58" s="484">
        <v>0</v>
      </c>
      <c r="S58" s="484">
        <v>0</v>
      </c>
      <c r="T58" s="484">
        <v>0</v>
      </c>
      <c r="U58" s="484">
        <v>0</v>
      </c>
      <c r="V58" s="484">
        <v>0</v>
      </c>
      <c r="W58" s="516">
        <v>0</v>
      </c>
      <c r="X58" s="1142">
        <v>0</v>
      </c>
      <c r="Y58" s="484">
        <v>0</v>
      </c>
      <c r="Z58" s="484">
        <v>0</v>
      </c>
      <c r="AA58" s="861">
        <v>0</v>
      </c>
      <c r="AB58" s="862">
        <v>0</v>
      </c>
      <c r="AC58" s="484">
        <f>AC56*AC57</f>
        <v>13132.499999999998</v>
      </c>
      <c r="AD58" s="484">
        <f t="shared" ref="AD58:AI58" si="53">AD56*AD57</f>
        <v>14708.399999999998</v>
      </c>
      <c r="AE58" s="484">
        <f t="shared" si="53"/>
        <v>16284.3</v>
      </c>
      <c r="AF58" s="484">
        <f t="shared" si="53"/>
        <v>18385.5</v>
      </c>
      <c r="AG58" s="484">
        <f t="shared" si="53"/>
        <v>20486.699999999997</v>
      </c>
      <c r="AH58" s="516">
        <f t="shared" si="53"/>
        <v>22587.899999999998</v>
      </c>
      <c r="AI58" s="516">
        <f t="shared" si="53"/>
        <v>21852.48</v>
      </c>
      <c r="AJ58" s="1142">
        <f>AJ56*AJ57</f>
        <v>21852.48</v>
      </c>
      <c r="AK58" s="484">
        <f t="shared" ref="AK58:AL58" si="54">AK56*AK57</f>
        <v>25214.399999999998</v>
      </c>
      <c r="AL58" s="484">
        <f t="shared" si="54"/>
        <v>27840.899999999998</v>
      </c>
      <c r="AM58" s="861">
        <f>AM56*AM57</f>
        <v>19619.954999999998</v>
      </c>
      <c r="AN58" s="862">
        <f t="shared" ref="AN58" si="55">AN56*AN57</f>
        <v>14340.69</v>
      </c>
      <c r="AO58" s="485"/>
      <c r="AP58" s="42"/>
      <c r="AQ58" s="42"/>
      <c r="AR58" s="42"/>
      <c r="AS58" s="42"/>
      <c r="AT58" s="42"/>
      <c r="AU58" s="42"/>
      <c r="AV58" s="42"/>
      <c r="AW58" s="42"/>
      <c r="AX58" s="42"/>
      <c r="AY58" s="42"/>
      <c r="AZ58" s="42"/>
      <c r="BA58" s="42"/>
      <c r="BB58" s="42"/>
      <c r="BC58" s="42"/>
      <c r="BD58" s="42"/>
      <c r="BE58" s="42"/>
      <c r="BF58" s="42"/>
      <c r="BG58" s="42"/>
      <c r="BH58" s="42"/>
      <c r="BI58" s="42"/>
      <c r="BJ58" s="42"/>
      <c r="BK58" s="42"/>
      <c r="BL58" s="42"/>
      <c r="BM58" s="42"/>
      <c r="BN58" s="42"/>
      <c r="BO58" s="42"/>
      <c r="BP58" s="42"/>
      <c r="BQ58" s="42"/>
      <c r="BR58" s="42"/>
      <c r="BS58" s="42"/>
      <c r="BT58" s="42"/>
      <c r="BU58" s="42"/>
      <c r="BV58" s="42"/>
      <c r="BW58" s="42"/>
      <c r="BX58" s="42"/>
      <c r="BY58" s="42"/>
      <c r="BZ58" s="42"/>
      <c r="CA58" s="42"/>
      <c r="CB58" s="42"/>
      <c r="CC58" s="42"/>
      <c r="CD58" s="42"/>
      <c r="CE58" s="42"/>
      <c r="CF58" s="42"/>
      <c r="CG58" s="42"/>
      <c r="CH58" s="42"/>
      <c r="CI58" s="40"/>
      <c r="CJ58" s="40"/>
      <c r="CK58" s="40"/>
    </row>
    <row r="59" spans="1:92" s="31" customFormat="1" ht="17.55" customHeight="1" thickBot="1">
      <c r="A59" s="1237"/>
      <c r="B59" s="481" t="s">
        <v>236</v>
      </c>
      <c r="C59" s="482">
        <f>'Pricing Model'!N66</f>
        <v>0.59451741861793261</v>
      </c>
      <c r="D59" s="477" t="s">
        <v>11</v>
      </c>
      <c r="E59" s="484">
        <v>0</v>
      </c>
      <c r="F59" s="484">
        <v>0</v>
      </c>
      <c r="G59" s="484">
        <v>0</v>
      </c>
      <c r="H59" s="484">
        <v>0</v>
      </c>
      <c r="I59" s="484">
        <v>0</v>
      </c>
      <c r="J59" s="484">
        <v>0</v>
      </c>
      <c r="K59" s="516">
        <v>0</v>
      </c>
      <c r="L59" s="1142">
        <v>0</v>
      </c>
      <c r="M59" s="484">
        <v>0</v>
      </c>
      <c r="N59" s="484">
        <v>0</v>
      </c>
      <c r="O59" s="861">
        <v>0</v>
      </c>
      <c r="P59" s="862">
        <v>0</v>
      </c>
      <c r="Q59" s="516">
        <v>0</v>
      </c>
      <c r="R59" s="484">
        <v>0</v>
      </c>
      <c r="S59" s="484">
        <v>0</v>
      </c>
      <c r="T59" s="484">
        <v>0</v>
      </c>
      <c r="U59" s="484">
        <v>0</v>
      </c>
      <c r="V59" s="484">
        <v>0</v>
      </c>
      <c r="W59" s="516">
        <v>0</v>
      </c>
      <c r="X59" s="1142">
        <v>0</v>
      </c>
      <c r="Y59" s="484">
        <v>0</v>
      </c>
      <c r="Z59" s="484">
        <v>0</v>
      </c>
      <c r="AA59" s="861">
        <v>0</v>
      </c>
      <c r="AB59" s="862">
        <v>0</v>
      </c>
      <c r="AC59" s="484">
        <f>AC58*$C59</f>
        <v>7807.4999999999991</v>
      </c>
      <c r="AD59" s="484">
        <f t="shared" ref="AD59:AN59" si="56">AD58*$C59</f>
        <v>8744.4</v>
      </c>
      <c r="AE59" s="484">
        <f t="shared" si="56"/>
        <v>9681.2999999999993</v>
      </c>
      <c r="AF59" s="484">
        <f t="shared" si="56"/>
        <v>10930.5</v>
      </c>
      <c r="AG59" s="484">
        <f t="shared" si="56"/>
        <v>12179.699999999999</v>
      </c>
      <c r="AH59" s="516">
        <f t="shared" si="56"/>
        <v>13428.9</v>
      </c>
      <c r="AI59" s="516">
        <f t="shared" si="56"/>
        <v>12991.68</v>
      </c>
      <c r="AJ59" s="1142">
        <f t="shared" si="56"/>
        <v>12991.68</v>
      </c>
      <c r="AK59" s="484">
        <f t="shared" si="56"/>
        <v>14990.4</v>
      </c>
      <c r="AL59" s="484">
        <f t="shared" si="56"/>
        <v>16551.899999999998</v>
      </c>
      <c r="AM59" s="861">
        <f t="shared" si="56"/>
        <v>11664.404999999999</v>
      </c>
      <c r="AN59" s="862">
        <f t="shared" si="56"/>
        <v>8525.7900000000009</v>
      </c>
      <c r="AO59" s="485"/>
      <c r="AP59" s="42"/>
      <c r="AQ59" s="42"/>
      <c r="AR59" s="42"/>
      <c r="AS59" s="42"/>
      <c r="AT59" s="42"/>
      <c r="AU59" s="42"/>
      <c r="AV59" s="42"/>
      <c r="AW59" s="42"/>
      <c r="AX59" s="42"/>
      <c r="AY59" s="42"/>
      <c r="AZ59" s="42"/>
      <c r="BA59" s="42"/>
      <c r="BB59" s="42"/>
      <c r="BC59" s="42"/>
      <c r="BD59" s="42"/>
      <c r="BE59" s="42"/>
      <c r="BF59" s="42"/>
      <c r="BG59" s="42"/>
      <c r="BH59" s="42"/>
      <c r="BI59" s="42"/>
      <c r="BJ59" s="42"/>
      <c r="BK59" s="42"/>
      <c r="BL59" s="42"/>
      <c r="BM59" s="42"/>
      <c r="BN59" s="42"/>
      <c r="BO59" s="42"/>
      <c r="BP59" s="42"/>
      <c r="BQ59" s="42"/>
      <c r="BR59" s="42"/>
      <c r="BS59" s="42"/>
      <c r="BT59" s="42"/>
      <c r="BU59" s="42"/>
      <c r="BV59" s="42"/>
      <c r="BW59" s="42"/>
      <c r="BX59" s="42"/>
      <c r="BY59" s="42"/>
      <c r="BZ59" s="42"/>
      <c r="CA59" s="42"/>
      <c r="CB59" s="42"/>
      <c r="CC59" s="42"/>
      <c r="CD59" s="42"/>
      <c r="CE59" s="42"/>
      <c r="CF59" s="42"/>
      <c r="CG59" s="42"/>
      <c r="CH59" s="42"/>
      <c r="CI59" s="40"/>
      <c r="CJ59" s="40"/>
      <c r="CK59" s="40"/>
    </row>
    <row r="60" spans="1:92" s="40" customFormat="1" ht="17.55" customHeight="1" thickTop="1">
      <c r="A60" s="771"/>
      <c r="B60" s="776"/>
      <c r="C60" s="43"/>
      <c r="D60" s="777"/>
      <c r="E60" s="485"/>
      <c r="F60" s="485"/>
      <c r="G60" s="485"/>
      <c r="H60" s="485"/>
      <c r="I60" s="485"/>
      <c r="J60" s="485"/>
      <c r="K60" s="778"/>
      <c r="L60" s="1143"/>
      <c r="M60" s="485"/>
      <c r="N60" s="485"/>
      <c r="O60" s="863"/>
      <c r="P60" s="864"/>
      <c r="Q60" s="778"/>
      <c r="R60" s="485"/>
      <c r="S60" s="485"/>
      <c r="T60" s="485"/>
      <c r="U60" s="485"/>
      <c r="V60" s="485"/>
      <c r="W60" s="778"/>
      <c r="X60" s="1143"/>
      <c r="Y60" s="485"/>
      <c r="Z60" s="485"/>
      <c r="AA60" s="863"/>
      <c r="AB60" s="864"/>
      <c r="AC60" s="485"/>
      <c r="AD60" s="485"/>
      <c r="AE60" s="485"/>
      <c r="AF60" s="485"/>
      <c r="AG60" s="485"/>
      <c r="AH60" s="778"/>
      <c r="AI60" s="778"/>
      <c r="AJ60" s="1143"/>
      <c r="AK60" s="485"/>
      <c r="AL60" s="485"/>
      <c r="AM60" s="863"/>
      <c r="AN60" s="864"/>
      <c r="AO60" s="485"/>
      <c r="AP60" s="42"/>
      <c r="AQ60" s="42"/>
      <c r="AR60" s="42"/>
      <c r="AS60" s="42"/>
      <c r="AT60" s="42"/>
      <c r="AU60" s="42"/>
      <c r="AV60" s="42"/>
      <c r="AW60" s="42"/>
      <c r="AX60" s="42"/>
      <c r="AY60" s="42"/>
      <c r="AZ60" s="42"/>
      <c r="BA60" s="42"/>
      <c r="BB60" s="42"/>
      <c r="BC60" s="42"/>
      <c r="BD60" s="42"/>
      <c r="BE60" s="42"/>
      <c r="BF60" s="42"/>
      <c r="BG60" s="42"/>
      <c r="BH60" s="42"/>
      <c r="BI60" s="42"/>
      <c r="BJ60" s="42"/>
      <c r="BK60" s="42"/>
      <c r="BL60" s="42"/>
      <c r="BM60" s="42"/>
      <c r="BN60" s="42"/>
      <c r="BO60" s="42"/>
      <c r="BP60" s="42"/>
      <c r="BQ60" s="42"/>
      <c r="BR60" s="42"/>
      <c r="BS60" s="42"/>
      <c r="BT60" s="42"/>
      <c r="BU60" s="42"/>
      <c r="BV60" s="42"/>
      <c r="BW60" s="42"/>
      <c r="BX60" s="42"/>
      <c r="BY60" s="42"/>
      <c r="BZ60" s="42"/>
      <c r="CA60" s="42"/>
      <c r="CB60" s="42"/>
      <c r="CC60" s="42"/>
      <c r="CD60" s="42"/>
      <c r="CE60" s="42"/>
      <c r="CF60" s="42"/>
      <c r="CG60" s="42"/>
      <c r="CH60" s="42"/>
    </row>
    <row r="61" spans="1:92" s="31" customFormat="1">
      <c r="A61" s="1227" t="s">
        <v>483</v>
      </c>
      <c r="B61" s="1227"/>
      <c r="C61" s="1227"/>
      <c r="D61" s="768" t="s">
        <v>278</v>
      </c>
      <c r="E61" s="769">
        <f>E$48+E$53+E$58</f>
        <v>0</v>
      </c>
      <c r="F61" s="769">
        <f t="shared" ref="F61:AN61" si="57">F$48+F$53+F$58</f>
        <v>0</v>
      </c>
      <c r="G61" s="769">
        <f t="shared" si="57"/>
        <v>0</v>
      </c>
      <c r="H61" s="769">
        <f t="shared" si="57"/>
        <v>0</v>
      </c>
      <c r="I61" s="769">
        <f t="shared" si="57"/>
        <v>0</v>
      </c>
      <c r="J61" s="769">
        <f t="shared" si="57"/>
        <v>0</v>
      </c>
      <c r="K61" s="769">
        <f t="shared" si="57"/>
        <v>0</v>
      </c>
      <c r="L61" s="1138">
        <f t="shared" si="57"/>
        <v>0</v>
      </c>
      <c r="M61" s="769">
        <f t="shared" si="57"/>
        <v>0</v>
      </c>
      <c r="N61" s="769">
        <f t="shared" si="57"/>
        <v>0</v>
      </c>
      <c r="O61" s="853">
        <f t="shared" si="57"/>
        <v>0</v>
      </c>
      <c r="P61" s="854">
        <f t="shared" si="57"/>
        <v>0</v>
      </c>
      <c r="Q61" s="769">
        <f t="shared" si="57"/>
        <v>0</v>
      </c>
      <c r="R61" s="769">
        <f t="shared" si="57"/>
        <v>0</v>
      </c>
      <c r="S61" s="769">
        <f t="shared" si="57"/>
        <v>0</v>
      </c>
      <c r="T61" s="769">
        <f t="shared" si="57"/>
        <v>0</v>
      </c>
      <c r="U61" s="769">
        <f t="shared" si="57"/>
        <v>0</v>
      </c>
      <c r="V61" s="769">
        <f t="shared" si="57"/>
        <v>0</v>
      </c>
      <c r="W61" s="769">
        <f t="shared" si="57"/>
        <v>0</v>
      </c>
      <c r="X61" s="1138">
        <f t="shared" si="57"/>
        <v>0</v>
      </c>
      <c r="Y61" s="769">
        <f t="shared" si="57"/>
        <v>0</v>
      </c>
      <c r="Z61" s="769">
        <f t="shared" si="57"/>
        <v>0</v>
      </c>
      <c r="AA61" s="853">
        <f t="shared" si="57"/>
        <v>0</v>
      </c>
      <c r="AB61" s="854">
        <f t="shared" si="57"/>
        <v>0</v>
      </c>
      <c r="AC61" s="769">
        <f t="shared" si="57"/>
        <v>34669.800000000003</v>
      </c>
      <c r="AD61" s="769">
        <f t="shared" si="57"/>
        <v>40553.160000000003</v>
      </c>
      <c r="AE61" s="769">
        <f t="shared" si="57"/>
        <v>47424.084000000003</v>
      </c>
      <c r="AF61" s="769">
        <f t="shared" si="57"/>
        <v>55986.474000000002</v>
      </c>
      <c r="AG61" s="769">
        <f t="shared" si="57"/>
        <v>65925.149999999994</v>
      </c>
      <c r="AH61" s="769">
        <f t="shared" si="57"/>
        <v>77029.991999999998</v>
      </c>
      <c r="AI61" s="769">
        <f t="shared" si="57"/>
        <v>77622.530400000003</v>
      </c>
      <c r="AJ61" s="1138">
        <f t="shared" si="57"/>
        <v>87865.355100000001</v>
      </c>
      <c r="AK61" s="769">
        <f t="shared" si="57"/>
        <v>116196.36</v>
      </c>
      <c r="AL61" s="769">
        <f t="shared" si="57"/>
        <v>136977.228</v>
      </c>
      <c r="AM61" s="853">
        <f t="shared" si="57"/>
        <v>154298.04996</v>
      </c>
      <c r="AN61" s="854">
        <f t="shared" si="57"/>
        <v>169604.66160000002</v>
      </c>
      <c r="AO61" s="48"/>
      <c r="AP61" s="42"/>
      <c r="AQ61" s="42"/>
      <c r="AR61" s="42"/>
      <c r="AS61" s="42"/>
      <c r="AT61" s="42"/>
      <c r="AU61" s="42"/>
      <c r="AV61" s="42"/>
      <c r="AW61" s="42"/>
      <c r="AX61" s="42"/>
      <c r="AY61" s="42"/>
      <c r="AZ61" s="42"/>
      <c r="BA61" s="42"/>
      <c r="BB61" s="42"/>
      <c r="BC61" s="42"/>
      <c r="BD61" s="42"/>
      <c r="BE61" s="42"/>
      <c r="BF61" s="42"/>
      <c r="BG61" s="42"/>
      <c r="BH61" s="42"/>
      <c r="BI61" s="42"/>
      <c r="BJ61" s="42"/>
      <c r="BK61" s="42"/>
      <c r="BL61" s="42"/>
      <c r="BM61" s="42"/>
      <c r="BN61" s="42"/>
      <c r="BO61" s="42"/>
      <c r="BP61" s="42"/>
      <c r="BQ61" s="42"/>
      <c r="BR61" s="42"/>
      <c r="BS61" s="42"/>
      <c r="BT61" s="42"/>
      <c r="BU61" s="42"/>
      <c r="BV61" s="42"/>
      <c r="BW61" s="42"/>
      <c r="BX61" s="42"/>
      <c r="BY61" s="42"/>
      <c r="BZ61" s="42"/>
      <c r="CA61" s="42"/>
      <c r="CB61" s="42"/>
      <c r="CC61" s="42"/>
      <c r="CD61" s="42"/>
      <c r="CE61" s="42"/>
      <c r="CF61" s="42"/>
      <c r="CG61" s="42"/>
      <c r="CH61" s="42"/>
      <c r="CI61" s="40"/>
      <c r="CJ61" s="40"/>
      <c r="CK61" s="40"/>
    </row>
    <row r="62" spans="1:92" s="31" customFormat="1">
      <c r="A62" s="1227"/>
      <c r="B62" s="1227"/>
      <c r="C62" s="1227"/>
      <c r="D62" s="768" t="s">
        <v>279</v>
      </c>
      <c r="E62" s="770">
        <f t="shared" ref="E62:AN62" si="58">E$49+E$54+E$59</f>
        <v>0</v>
      </c>
      <c r="F62" s="770">
        <f t="shared" si="58"/>
        <v>0</v>
      </c>
      <c r="G62" s="770">
        <f t="shared" si="58"/>
        <v>0</v>
      </c>
      <c r="H62" s="770">
        <f t="shared" si="58"/>
        <v>0</v>
      </c>
      <c r="I62" s="770">
        <f t="shared" si="58"/>
        <v>0</v>
      </c>
      <c r="J62" s="770">
        <f t="shared" si="58"/>
        <v>0</v>
      </c>
      <c r="K62" s="770">
        <f t="shared" si="58"/>
        <v>0</v>
      </c>
      <c r="L62" s="1139">
        <f t="shared" si="58"/>
        <v>0</v>
      </c>
      <c r="M62" s="770">
        <f t="shared" si="58"/>
        <v>0</v>
      </c>
      <c r="N62" s="770">
        <f t="shared" si="58"/>
        <v>0</v>
      </c>
      <c r="O62" s="855">
        <f t="shared" si="58"/>
        <v>0</v>
      </c>
      <c r="P62" s="856">
        <f t="shared" si="58"/>
        <v>0</v>
      </c>
      <c r="Q62" s="770">
        <f t="shared" si="58"/>
        <v>0</v>
      </c>
      <c r="R62" s="770">
        <f t="shared" si="58"/>
        <v>0</v>
      </c>
      <c r="S62" s="770">
        <f t="shared" si="58"/>
        <v>0</v>
      </c>
      <c r="T62" s="770">
        <f t="shared" si="58"/>
        <v>0</v>
      </c>
      <c r="U62" s="770">
        <f t="shared" si="58"/>
        <v>0</v>
      </c>
      <c r="V62" s="770">
        <f t="shared" si="58"/>
        <v>0</v>
      </c>
      <c r="W62" s="770">
        <f t="shared" si="58"/>
        <v>0</v>
      </c>
      <c r="X62" s="1139">
        <f t="shared" si="58"/>
        <v>0</v>
      </c>
      <c r="Y62" s="770">
        <f t="shared" si="58"/>
        <v>0</v>
      </c>
      <c r="Z62" s="770">
        <f t="shared" si="58"/>
        <v>0</v>
      </c>
      <c r="AA62" s="855">
        <f t="shared" si="58"/>
        <v>0</v>
      </c>
      <c r="AB62" s="856">
        <f t="shared" si="58"/>
        <v>0</v>
      </c>
      <c r="AC62" s="770">
        <f t="shared" si="58"/>
        <v>20234.800000000003</v>
      </c>
      <c r="AD62" s="770">
        <f t="shared" si="58"/>
        <v>23657.160000000003</v>
      </c>
      <c r="AE62" s="770">
        <f t="shared" si="58"/>
        <v>27645.084000000003</v>
      </c>
      <c r="AF62" s="770">
        <f t="shared" si="58"/>
        <v>32622.474000000006</v>
      </c>
      <c r="AG62" s="770">
        <f t="shared" si="58"/>
        <v>38391.15</v>
      </c>
      <c r="AH62" s="770">
        <f t="shared" si="58"/>
        <v>44836.992000000006</v>
      </c>
      <c r="AI62" s="770">
        <f t="shared" si="58"/>
        <v>45167.730400000008</v>
      </c>
      <c r="AJ62" s="1139">
        <f t="shared" si="58"/>
        <v>51115.505100000002</v>
      </c>
      <c r="AK62" s="770">
        <f t="shared" si="58"/>
        <v>67616.360000000015</v>
      </c>
      <c r="AL62" s="770">
        <f t="shared" si="58"/>
        <v>79680.228000000017</v>
      </c>
      <c r="AM62" s="855">
        <f t="shared" si="58"/>
        <v>89609.25996000001</v>
      </c>
      <c r="AN62" s="856">
        <f t="shared" si="58"/>
        <v>98412.161600000021</v>
      </c>
      <c r="AO62" s="48"/>
      <c r="AP62" s="42"/>
      <c r="AQ62" s="42"/>
      <c r="AR62" s="42"/>
      <c r="AS62" s="42"/>
      <c r="AT62" s="42"/>
      <c r="AU62" s="42"/>
      <c r="AV62" s="42"/>
      <c r="AW62" s="42"/>
      <c r="AX62" s="42"/>
      <c r="AY62" s="42"/>
      <c r="AZ62" s="42"/>
      <c r="BA62" s="42"/>
      <c r="BB62" s="42"/>
      <c r="BC62" s="42"/>
      <c r="BD62" s="42"/>
      <c r="BE62" s="42"/>
      <c r="BF62" s="42"/>
      <c r="BG62" s="42"/>
      <c r="BH62" s="42"/>
      <c r="BI62" s="42"/>
      <c r="BJ62" s="42"/>
      <c r="BK62" s="42"/>
      <c r="BL62" s="42"/>
      <c r="BM62" s="42"/>
      <c r="BN62" s="42"/>
      <c r="BO62" s="42"/>
      <c r="BP62" s="42"/>
      <c r="BQ62" s="42"/>
      <c r="BR62" s="42"/>
      <c r="BS62" s="42"/>
      <c r="BT62" s="42"/>
      <c r="BU62" s="42"/>
      <c r="BV62" s="42"/>
      <c r="BW62" s="42"/>
      <c r="BX62" s="42"/>
      <c r="BY62" s="42"/>
      <c r="BZ62" s="42"/>
      <c r="CA62" s="42"/>
      <c r="CB62" s="42"/>
      <c r="CC62" s="42"/>
      <c r="CD62" s="42"/>
      <c r="CE62" s="42"/>
      <c r="CF62" s="42"/>
      <c r="CG62" s="42"/>
      <c r="CH62" s="42"/>
      <c r="CI62" s="40"/>
      <c r="CJ62" s="40"/>
      <c r="CK62" s="40"/>
    </row>
    <row r="63" spans="1:92" s="40" customFormat="1" ht="18">
      <c r="A63" s="775"/>
      <c r="B63" s="775"/>
      <c r="C63" s="775"/>
      <c r="D63" s="300"/>
      <c r="E63" s="48"/>
      <c r="F63" s="48"/>
      <c r="G63" s="48"/>
      <c r="H63" s="48"/>
      <c r="I63" s="48"/>
      <c r="J63" s="48"/>
      <c r="K63" s="48"/>
      <c r="L63" s="1140"/>
      <c r="M63" s="48"/>
      <c r="N63" s="48"/>
      <c r="O63" s="857"/>
      <c r="P63" s="858"/>
      <c r="Q63" s="48"/>
      <c r="R63" s="48"/>
      <c r="S63" s="48"/>
      <c r="T63" s="48"/>
      <c r="U63" s="48"/>
      <c r="V63" s="48"/>
      <c r="W63" s="48"/>
      <c r="X63" s="1140"/>
      <c r="Y63" s="48"/>
      <c r="Z63" s="48"/>
      <c r="AA63" s="857"/>
      <c r="AB63" s="858"/>
      <c r="AC63" s="48"/>
      <c r="AD63" s="48"/>
      <c r="AE63" s="48"/>
      <c r="AF63" s="48"/>
      <c r="AG63" s="48"/>
      <c r="AH63" s="48"/>
      <c r="AI63" s="48"/>
      <c r="AJ63" s="1140"/>
      <c r="AK63" s="48"/>
      <c r="AL63" s="48"/>
      <c r="AM63" s="857"/>
      <c r="AN63" s="858"/>
      <c r="AO63" s="48"/>
      <c r="AP63" s="42"/>
      <c r="AQ63" s="42"/>
      <c r="AR63" s="42"/>
      <c r="AS63" s="42"/>
      <c r="AT63" s="42"/>
      <c r="AU63" s="42"/>
      <c r="AV63" s="42"/>
      <c r="AW63" s="42"/>
      <c r="AX63" s="42"/>
      <c r="AY63" s="42"/>
      <c r="AZ63" s="42"/>
      <c r="BA63" s="42"/>
      <c r="BB63" s="42"/>
      <c r="BC63" s="42"/>
      <c r="BD63" s="42"/>
      <c r="BE63" s="42"/>
      <c r="BF63" s="42"/>
      <c r="BG63" s="42"/>
      <c r="BH63" s="42"/>
      <c r="BI63" s="42"/>
      <c r="BJ63" s="42"/>
      <c r="BK63" s="42"/>
      <c r="BL63" s="42"/>
      <c r="BM63" s="42"/>
      <c r="BN63" s="42"/>
      <c r="BO63" s="42"/>
      <c r="BP63" s="42"/>
      <c r="BQ63" s="42"/>
      <c r="BR63" s="42"/>
      <c r="BS63" s="42"/>
      <c r="BT63" s="42"/>
      <c r="BU63" s="42"/>
      <c r="BV63" s="42"/>
      <c r="BW63" s="42"/>
      <c r="BX63" s="42"/>
      <c r="BY63" s="42"/>
      <c r="BZ63" s="42"/>
      <c r="CA63" s="42"/>
      <c r="CB63" s="42"/>
      <c r="CC63" s="42"/>
      <c r="CD63" s="42"/>
      <c r="CE63" s="42"/>
      <c r="CF63" s="42"/>
      <c r="CG63" s="42"/>
      <c r="CH63" s="42"/>
    </row>
    <row r="64" spans="1:92" s="574" customFormat="1" ht="18" customHeight="1">
      <c r="A64" s="1228" t="s">
        <v>485</v>
      </c>
      <c r="B64" s="1228"/>
      <c r="C64" s="1228"/>
      <c r="D64" s="575" t="s">
        <v>278</v>
      </c>
      <c r="E64" s="588">
        <f>E$43+E$61</f>
        <v>19700</v>
      </c>
      <c r="F64" s="588">
        <f t="shared" ref="F64:AN64" si="59">F30+F35+F40+F48+F53+F58</f>
        <v>21170</v>
      </c>
      <c r="G64" s="588">
        <f t="shared" si="59"/>
        <v>23840</v>
      </c>
      <c r="H64" s="588">
        <f>H30+H35+H40+H48+H53+H58</f>
        <v>26510</v>
      </c>
      <c r="I64" s="588">
        <f t="shared" si="59"/>
        <v>29380</v>
      </c>
      <c r="J64" s="588">
        <f t="shared" si="59"/>
        <v>32250</v>
      </c>
      <c r="K64" s="588">
        <f t="shared" si="59"/>
        <v>35820</v>
      </c>
      <c r="L64" s="1144">
        <f t="shared" si="59"/>
        <v>34215.5</v>
      </c>
      <c r="M64" s="588">
        <f t="shared" si="59"/>
        <v>35820</v>
      </c>
      <c r="N64" s="588">
        <f t="shared" si="59"/>
        <v>39390</v>
      </c>
      <c r="O64" s="865">
        <f t="shared" si="59"/>
        <v>41444.6</v>
      </c>
      <c r="P64" s="866">
        <f t="shared" si="59"/>
        <v>44276</v>
      </c>
      <c r="Q64" s="588">
        <f t="shared" si="59"/>
        <v>48162.8</v>
      </c>
      <c r="R64" s="588">
        <f t="shared" si="59"/>
        <v>52869.9</v>
      </c>
      <c r="S64" s="588">
        <f t="shared" si="59"/>
        <v>58195</v>
      </c>
      <c r="T64" s="588">
        <f t="shared" si="59"/>
        <v>64138.1</v>
      </c>
      <c r="U64" s="588">
        <f t="shared" si="59"/>
        <v>70905.2</v>
      </c>
      <c r="V64" s="588">
        <f t="shared" si="59"/>
        <v>79011.3</v>
      </c>
      <c r="W64" s="588">
        <f t="shared" si="59"/>
        <v>88353.4</v>
      </c>
      <c r="X64" s="1144">
        <f t="shared" si="59"/>
        <v>81766.399999999994</v>
      </c>
      <c r="Y64" s="588">
        <f t="shared" si="59"/>
        <v>100713.4</v>
      </c>
      <c r="Z64" s="588">
        <f t="shared" si="59"/>
        <v>113351.5</v>
      </c>
      <c r="AA64" s="865">
        <f t="shared" si="59"/>
        <v>127843.6</v>
      </c>
      <c r="AB64" s="866">
        <f t="shared" si="59"/>
        <v>128072.3</v>
      </c>
      <c r="AC64" s="588">
        <f t="shared" si="59"/>
        <v>168201.06000000003</v>
      </c>
      <c r="AD64" s="588">
        <f t="shared" si="59"/>
        <v>193436.47200000001</v>
      </c>
      <c r="AE64" s="588">
        <f t="shared" si="59"/>
        <v>243445.03199999998</v>
      </c>
      <c r="AF64" s="588">
        <f t="shared" si="59"/>
        <v>254875.56000000003</v>
      </c>
      <c r="AG64" s="588">
        <f t="shared" si="59"/>
        <v>295145.05800000008</v>
      </c>
      <c r="AH64" s="588">
        <f t="shared" si="59"/>
        <v>364463.64600000001</v>
      </c>
      <c r="AI64" s="588">
        <f t="shared" si="59"/>
        <v>409307.45639999997</v>
      </c>
      <c r="AJ64" s="1144">
        <f t="shared" si="59"/>
        <v>430788.02399999998</v>
      </c>
      <c r="AK64" s="588">
        <f t="shared" si="59"/>
        <v>445464.90600000002</v>
      </c>
      <c r="AL64" s="588">
        <f t="shared" si="59"/>
        <v>514184.652</v>
      </c>
      <c r="AM64" s="865">
        <f t="shared" si="59"/>
        <v>561797.21363999997</v>
      </c>
      <c r="AN64" s="866">
        <f t="shared" si="59"/>
        <v>601387.60379999992</v>
      </c>
      <c r="AO64" s="48"/>
      <c r="AP64" s="48"/>
      <c r="AQ64" s="48"/>
      <c r="AR64" s="48"/>
      <c r="AS64" s="48"/>
      <c r="AT64" s="48"/>
      <c r="AU64" s="48"/>
      <c r="AV64" s="48"/>
      <c r="AW64" s="48"/>
      <c r="AX64" s="48"/>
      <c r="AY64" s="48"/>
      <c r="AZ64" s="48"/>
      <c r="BA64" s="48"/>
      <c r="BB64" s="48"/>
      <c r="BC64" s="48"/>
      <c r="BD64" s="48"/>
      <c r="BE64" s="48"/>
      <c r="BF64" s="48"/>
      <c r="BG64" s="48"/>
      <c r="BH64" s="48"/>
      <c r="BI64" s="48"/>
      <c r="BJ64" s="48"/>
      <c r="BK64" s="48"/>
      <c r="BL64" s="48"/>
      <c r="BM64" s="48"/>
      <c r="BN64" s="48"/>
      <c r="BO64" s="48"/>
      <c r="BP64" s="48"/>
      <c r="BQ64" s="48"/>
      <c r="BR64" s="48"/>
      <c r="BS64" s="48"/>
      <c r="BT64" s="48"/>
      <c r="BU64" s="48"/>
      <c r="BV64" s="48"/>
      <c r="BW64" s="48"/>
      <c r="BX64" s="48"/>
      <c r="BY64" s="48"/>
      <c r="BZ64" s="48"/>
      <c r="CA64" s="48"/>
      <c r="CB64" s="48"/>
      <c r="CC64" s="48"/>
      <c r="CD64" s="48"/>
      <c r="CE64" s="48"/>
      <c r="CF64" s="48"/>
      <c r="CG64" s="48"/>
      <c r="CH64" s="48"/>
      <c r="CI64" s="48"/>
      <c r="CJ64" s="48"/>
      <c r="CK64" s="48"/>
      <c r="CL64" s="48"/>
      <c r="CM64" s="48"/>
      <c r="CN64" s="48"/>
    </row>
    <row r="65" spans="1:92" s="574" customFormat="1" ht="25.8" customHeight="1">
      <c r="A65" s="1228"/>
      <c r="B65" s="1228"/>
      <c r="C65" s="1228"/>
      <c r="D65" s="575" t="s">
        <v>279</v>
      </c>
      <c r="E65" s="588">
        <f>E$44+E$62</f>
        <v>14504</v>
      </c>
      <c r="F65" s="588">
        <f t="shared" ref="F65:AN65" si="60">F$44+F$62</f>
        <v>15579.5</v>
      </c>
      <c r="G65" s="588">
        <f t="shared" si="60"/>
        <v>17556.699999999997</v>
      </c>
      <c r="H65" s="588">
        <f t="shared" si="60"/>
        <v>19533.900000000001</v>
      </c>
      <c r="I65" s="588">
        <f t="shared" si="60"/>
        <v>21663</v>
      </c>
      <c r="J65" s="588">
        <f t="shared" si="60"/>
        <v>23792.1</v>
      </c>
      <c r="K65" s="588">
        <f t="shared" si="60"/>
        <v>26448</v>
      </c>
      <c r="L65" s="1144">
        <f t="shared" si="60"/>
        <v>25228.814999999999</v>
      </c>
      <c r="M65" s="588">
        <f t="shared" si="60"/>
        <v>26448</v>
      </c>
      <c r="N65" s="588">
        <f t="shared" si="60"/>
        <v>29103.899999999998</v>
      </c>
      <c r="O65" s="865">
        <f t="shared" si="60"/>
        <v>30480.531999999999</v>
      </c>
      <c r="P65" s="866">
        <f t="shared" si="60"/>
        <v>32511.294999999998</v>
      </c>
      <c r="Q65" s="588">
        <f t="shared" si="60"/>
        <v>35695.267999999996</v>
      </c>
      <c r="R65" s="588">
        <f t="shared" si="60"/>
        <v>39223.120999999999</v>
      </c>
      <c r="S65" s="588">
        <f t="shared" si="60"/>
        <v>43220.345000000001</v>
      </c>
      <c r="T65" s="588">
        <f t="shared" si="60"/>
        <v>47686.94</v>
      </c>
      <c r="U65" s="588">
        <f t="shared" si="60"/>
        <v>52779.362999999998</v>
      </c>
      <c r="V65" s="588">
        <f t="shared" si="60"/>
        <v>58883.760999999999</v>
      </c>
      <c r="W65" s="588">
        <f t="shared" si="60"/>
        <v>65926.900999999998</v>
      </c>
      <c r="X65" s="1144">
        <f t="shared" si="60"/>
        <v>60919.109299999996</v>
      </c>
      <c r="Y65" s="588">
        <f t="shared" si="60"/>
        <v>75314.320999999996</v>
      </c>
      <c r="Z65" s="588">
        <f t="shared" si="60"/>
        <v>84860.773000000001</v>
      </c>
      <c r="AA65" s="865">
        <f t="shared" si="60"/>
        <v>95815.338000000003</v>
      </c>
      <c r="AB65" s="866">
        <f t="shared" si="60"/>
        <v>95639.570200000002</v>
      </c>
      <c r="AC65" s="588">
        <f t="shared" si="60"/>
        <v>120177.22234000001</v>
      </c>
      <c r="AD65" s="588">
        <f t="shared" si="60"/>
        <v>138049.42968</v>
      </c>
      <c r="AE65" s="588">
        <f t="shared" si="60"/>
        <v>174277.74623999998</v>
      </c>
      <c r="AF65" s="588">
        <f t="shared" si="60"/>
        <v>181295.82168000002</v>
      </c>
      <c r="AG65" s="588">
        <f t="shared" si="60"/>
        <v>209663.00873999999</v>
      </c>
      <c r="AH65" s="588">
        <f t="shared" si="60"/>
        <v>259584.3597</v>
      </c>
      <c r="AI65" s="588">
        <f t="shared" si="60"/>
        <v>292865.90638</v>
      </c>
      <c r="AJ65" s="1144">
        <f t="shared" si="60"/>
        <v>307749.03933300002</v>
      </c>
      <c r="AK65" s="588">
        <f t="shared" si="60"/>
        <v>313464.00913999998</v>
      </c>
      <c r="AL65" s="588">
        <f t="shared" si="60"/>
        <v>361145.21328000003</v>
      </c>
      <c r="AM65" s="865">
        <f t="shared" si="60"/>
        <v>392972.42213760002</v>
      </c>
      <c r="AN65" s="866">
        <f t="shared" si="60"/>
        <v>419361.99901700008</v>
      </c>
      <c r="AO65" s="48"/>
      <c r="AP65" s="48"/>
      <c r="AQ65" s="48"/>
      <c r="AR65" s="48"/>
      <c r="AS65" s="48"/>
      <c r="AT65" s="48"/>
      <c r="AU65" s="48"/>
      <c r="AV65" s="48"/>
      <c r="AW65" s="48"/>
      <c r="AX65" s="48"/>
      <c r="AY65" s="48"/>
      <c r="AZ65" s="48"/>
      <c r="BA65" s="48"/>
      <c r="BB65" s="48"/>
      <c r="BC65" s="48"/>
      <c r="BD65" s="48"/>
      <c r="BE65" s="48"/>
      <c r="BF65" s="48"/>
      <c r="BG65" s="48"/>
      <c r="BH65" s="48"/>
      <c r="BI65" s="48"/>
      <c r="BJ65" s="48"/>
      <c r="BK65" s="48"/>
      <c r="BL65" s="48"/>
      <c r="BM65" s="48"/>
      <c r="BN65" s="48"/>
      <c r="BO65" s="48"/>
      <c r="BP65" s="48"/>
      <c r="BQ65" s="48"/>
      <c r="BR65" s="48"/>
      <c r="BS65" s="48"/>
      <c r="BT65" s="48"/>
      <c r="BU65" s="48"/>
      <c r="BV65" s="48"/>
      <c r="BW65" s="48"/>
      <c r="BX65" s="48"/>
      <c r="BY65" s="48"/>
      <c r="BZ65" s="48"/>
      <c r="CA65" s="48"/>
      <c r="CB65" s="48"/>
      <c r="CC65" s="48"/>
      <c r="CD65" s="48"/>
      <c r="CE65" s="48"/>
      <c r="CF65" s="48"/>
      <c r="CG65" s="48"/>
      <c r="CH65" s="48"/>
      <c r="CI65" s="48"/>
      <c r="CJ65" s="48"/>
      <c r="CK65" s="48"/>
      <c r="CL65" s="48"/>
      <c r="CM65" s="48"/>
      <c r="CN65" s="48"/>
    </row>
    <row r="66" spans="1:92" s="568" customFormat="1" ht="22.2" customHeight="1" thickBot="1">
      <c r="A66" s="1228"/>
      <c r="B66" s="1228"/>
      <c r="C66" s="1228"/>
      <c r="D66" s="781" t="s">
        <v>288</v>
      </c>
      <c r="E66" s="779">
        <f>E65/E64</f>
        <v>0.736243654822335</v>
      </c>
      <c r="F66" s="779">
        <f t="shared" ref="F66:AN66" si="61">F65/F64</f>
        <v>0.73592347661785551</v>
      </c>
      <c r="G66" s="779">
        <f t="shared" si="61"/>
        <v>0.73643875838926165</v>
      </c>
      <c r="H66" s="779">
        <f t="shared" si="61"/>
        <v>0.73685024519049425</v>
      </c>
      <c r="I66" s="779">
        <f t="shared" si="61"/>
        <v>0.73733832539142274</v>
      </c>
      <c r="J66" s="871">
        <f t="shared" si="61"/>
        <v>0.7377395348837209</v>
      </c>
      <c r="K66" s="871">
        <f t="shared" si="61"/>
        <v>0.73835845896147401</v>
      </c>
      <c r="L66" s="1145">
        <f t="shared" si="61"/>
        <v>0.73735046981631125</v>
      </c>
      <c r="M66" s="779">
        <f t="shared" si="61"/>
        <v>0.73835845896147401</v>
      </c>
      <c r="N66" s="779">
        <f t="shared" si="61"/>
        <v>0.7388651942117288</v>
      </c>
      <c r="O66" s="867">
        <f t="shared" si="61"/>
        <v>0.73545243529917048</v>
      </c>
      <c r="P66" s="868">
        <f>P65/P64</f>
        <v>0.7342870855542506</v>
      </c>
      <c r="Q66" s="871">
        <f t="shared" si="61"/>
        <v>0.7411377245508981</v>
      </c>
      <c r="R66" s="779">
        <f t="shared" si="61"/>
        <v>0.74187999220728618</v>
      </c>
      <c r="S66" s="779">
        <f t="shared" si="61"/>
        <v>0.74268141592920356</v>
      </c>
      <c r="T66" s="779">
        <f t="shared" si="61"/>
        <v>0.74350409506985715</v>
      </c>
      <c r="U66" s="779">
        <f t="shared" si="61"/>
        <v>0.74436519465427076</v>
      </c>
      <c r="V66" s="779">
        <f t="shared" si="61"/>
        <v>0.74525746317298913</v>
      </c>
      <c r="W66" s="871">
        <f t="shared" si="61"/>
        <v>0.74617276754488226</v>
      </c>
      <c r="X66" s="1145">
        <f t="shared" si="61"/>
        <v>0.74503841798097992</v>
      </c>
      <c r="Y66" s="779">
        <f t="shared" si="61"/>
        <v>0.74780834526488038</v>
      </c>
      <c r="Z66" s="779">
        <f t="shared" si="61"/>
        <v>0.7486515220354385</v>
      </c>
      <c r="AA66" s="867">
        <f t="shared" si="61"/>
        <v>0.74947309055752498</v>
      </c>
      <c r="AB66" s="868">
        <f t="shared" si="61"/>
        <v>0.7467623381480617</v>
      </c>
      <c r="AC66" s="779">
        <f t="shared" si="61"/>
        <v>0.71448552309955704</v>
      </c>
      <c r="AD66" s="779">
        <f t="shared" si="61"/>
        <v>0.71366804952894303</v>
      </c>
      <c r="AE66" s="779">
        <f t="shared" si="61"/>
        <v>0.71588130104047465</v>
      </c>
      <c r="AF66" s="779">
        <f t="shared" si="61"/>
        <v>0.71131112641792726</v>
      </c>
      <c r="AG66" s="779">
        <f t="shared" si="61"/>
        <v>0.71037275758823626</v>
      </c>
      <c r="AH66" s="871">
        <f t="shared" si="61"/>
        <v>0.71223663196301334</v>
      </c>
      <c r="AI66" s="871">
        <f t="shared" si="61"/>
        <v>0.71551568826978262</v>
      </c>
      <c r="AJ66" s="1145">
        <f t="shared" si="61"/>
        <v>0.71438624610650747</v>
      </c>
      <c r="AK66" s="779">
        <f t="shared" si="61"/>
        <v>0.70367834798640672</v>
      </c>
      <c r="AL66" s="779">
        <f t="shared" si="61"/>
        <v>0.70236482531182209</v>
      </c>
      <c r="AM66" s="867">
        <f t="shared" si="61"/>
        <v>0.69949158272154943</v>
      </c>
      <c r="AN66" s="868">
        <f t="shared" si="61"/>
        <v>0.697323982681334</v>
      </c>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row>
    <row r="67" spans="1:92" s="25" customFormat="1" ht="16.2" thickTop="1">
      <c r="B67" s="46"/>
      <c r="C67" s="41"/>
      <c r="D67" s="301"/>
      <c r="E67" s="44"/>
      <c r="F67" s="44"/>
      <c r="G67" s="44"/>
      <c r="H67" s="44"/>
      <c r="I67" s="44"/>
      <c r="J67" s="44"/>
      <c r="K67" s="44"/>
      <c r="L67" s="44"/>
      <c r="M67" s="44"/>
      <c r="N67" s="44"/>
      <c r="O67" s="44"/>
      <c r="P67" s="517"/>
      <c r="Q67" s="523"/>
      <c r="R67" s="44"/>
      <c r="S67" s="44"/>
      <c r="T67" s="44"/>
      <c r="U67" s="44"/>
      <c r="V67" s="44"/>
      <c r="W67" s="44"/>
      <c r="X67" s="44"/>
      <c r="Y67" s="44"/>
      <c r="Z67" s="44"/>
      <c r="AA67" s="44"/>
      <c r="AB67" s="45"/>
      <c r="AC67" s="44"/>
      <c r="AD67" s="44"/>
      <c r="AE67" s="44"/>
      <c r="AF67" s="44"/>
      <c r="AG67" s="44"/>
      <c r="AH67" s="44"/>
      <c r="AI67" s="44"/>
      <c r="AJ67" s="44"/>
      <c r="AK67" s="44"/>
      <c r="AL67" s="44"/>
      <c r="AM67" s="44"/>
      <c r="AN67" s="44"/>
      <c r="AO67" s="41"/>
      <c r="AP67" s="41"/>
      <c r="AQ67" s="41"/>
      <c r="AR67" s="41"/>
      <c r="AS67" s="41"/>
      <c r="AT67" s="41"/>
      <c r="AU67" s="41"/>
      <c r="AV67" s="41"/>
      <c r="AW67" s="41"/>
      <c r="AX67" s="41"/>
      <c r="AY67" s="41"/>
      <c r="AZ67" s="41"/>
      <c r="BA67" s="41"/>
      <c r="BB67" s="41"/>
      <c r="BC67" s="41"/>
      <c r="BD67" s="41"/>
      <c r="BE67" s="41"/>
      <c r="BF67" s="41"/>
      <c r="BG67" s="41"/>
      <c r="BH67" s="41"/>
      <c r="BI67" s="41"/>
      <c r="BJ67" s="41"/>
      <c r="BK67" s="41"/>
      <c r="BL67" s="41"/>
      <c r="BM67" s="41"/>
      <c r="BN67" s="41"/>
      <c r="BO67" s="41"/>
      <c r="BP67" s="41"/>
      <c r="BQ67" s="41"/>
      <c r="BR67" s="41"/>
      <c r="BS67" s="41"/>
      <c r="BT67" s="41"/>
      <c r="BU67" s="41"/>
      <c r="BV67" s="41"/>
      <c r="BW67" s="41"/>
      <c r="BX67" s="41"/>
      <c r="BY67" s="41"/>
      <c r="BZ67" s="41"/>
      <c r="CA67" s="41"/>
      <c r="CB67" s="41"/>
      <c r="CC67" s="41"/>
      <c r="CD67" s="41"/>
      <c r="CE67" s="41"/>
      <c r="CF67" s="41"/>
      <c r="CG67" s="41"/>
      <c r="CH67" s="41"/>
      <c r="CI67" s="41"/>
      <c r="CJ67" s="41"/>
      <c r="CK67" s="41"/>
      <c r="CL67" s="41"/>
      <c r="CM67" s="41"/>
      <c r="CN67" s="41"/>
    </row>
    <row r="68" spans="1:92" ht="23.55" customHeight="1">
      <c r="D68" s="300"/>
      <c r="E68" s="1217"/>
      <c r="F68" s="1217"/>
      <c r="G68" s="1217"/>
      <c r="H68" s="1217"/>
      <c r="I68" s="1217"/>
      <c r="J68" s="1217"/>
      <c r="K68" s="1217"/>
      <c r="L68" s="1217"/>
      <c r="M68" s="1217"/>
      <c r="N68" s="1217"/>
      <c r="O68" s="1217"/>
      <c r="P68" s="1229"/>
      <c r="Q68" s="1217"/>
      <c r="R68" s="1217"/>
      <c r="S68" s="1217"/>
      <c r="T68" s="1217"/>
      <c r="U68" s="1217"/>
      <c r="V68" s="1217"/>
      <c r="W68" s="1217"/>
      <c r="X68" s="1217"/>
      <c r="Y68" s="1217"/>
      <c r="Z68" s="1217"/>
      <c r="AA68" s="1217"/>
      <c r="AB68" s="1217"/>
      <c r="AC68" s="1217"/>
      <c r="AD68" s="1217"/>
      <c r="AE68" s="1217"/>
      <c r="AF68" s="1217"/>
      <c r="AG68" s="1217"/>
      <c r="AH68" s="1217"/>
      <c r="AI68" s="1217"/>
      <c r="AJ68" s="1217"/>
      <c r="AK68" s="1217"/>
      <c r="AL68" s="1217"/>
      <c r="AM68" s="1217"/>
      <c r="AN68" s="1217"/>
      <c r="AO68" s="49"/>
      <c r="AP68" s="49"/>
      <c r="AQ68" s="49"/>
      <c r="AR68" s="49"/>
      <c r="AS68" s="49"/>
      <c r="AT68" s="49"/>
      <c r="AU68" s="49"/>
      <c r="AV68" s="49"/>
      <c r="AW68" s="49"/>
      <c r="AX68" s="49"/>
      <c r="AY68" s="49"/>
      <c r="AZ68" s="49"/>
      <c r="BA68" s="49"/>
      <c r="BB68" s="49"/>
      <c r="BC68" s="49"/>
      <c r="BD68" s="49"/>
      <c r="BE68" s="49"/>
      <c r="BF68" s="49"/>
      <c r="BG68" s="49"/>
      <c r="BH68" s="49"/>
      <c r="BI68" s="49"/>
      <c r="BJ68" s="49"/>
      <c r="BK68" s="49"/>
      <c r="BL68" s="49"/>
      <c r="BM68" s="49"/>
      <c r="BN68" s="49"/>
      <c r="BO68" s="49"/>
      <c r="BP68" s="49"/>
      <c r="BQ68" s="49"/>
      <c r="BR68" s="49"/>
      <c r="BS68" s="49"/>
      <c r="BT68" s="49"/>
      <c r="BU68" s="49"/>
      <c r="BV68" s="49"/>
      <c r="BW68" s="49"/>
      <c r="BX68" s="49"/>
      <c r="BY68" s="49"/>
      <c r="BZ68" s="49"/>
      <c r="CA68" s="49"/>
      <c r="CB68" s="49"/>
      <c r="CC68" s="49"/>
      <c r="CD68" s="49"/>
      <c r="CE68" s="49"/>
      <c r="CF68" s="49"/>
      <c r="CG68" s="49"/>
      <c r="CH68" s="49"/>
      <c r="CI68" s="49"/>
      <c r="CJ68" s="49"/>
      <c r="CK68" s="49"/>
      <c r="CL68" s="49"/>
      <c r="CM68" s="49"/>
      <c r="CN68" s="49"/>
    </row>
    <row r="69" spans="1:92" ht="23.55" customHeight="1">
      <c r="C69" s="41"/>
      <c r="D69" s="300" t="s">
        <v>33</v>
      </c>
      <c r="E69" s="142">
        <v>45292</v>
      </c>
      <c r="F69" s="34">
        <f>DATE(YEAR(E69),MONTH(E69),DAY(EOMONTH(E69,0)))+1</f>
        <v>45323</v>
      </c>
      <c r="G69" s="34">
        <f t="shared" ref="G69" si="62">DATE(YEAR(F69),MONTH(F69),DAY(EOMONTH(F69,0)))+1</f>
        <v>45352</v>
      </c>
      <c r="H69" s="34">
        <f t="shared" ref="H69" si="63">DATE(YEAR(G69),MONTH(G69),DAY(EOMONTH(G69,0)))+1</f>
        <v>45383</v>
      </c>
      <c r="I69" s="34">
        <f t="shared" ref="I69" si="64">DATE(YEAR(H69),MONTH(H69),DAY(EOMONTH(H69,0)))+1</f>
        <v>45413</v>
      </c>
      <c r="J69" s="34">
        <f t="shared" ref="J69" si="65">DATE(YEAR(I69),MONTH(I69),DAY(EOMONTH(I69,0)))+1</f>
        <v>45444</v>
      </c>
      <c r="K69" s="34">
        <f t="shared" ref="K69" si="66">DATE(YEAR(J69),MONTH(J69),DAY(EOMONTH(J69,0)))+1</f>
        <v>45474</v>
      </c>
      <c r="L69" s="34">
        <f t="shared" ref="L69" si="67">DATE(YEAR(K69),MONTH(K69),DAY(EOMONTH(K69,0)))+1</f>
        <v>45505</v>
      </c>
      <c r="M69" s="34">
        <f t="shared" ref="M69" si="68">DATE(YEAR(L69),MONTH(L69),DAY(EOMONTH(L69,0)))+1</f>
        <v>45536</v>
      </c>
      <c r="N69" s="34">
        <f t="shared" ref="N69" si="69">DATE(YEAR(M69),MONTH(M69),DAY(EOMONTH(M69,0)))+1</f>
        <v>45566</v>
      </c>
      <c r="O69" s="34">
        <f t="shared" ref="O69" si="70">DATE(YEAR(N69),MONTH(N69),DAY(EOMONTH(N69,0)))+1</f>
        <v>45597</v>
      </c>
      <c r="P69" s="34">
        <f t="shared" ref="P69" si="71">DATE(YEAR(O69),MONTH(O69),DAY(EOMONTH(O69,0)))+1</f>
        <v>45627</v>
      </c>
      <c r="Q69" s="522">
        <f t="shared" ref="Q69" si="72">DATE(YEAR(P69),MONTH(P69),DAY(EOMONTH(P69,0)))+1</f>
        <v>45658</v>
      </c>
      <c r="R69" s="34">
        <f t="shared" ref="R69" si="73">DATE(YEAR(Q69),MONTH(Q69),DAY(EOMONTH(Q69,0)))+1</f>
        <v>45689</v>
      </c>
      <c r="S69" s="34">
        <f t="shared" ref="S69" si="74">DATE(YEAR(R69),MONTH(R69),DAY(EOMONTH(R69,0)))+1</f>
        <v>45717</v>
      </c>
      <c r="T69" s="34">
        <f t="shared" ref="T69" si="75">DATE(YEAR(S69),MONTH(S69),DAY(EOMONTH(S69,0)))+1</f>
        <v>45748</v>
      </c>
      <c r="U69" s="34">
        <f t="shared" ref="U69" si="76">DATE(YEAR(T69),MONTH(T69),DAY(EOMONTH(T69,0)))+1</f>
        <v>45778</v>
      </c>
      <c r="V69" s="34">
        <f t="shared" ref="V69" si="77">DATE(YEAR(U69),MONTH(U69),DAY(EOMONTH(U69,0)))+1</f>
        <v>45809</v>
      </c>
      <c r="W69" s="34">
        <f t="shared" ref="W69" si="78">DATE(YEAR(V69),MONTH(V69),DAY(EOMONTH(V69,0)))+1</f>
        <v>45839</v>
      </c>
      <c r="X69" s="34">
        <f t="shared" ref="X69" si="79">DATE(YEAR(W69),MONTH(W69),DAY(EOMONTH(W69,0)))+1</f>
        <v>45870</v>
      </c>
      <c r="Y69" s="34">
        <f t="shared" ref="Y69" si="80">DATE(YEAR(X69),MONTH(X69),DAY(EOMONTH(X69,0)))+1</f>
        <v>45901</v>
      </c>
      <c r="Z69" s="34">
        <f t="shared" ref="Z69" si="81">DATE(YEAR(Y69),MONTH(Y69),DAY(EOMONTH(Y69,0)))+1</f>
        <v>45931</v>
      </c>
      <c r="AA69" s="34">
        <f t="shared" ref="AA69" si="82">DATE(YEAR(Z69),MONTH(Z69),DAY(EOMONTH(Z69,0)))+1</f>
        <v>45962</v>
      </c>
      <c r="AB69" s="35">
        <f>DATE(YEAR(AA69),MONTH(AA69),DAY(EOMONTH(AA69,0)))+1</f>
        <v>45992</v>
      </c>
      <c r="AC69" s="34">
        <f t="shared" ref="AC69" si="83">DATE(YEAR(AB69),MONTH(AB69),DAY(EOMONTH(AB69,0)))+1</f>
        <v>46023</v>
      </c>
      <c r="AD69" s="34">
        <f t="shared" ref="AD69" si="84">DATE(YEAR(AC69),MONTH(AC69),DAY(EOMONTH(AC69,0)))+1</f>
        <v>46054</v>
      </c>
      <c r="AE69" s="34">
        <f t="shared" ref="AE69" si="85">DATE(YEAR(AD69),MONTH(AD69),DAY(EOMONTH(AD69,0)))+1</f>
        <v>46082</v>
      </c>
      <c r="AF69" s="34">
        <f t="shared" ref="AF69" si="86">DATE(YEAR(AE69),MONTH(AE69),DAY(EOMONTH(AE69,0)))+1</f>
        <v>46113</v>
      </c>
      <c r="AG69" s="34">
        <f t="shared" ref="AG69" si="87">DATE(YEAR(AF69),MONTH(AF69),DAY(EOMONTH(AF69,0)))+1</f>
        <v>46143</v>
      </c>
      <c r="AH69" s="34">
        <f t="shared" ref="AH69" si="88">DATE(YEAR(AG69),MONTH(AG69),DAY(EOMONTH(AG69,0)))+1</f>
        <v>46174</v>
      </c>
      <c r="AI69" s="34">
        <f t="shared" ref="AI69" si="89">DATE(YEAR(AH69),MONTH(AH69),DAY(EOMONTH(AH69,0)))+1</f>
        <v>46204</v>
      </c>
      <c r="AJ69" s="34">
        <f t="shared" ref="AJ69" si="90">DATE(YEAR(AI69),MONTH(AI69),DAY(EOMONTH(AI69,0)))+1</f>
        <v>46235</v>
      </c>
      <c r="AK69" s="34">
        <f t="shared" ref="AK69" si="91">DATE(YEAR(AJ69),MONTH(AJ69),DAY(EOMONTH(AJ69,0)))+1</f>
        <v>46266</v>
      </c>
      <c r="AL69" s="34">
        <f t="shared" ref="AL69" si="92">DATE(YEAR(AK69),MONTH(AK69),DAY(EOMONTH(AK69,0)))+1</f>
        <v>46296</v>
      </c>
      <c r="AM69" s="34">
        <f t="shared" ref="AM69" si="93">DATE(YEAR(AL69),MONTH(AL69),DAY(EOMONTH(AL69,0)))+1</f>
        <v>46327</v>
      </c>
      <c r="AN69" s="34">
        <f>DATE(YEAR(AM69),MONTH(AM69),DAY(EOMONTH(AM69,0)))+1+2023.2-2022.3</f>
        <v>46357.899999999994</v>
      </c>
      <c r="AO69" s="49"/>
      <c r="AP69" s="49"/>
      <c r="AQ69" s="49"/>
      <c r="AR69" s="49"/>
      <c r="AS69" s="49"/>
      <c r="AT69" s="49"/>
      <c r="AU69" s="49"/>
      <c r="AV69" s="49"/>
      <c r="AW69" s="49"/>
      <c r="AX69" s="49"/>
      <c r="AY69" s="49"/>
      <c r="AZ69" s="49"/>
      <c r="BA69" s="49"/>
      <c r="BB69" s="49"/>
      <c r="BC69" s="49"/>
      <c r="BD69" s="49"/>
      <c r="BE69" s="49"/>
      <c r="BF69" s="49"/>
      <c r="BG69" s="49"/>
      <c r="BH69" s="49"/>
      <c r="BI69" s="49"/>
      <c r="BJ69" s="49"/>
      <c r="BK69" s="49"/>
      <c r="BL69" s="49"/>
      <c r="BM69" s="49"/>
      <c r="BN69" s="49"/>
      <c r="BO69" s="49"/>
      <c r="BP69" s="49"/>
      <c r="BQ69" s="49"/>
      <c r="BR69" s="49"/>
      <c r="BS69" s="49"/>
      <c r="BT69" s="49"/>
      <c r="BU69" s="49"/>
      <c r="BV69" s="49"/>
      <c r="BW69" s="49"/>
      <c r="BX69" s="49"/>
      <c r="BY69" s="49"/>
      <c r="BZ69" s="49"/>
      <c r="CA69" s="49"/>
      <c r="CB69" s="49"/>
      <c r="CC69" s="49"/>
      <c r="CD69" s="49"/>
      <c r="CE69" s="49"/>
      <c r="CF69" s="49"/>
      <c r="CG69" s="49"/>
      <c r="CH69" s="49"/>
      <c r="CI69" s="49"/>
      <c r="CJ69" s="49"/>
      <c r="CK69" s="49"/>
      <c r="CL69" s="49"/>
      <c r="CM69" s="49"/>
      <c r="CN69" s="49"/>
    </row>
    <row r="70" spans="1:92" s="577" customFormat="1" ht="30.45" customHeight="1">
      <c r="A70" s="1226" t="s">
        <v>293</v>
      </c>
      <c r="B70" s="1226"/>
      <c r="C70" s="1226"/>
      <c r="D70" s="768"/>
      <c r="E70" s="783"/>
      <c r="F70" s="770"/>
      <c r="G70" s="770"/>
      <c r="H70" s="770"/>
      <c r="I70" s="770"/>
      <c r="J70" s="770"/>
      <c r="K70" s="770"/>
      <c r="L70" s="770"/>
      <c r="M70" s="770"/>
      <c r="N70" s="770"/>
      <c r="O70" s="770"/>
      <c r="P70" s="770"/>
      <c r="Q70" s="784"/>
      <c r="R70" s="770"/>
      <c r="S70" s="770"/>
      <c r="T70" s="770"/>
      <c r="U70" s="770"/>
      <c r="V70" s="770"/>
      <c r="W70" s="770"/>
      <c r="X70" s="770"/>
      <c r="Y70" s="770"/>
      <c r="Z70" s="770"/>
      <c r="AA70" s="770"/>
      <c r="AB70" s="785"/>
      <c r="AC70" s="770"/>
      <c r="AD70" s="770"/>
      <c r="AE70" s="770"/>
      <c r="AF70" s="770"/>
      <c r="AG70" s="770"/>
      <c r="AH70" s="770"/>
      <c r="AI70" s="770"/>
      <c r="AJ70" s="770"/>
      <c r="AK70" s="770"/>
      <c r="AL70" s="770"/>
      <c r="AM70" s="770"/>
      <c r="AN70" s="770"/>
      <c r="AO70" s="49"/>
      <c r="AP70" s="49"/>
      <c r="AQ70" s="49"/>
      <c r="AR70" s="49"/>
      <c r="AS70" s="49"/>
      <c r="AT70" s="49"/>
      <c r="AU70" s="49"/>
      <c r="AV70" s="49"/>
      <c r="AW70" s="49"/>
      <c r="AX70" s="49"/>
      <c r="AY70" s="49"/>
      <c r="AZ70" s="49"/>
      <c r="BA70" s="49"/>
      <c r="BB70" s="49"/>
      <c r="BC70" s="49"/>
      <c r="BD70" s="49"/>
      <c r="BE70" s="49"/>
      <c r="BF70" s="49"/>
      <c r="BG70" s="49"/>
      <c r="BH70" s="49"/>
      <c r="BI70" s="49"/>
      <c r="BJ70" s="49"/>
      <c r="BK70" s="49"/>
      <c r="BL70" s="49"/>
      <c r="BM70" s="49"/>
      <c r="BN70" s="49"/>
      <c r="BO70" s="49"/>
      <c r="BP70" s="49"/>
      <c r="BQ70" s="49"/>
      <c r="BR70" s="49"/>
      <c r="BS70" s="49"/>
      <c r="BT70" s="49"/>
      <c r="BU70" s="49"/>
      <c r="BV70" s="49"/>
      <c r="BW70" s="49"/>
      <c r="BX70" s="49"/>
      <c r="BY70" s="49"/>
      <c r="BZ70" s="49"/>
      <c r="CA70" s="49"/>
      <c r="CB70" s="49"/>
      <c r="CC70" s="49"/>
      <c r="CD70" s="49"/>
      <c r="CE70" s="49"/>
      <c r="CF70" s="49"/>
      <c r="CG70" s="49"/>
      <c r="CH70" s="49"/>
      <c r="CI70" s="49"/>
      <c r="CJ70" s="49"/>
      <c r="CK70" s="49"/>
      <c r="CL70" s="49"/>
      <c r="CM70" s="49"/>
      <c r="CN70" s="49"/>
    </row>
    <row r="71" spans="1:92" ht="16.2" thickBot="1">
      <c r="D71" s="295"/>
      <c r="E71" s="49"/>
      <c r="F71" s="49"/>
      <c r="G71" s="49"/>
      <c r="H71" s="49"/>
      <c r="I71" s="49"/>
      <c r="J71" s="49"/>
      <c r="K71" s="49"/>
      <c r="L71" s="49"/>
      <c r="M71" s="49"/>
      <c r="N71" s="49"/>
      <c r="O71" s="49"/>
      <c r="P71" s="49"/>
      <c r="Q71" s="524"/>
      <c r="R71" s="49"/>
      <c r="S71" s="49"/>
      <c r="T71" s="49"/>
      <c r="U71" s="49"/>
      <c r="V71" s="49"/>
      <c r="W71" s="49"/>
      <c r="X71" s="49"/>
      <c r="Y71" s="49"/>
      <c r="Z71" s="49"/>
      <c r="AA71" s="49"/>
      <c r="AB71" s="51"/>
      <c r="AC71" s="49"/>
      <c r="AD71" s="49"/>
      <c r="AE71" s="49"/>
      <c r="AF71" s="49"/>
      <c r="AG71" s="49"/>
      <c r="AH71" s="49"/>
      <c r="AI71" s="49"/>
      <c r="AJ71" s="49"/>
      <c r="AK71" s="49"/>
      <c r="AL71" s="49"/>
      <c r="AM71" s="49"/>
      <c r="AN71" s="49"/>
      <c r="AO71" s="49"/>
      <c r="AP71" s="49"/>
      <c r="AQ71" s="49"/>
      <c r="AR71" s="49"/>
      <c r="AS71" s="49"/>
      <c r="AT71" s="49"/>
      <c r="AU71" s="49"/>
      <c r="AV71" s="49"/>
      <c r="AW71" s="49"/>
      <c r="AX71" s="49"/>
      <c r="AY71" s="49"/>
      <c r="AZ71" s="49"/>
      <c r="BA71" s="49"/>
      <c r="BB71" s="49"/>
      <c r="BC71" s="49"/>
      <c r="BD71" s="49"/>
      <c r="BE71" s="49"/>
      <c r="BF71" s="49"/>
      <c r="BG71" s="49"/>
      <c r="BH71" s="49"/>
      <c r="BI71" s="49"/>
      <c r="BJ71" s="49"/>
      <c r="BK71" s="49"/>
      <c r="BL71" s="49"/>
      <c r="BM71" s="49"/>
      <c r="BN71" s="49"/>
      <c r="BO71" s="49"/>
      <c r="BP71" s="49"/>
      <c r="BQ71" s="49"/>
      <c r="BR71" s="49"/>
      <c r="BS71" s="49"/>
      <c r="BT71" s="49"/>
      <c r="BU71" s="49"/>
      <c r="BV71" s="49"/>
      <c r="BW71" s="49"/>
      <c r="BX71" s="49"/>
      <c r="BY71" s="49"/>
      <c r="BZ71" s="49"/>
      <c r="CA71" s="49"/>
      <c r="CB71" s="49"/>
      <c r="CC71" s="49"/>
      <c r="CD71" s="49"/>
      <c r="CE71" s="49"/>
      <c r="CF71" s="49"/>
      <c r="CG71" s="49"/>
      <c r="CH71" s="49"/>
      <c r="CI71" s="49"/>
      <c r="CJ71" s="49"/>
      <c r="CK71" s="49"/>
      <c r="CL71" s="49"/>
      <c r="CM71" s="49"/>
      <c r="CN71" s="49"/>
    </row>
    <row r="72" spans="1:92" ht="24" thickTop="1">
      <c r="A72" s="491"/>
      <c r="B72" s="497" t="s">
        <v>458</v>
      </c>
      <c r="C72" s="461"/>
      <c r="D72" s="495" t="s">
        <v>291</v>
      </c>
      <c r="E72" s="235">
        <v>10</v>
      </c>
      <c r="F72" s="501">
        <f>E75</f>
        <v>11</v>
      </c>
      <c r="G72" s="501">
        <f t="shared" ref="G72" si="94">F75</f>
        <v>12</v>
      </c>
      <c r="H72" s="501">
        <f t="shared" ref="H72" si="95">G75</f>
        <v>12</v>
      </c>
      <c r="I72" s="501">
        <f t="shared" ref="I72" si="96">H75</f>
        <v>13</v>
      </c>
      <c r="J72" s="501">
        <f t="shared" ref="J72" si="97">I75</f>
        <v>14</v>
      </c>
      <c r="K72" s="501">
        <f t="shared" ref="K72" si="98">J75</f>
        <v>15</v>
      </c>
      <c r="L72" s="501">
        <f t="shared" ref="L72" si="99">K75</f>
        <v>16</v>
      </c>
      <c r="M72" s="501">
        <f t="shared" ref="M72" si="100">L75</f>
        <v>23</v>
      </c>
      <c r="N72" s="501">
        <f t="shared" ref="N72" si="101">M75</f>
        <v>30</v>
      </c>
      <c r="O72" s="501">
        <f t="shared" ref="O72" si="102">N75</f>
        <v>41</v>
      </c>
      <c r="P72" s="518">
        <f t="shared" ref="P72" si="103">O75</f>
        <v>47</v>
      </c>
      <c r="Q72" s="525">
        <f t="shared" ref="Q72" si="104">P75</f>
        <v>55</v>
      </c>
      <c r="R72" s="501">
        <f t="shared" ref="R72" si="105">Q75</f>
        <v>67</v>
      </c>
      <c r="S72" s="501">
        <f t="shared" ref="S72" si="106">R75</f>
        <v>82</v>
      </c>
      <c r="T72" s="501">
        <f t="shared" ref="T72" si="107">S75</f>
        <v>97</v>
      </c>
      <c r="U72" s="501">
        <f t="shared" ref="U72" si="108">T75</f>
        <v>113</v>
      </c>
      <c r="V72" s="501">
        <f t="shared" ref="V72" si="109">U75</f>
        <v>123</v>
      </c>
      <c r="W72" s="501">
        <f t="shared" ref="W72" si="110">V75</f>
        <v>136</v>
      </c>
      <c r="X72" s="501">
        <f t="shared" ref="X72" si="111">W75</f>
        <v>149</v>
      </c>
      <c r="Y72" s="501">
        <f t="shared" ref="Y72" si="112">X75</f>
        <v>164</v>
      </c>
      <c r="Z72" s="501">
        <f t="shared" ref="Z72" si="113">Y75</f>
        <v>177</v>
      </c>
      <c r="AA72" s="501">
        <f>Z75</f>
        <v>192</v>
      </c>
      <c r="AB72" s="502">
        <f t="shared" ref="AB72" si="114">AA75</f>
        <v>208</v>
      </c>
      <c r="AC72" s="501">
        <f t="shared" ref="AC72" si="115">AB75</f>
        <v>203</v>
      </c>
      <c r="AD72" s="501">
        <f t="shared" ref="AD72" si="116">AC75</f>
        <v>231</v>
      </c>
      <c r="AE72" s="501">
        <f t="shared" ref="AE72" si="117">AD75</f>
        <v>254</v>
      </c>
      <c r="AF72" s="501">
        <f t="shared" ref="AF72" si="118">AE75</f>
        <v>280</v>
      </c>
      <c r="AG72" s="501">
        <f t="shared" ref="AG72" si="119">AF75</f>
        <v>300</v>
      </c>
      <c r="AH72" s="501">
        <f t="shared" ref="AH72" si="120">AG75</f>
        <v>324</v>
      </c>
      <c r="AI72" s="501">
        <f t="shared" ref="AI72" si="121">AH75</f>
        <v>348</v>
      </c>
      <c r="AJ72" s="501">
        <f t="shared" ref="AJ72" si="122">AI75</f>
        <v>372</v>
      </c>
      <c r="AK72" s="501">
        <f t="shared" ref="AK72" si="123">AJ75</f>
        <v>383</v>
      </c>
      <c r="AL72" s="501">
        <f t="shared" ref="AL72" si="124">AK75</f>
        <v>393</v>
      </c>
      <c r="AM72" s="501">
        <f t="shared" ref="AM72" si="125">AL75</f>
        <v>402</v>
      </c>
      <c r="AN72" s="501">
        <f t="shared" ref="AN72" si="126">AM75</f>
        <v>413</v>
      </c>
      <c r="AO72" s="49"/>
      <c r="AP72" s="49"/>
      <c r="AQ72" s="49"/>
      <c r="AR72" s="49"/>
      <c r="AS72" s="49"/>
      <c r="AT72" s="49"/>
      <c r="AU72" s="49"/>
      <c r="AV72" s="49"/>
      <c r="AW72" s="49"/>
      <c r="AX72" s="49"/>
      <c r="AY72" s="49"/>
      <c r="AZ72" s="49"/>
      <c r="BA72" s="49"/>
      <c r="BB72" s="49"/>
      <c r="BC72" s="49"/>
      <c r="BD72" s="49"/>
      <c r="BE72" s="49"/>
      <c r="BF72" s="49"/>
      <c r="BG72" s="49"/>
      <c r="BH72" s="49"/>
      <c r="BI72" s="49"/>
      <c r="BJ72" s="49"/>
      <c r="BK72" s="49"/>
      <c r="BL72" s="49"/>
      <c r="BM72" s="49"/>
      <c r="BN72" s="49"/>
      <c r="BO72" s="49"/>
      <c r="BP72" s="49"/>
      <c r="BQ72" s="49"/>
      <c r="BR72" s="49"/>
      <c r="BS72" s="49"/>
      <c r="BT72" s="49"/>
      <c r="BU72" s="49"/>
      <c r="BV72" s="49"/>
      <c r="BW72" s="49"/>
      <c r="BX72" s="49"/>
      <c r="BY72" s="49"/>
      <c r="BZ72" s="49"/>
      <c r="CA72" s="49"/>
      <c r="CB72" s="49"/>
      <c r="CC72" s="49"/>
      <c r="CD72" s="49"/>
      <c r="CE72" s="49"/>
      <c r="CF72" s="49"/>
      <c r="CG72" s="49"/>
      <c r="CH72" s="49"/>
      <c r="CI72" s="49"/>
      <c r="CJ72" s="49"/>
      <c r="CK72" s="49"/>
      <c r="CL72" s="49"/>
      <c r="CM72" s="49"/>
      <c r="CN72" s="49"/>
    </row>
    <row r="73" spans="1:92">
      <c r="B73" s="481" t="s">
        <v>277</v>
      </c>
      <c r="C73" s="505">
        <f>'Pricing Model'!E78</f>
        <v>18</v>
      </c>
      <c r="D73" s="495" t="s">
        <v>284</v>
      </c>
      <c r="E73" s="235">
        <v>6</v>
      </c>
      <c r="F73" s="235">
        <v>6</v>
      </c>
      <c r="G73" s="235">
        <v>6</v>
      </c>
      <c r="H73" s="235">
        <v>6</v>
      </c>
      <c r="I73" s="235">
        <v>6</v>
      </c>
      <c r="J73" s="235">
        <v>6</v>
      </c>
      <c r="K73" s="235">
        <v>6</v>
      </c>
      <c r="L73" s="235">
        <v>12</v>
      </c>
      <c r="M73" s="235">
        <v>12</v>
      </c>
      <c r="N73" s="235">
        <v>12</v>
      </c>
      <c r="O73" s="235">
        <v>12</v>
      </c>
      <c r="P73" s="519">
        <v>12</v>
      </c>
      <c r="Q73" s="526">
        <v>18</v>
      </c>
      <c r="R73" s="235">
        <v>18</v>
      </c>
      <c r="S73" s="235">
        <v>18</v>
      </c>
      <c r="T73" s="235">
        <v>18</v>
      </c>
      <c r="U73" s="235">
        <v>18</v>
      </c>
      <c r="V73" s="235">
        <v>18</v>
      </c>
      <c r="W73" s="235">
        <v>18</v>
      </c>
      <c r="X73" s="235">
        <v>20</v>
      </c>
      <c r="Y73" s="235">
        <v>20</v>
      </c>
      <c r="Z73" s="235">
        <v>20</v>
      </c>
      <c r="AA73" s="235">
        <v>20</v>
      </c>
      <c r="AB73" s="283"/>
      <c r="AC73" s="235">
        <v>30</v>
      </c>
      <c r="AD73" s="235">
        <v>30</v>
      </c>
      <c r="AE73" s="235">
        <v>30</v>
      </c>
      <c r="AF73" s="235">
        <v>25</v>
      </c>
      <c r="AG73" s="235">
        <v>25</v>
      </c>
      <c r="AH73" s="235">
        <v>25</v>
      </c>
      <c r="AI73" s="235">
        <v>25</v>
      </c>
      <c r="AJ73" s="235">
        <v>15</v>
      </c>
      <c r="AK73" s="235">
        <v>15</v>
      </c>
      <c r="AL73" s="235">
        <v>15</v>
      </c>
      <c r="AM73" s="235">
        <v>15</v>
      </c>
      <c r="AN73" s="235">
        <v>15</v>
      </c>
      <c r="AO73" s="49"/>
      <c r="AP73" s="49"/>
      <c r="AQ73" s="49"/>
      <c r="AR73" s="49"/>
      <c r="AS73" s="49"/>
      <c r="AT73" s="49"/>
      <c r="AU73" s="49"/>
      <c r="AV73" s="49"/>
      <c r="AW73" s="49"/>
      <c r="AX73" s="49"/>
      <c r="AY73" s="49"/>
      <c r="AZ73" s="49"/>
      <c r="BA73" s="49"/>
      <c r="BB73" s="49"/>
      <c r="BC73" s="49"/>
      <c r="BD73" s="49"/>
      <c r="BE73" s="49"/>
      <c r="BF73" s="49"/>
      <c r="BG73" s="49"/>
      <c r="BH73" s="49"/>
      <c r="BI73" s="49"/>
      <c r="BJ73" s="49"/>
      <c r="BK73" s="49"/>
      <c r="BL73" s="49"/>
      <c r="BM73" s="49"/>
      <c r="BN73" s="49"/>
      <c r="BO73" s="49"/>
      <c r="BP73" s="49"/>
      <c r="BQ73" s="49"/>
      <c r="BR73" s="49"/>
      <c r="BS73" s="49"/>
      <c r="BT73" s="49"/>
      <c r="BU73" s="49"/>
      <c r="BV73" s="49"/>
      <c r="BW73" s="49"/>
      <c r="BX73" s="49"/>
      <c r="BY73" s="49"/>
      <c r="BZ73" s="49"/>
      <c r="CA73" s="49"/>
      <c r="CB73" s="49"/>
      <c r="CC73" s="49"/>
      <c r="CD73" s="49"/>
      <c r="CE73" s="49"/>
      <c r="CF73" s="49"/>
      <c r="CG73" s="49"/>
      <c r="CH73" s="49"/>
      <c r="CI73" s="49"/>
      <c r="CJ73" s="49"/>
      <c r="CK73" s="49"/>
      <c r="CL73" s="49"/>
      <c r="CM73" s="49"/>
      <c r="CN73" s="49"/>
    </row>
    <row r="74" spans="1:92">
      <c r="A74" s="492"/>
      <c r="B74" s="481" t="s">
        <v>276</v>
      </c>
      <c r="C74" s="461">
        <f>'Pricing Model'!E92</f>
        <v>0.3611111111111111</v>
      </c>
      <c r="D74" s="495" t="s">
        <v>283</v>
      </c>
      <c r="E74" s="235">
        <v>-5</v>
      </c>
      <c r="F74" s="235">
        <v>-5</v>
      </c>
      <c r="G74" s="235">
        <v>-6</v>
      </c>
      <c r="H74" s="235">
        <v>-5</v>
      </c>
      <c r="I74" s="235">
        <v>-5</v>
      </c>
      <c r="J74" s="235">
        <v>-5</v>
      </c>
      <c r="K74" s="235">
        <v>-5</v>
      </c>
      <c r="L74" s="235">
        <v>-5</v>
      </c>
      <c r="M74" s="235">
        <v>-5</v>
      </c>
      <c r="N74" s="235">
        <v>-1</v>
      </c>
      <c r="O74" s="235">
        <v>-6</v>
      </c>
      <c r="P74" s="519">
        <v>-4</v>
      </c>
      <c r="Q74" s="526">
        <v>-6</v>
      </c>
      <c r="R74" s="235">
        <v>-3</v>
      </c>
      <c r="S74" s="235">
        <v>-3</v>
      </c>
      <c r="T74" s="235">
        <v>-2</v>
      </c>
      <c r="U74" s="235">
        <v>-8</v>
      </c>
      <c r="V74" s="235">
        <v>-5</v>
      </c>
      <c r="W74" s="235">
        <v>-5</v>
      </c>
      <c r="X74" s="235">
        <v>-5</v>
      </c>
      <c r="Y74" s="235">
        <v>-7</v>
      </c>
      <c r="Z74" s="235">
        <v>-5</v>
      </c>
      <c r="AA74" s="235">
        <v>-4</v>
      </c>
      <c r="AB74" s="283">
        <v>-5</v>
      </c>
      <c r="AC74" s="235">
        <v>-2</v>
      </c>
      <c r="AD74" s="235">
        <v>-7</v>
      </c>
      <c r="AE74" s="235">
        <v>-4</v>
      </c>
      <c r="AF74" s="235">
        <v>-5</v>
      </c>
      <c r="AG74" s="235">
        <v>-1</v>
      </c>
      <c r="AH74" s="235">
        <v>-1</v>
      </c>
      <c r="AI74" s="235">
        <v>-1</v>
      </c>
      <c r="AJ74" s="235">
        <v>-4</v>
      </c>
      <c r="AK74" s="235">
        <v>-5</v>
      </c>
      <c r="AL74" s="235">
        <v>-6</v>
      </c>
      <c r="AM74" s="235">
        <v>-4</v>
      </c>
      <c r="AN74" s="235">
        <v>-8</v>
      </c>
      <c r="AO74" s="49"/>
      <c r="AP74" s="49"/>
      <c r="AQ74" s="49"/>
      <c r="AR74" s="49"/>
      <c r="AS74" s="49"/>
      <c r="AT74" s="49"/>
      <c r="AU74" s="49"/>
      <c r="AV74" s="49"/>
      <c r="AW74" s="49"/>
      <c r="AX74" s="49"/>
      <c r="AY74" s="49"/>
      <c r="AZ74" s="49"/>
      <c r="BA74" s="49"/>
      <c r="BB74" s="49"/>
      <c r="BC74" s="49"/>
      <c r="BD74" s="49"/>
      <c r="BE74" s="49"/>
      <c r="BF74" s="49"/>
      <c r="BG74" s="49"/>
      <c r="BH74" s="49"/>
      <c r="BI74" s="49"/>
      <c r="BJ74" s="49"/>
      <c r="BK74" s="49"/>
      <c r="BL74" s="49"/>
      <c r="BM74" s="49"/>
      <c r="BN74" s="49"/>
      <c r="BO74" s="49"/>
      <c r="BP74" s="49"/>
      <c r="BQ74" s="49"/>
      <c r="BR74" s="49"/>
      <c r="BS74" s="49"/>
      <c r="BT74" s="49"/>
      <c r="BU74" s="49"/>
      <c r="BV74" s="49"/>
      <c r="BW74" s="49"/>
      <c r="BX74" s="49"/>
      <c r="BY74" s="49"/>
      <c r="BZ74" s="49"/>
      <c r="CA74" s="49"/>
      <c r="CB74" s="49"/>
      <c r="CC74" s="49"/>
      <c r="CD74" s="49"/>
      <c r="CE74" s="49"/>
      <c r="CF74" s="49"/>
      <c r="CG74" s="49"/>
      <c r="CH74" s="49"/>
      <c r="CI74" s="49"/>
      <c r="CJ74" s="49"/>
      <c r="CK74" s="49"/>
      <c r="CL74" s="49"/>
      <c r="CM74" s="49"/>
      <c r="CN74" s="49"/>
    </row>
    <row r="75" spans="1:92" s="24" customFormat="1">
      <c r="A75" s="493"/>
      <c r="B75" s="497"/>
      <c r="C75" s="506"/>
      <c r="D75" s="497" t="s">
        <v>280</v>
      </c>
      <c r="E75" s="498">
        <f>SUM(E72:E74)</f>
        <v>11</v>
      </c>
      <c r="F75" s="498">
        <f t="shared" ref="F75:AN75" si="127">SUM(F72:F74)</f>
        <v>12</v>
      </c>
      <c r="G75" s="498">
        <f t="shared" si="127"/>
        <v>12</v>
      </c>
      <c r="H75" s="498">
        <f t="shared" si="127"/>
        <v>13</v>
      </c>
      <c r="I75" s="498">
        <f t="shared" si="127"/>
        <v>14</v>
      </c>
      <c r="J75" s="498">
        <f t="shared" si="127"/>
        <v>15</v>
      </c>
      <c r="K75" s="498">
        <f t="shared" si="127"/>
        <v>16</v>
      </c>
      <c r="L75" s="498">
        <f t="shared" si="127"/>
        <v>23</v>
      </c>
      <c r="M75" s="498">
        <f t="shared" si="127"/>
        <v>30</v>
      </c>
      <c r="N75" s="498">
        <f t="shared" si="127"/>
        <v>41</v>
      </c>
      <c r="O75" s="498">
        <f t="shared" si="127"/>
        <v>47</v>
      </c>
      <c r="P75" s="498">
        <f t="shared" si="127"/>
        <v>55</v>
      </c>
      <c r="Q75" s="527">
        <f t="shared" si="127"/>
        <v>67</v>
      </c>
      <c r="R75" s="498">
        <f t="shared" si="127"/>
        <v>82</v>
      </c>
      <c r="S75" s="498">
        <f t="shared" si="127"/>
        <v>97</v>
      </c>
      <c r="T75" s="498">
        <f t="shared" si="127"/>
        <v>113</v>
      </c>
      <c r="U75" s="498">
        <f t="shared" si="127"/>
        <v>123</v>
      </c>
      <c r="V75" s="498">
        <f t="shared" si="127"/>
        <v>136</v>
      </c>
      <c r="W75" s="498">
        <f t="shared" si="127"/>
        <v>149</v>
      </c>
      <c r="X75" s="498">
        <f t="shared" si="127"/>
        <v>164</v>
      </c>
      <c r="Y75" s="498">
        <f t="shared" si="127"/>
        <v>177</v>
      </c>
      <c r="Z75" s="498">
        <f t="shared" si="127"/>
        <v>192</v>
      </c>
      <c r="AA75" s="498">
        <f t="shared" si="127"/>
        <v>208</v>
      </c>
      <c r="AB75" s="499">
        <f t="shared" si="127"/>
        <v>203</v>
      </c>
      <c r="AC75" s="498">
        <f t="shared" si="127"/>
        <v>231</v>
      </c>
      <c r="AD75" s="498">
        <f t="shared" si="127"/>
        <v>254</v>
      </c>
      <c r="AE75" s="498">
        <f t="shared" si="127"/>
        <v>280</v>
      </c>
      <c r="AF75" s="498">
        <f t="shared" si="127"/>
        <v>300</v>
      </c>
      <c r="AG75" s="498">
        <f t="shared" si="127"/>
        <v>324</v>
      </c>
      <c r="AH75" s="498">
        <f t="shared" si="127"/>
        <v>348</v>
      </c>
      <c r="AI75" s="498">
        <f t="shared" si="127"/>
        <v>372</v>
      </c>
      <c r="AJ75" s="498">
        <f t="shared" si="127"/>
        <v>383</v>
      </c>
      <c r="AK75" s="498">
        <f t="shared" si="127"/>
        <v>393</v>
      </c>
      <c r="AL75" s="498">
        <f t="shared" si="127"/>
        <v>402</v>
      </c>
      <c r="AM75" s="498">
        <f t="shared" si="127"/>
        <v>413</v>
      </c>
      <c r="AN75" s="498">
        <f t="shared" si="127"/>
        <v>420</v>
      </c>
      <c r="AO75" s="48"/>
      <c r="AP75" s="48"/>
      <c r="AQ75" s="48"/>
      <c r="AR75" s="48"/>
      <c r="AS75" s="48"/>
      <c r="AT75" s="48"/>
      <c r="AU75" s="48"/>
      <c r="AV75" s="48"/>
      <c r="AW75" s="48"/>
      <c r="AX75" s="48"/>
      <c r="AY75" s="48"/>
      <c r="AZ75" s="48"/>
      <c r="BA75" s="48"/>
      <c r="BB75" s="48"/>
      <c r="BC75" s="48"/>
      <c r="BD75" s="48"/>
      <c r="BE75" s="48"/>
      <c r="BF75" s="48"/>
      <c r="BG75" s="48"/>
      <c r="BH75" s="48"/>
      <c r="BI75" s="48"/>
      <c r="BJ75" s="48"/>
      <c r="BK75" s="48"/>
      <c r="BL75" s="48"/>
      <c r="BM75" s="48"/>
      <c r="BN75" s="48"/>
      <c r="BO75" s="48"/>
      <c r="BP75" s="48"/>
      <c r="BQ75" s="48"/>
      <c r="BR75" s="48"/>
      <c r="BS75" s="48"/>
      <c r="BT75" s="48"/>
      <c r="BU75" s="48"/>
      <c r="BV75" s="48"/>
      <c r="BW75" s="48"/>
      <c r="BX75" s="48"/>
      <c r="BY75" s="48"/>
      <c r="BZ75" s="48"/>
      <c r="CA75" s="48"/>
      <c r="CB75" s="48"/>
      <c r="CC75" s="48"/>
      <c r="CD75" s="48"/>
      <c r="CE75" s="48"/>
      <c r="CF75" s="48"/>
      <c r="CG75" s="48"/>
      <c r="CH75" s="48"/>
      <c r="CI75" s="48"/>
      <c r="CJ75" s="48"/>
      <c r="CK75" s="48"/>
      <c r="CL75" s="48"/>
      <c r="CM75" s="48"/>
      <c r="CN75" s="48"/>
    </row>
    <row r="76" spans="1:92">
      <c r="A76" s="492"/>
      <c r="B76" s="495"/>
      <c r="C76" s="461"/>
      <c r="D76" s="495" t="s">
        <v>235</v>
      </c>
      <c r="E76" s="500">
        <f>E75*$C$73</f>
        <v>198</v>
      </c>
      <c r="F76" s="500">
        <f t="shared" ref="F76:AN76" si="128">F75*$C$73</f>
        <v>216</v>
      </c>
      <c r="G76" s="500">
        <f>G75*$C$73</f>
        <v>216</v>
      </c>
      <c r="H76" s="500">
        <f t="shared" si="128"/>
        <v>234</v>
      </c>
      <c r="I76" s="500">
        <f>I75*$C$73</f>
        <v>252</v>
      </c>
      <c r="J76" s="500">
        <f t="shared" si="128"/>
        <v>270</v>
      </c>
      <c r="K76" s="500">
        <f t="shared" si="128"/>
        <v>288</v>
      </c>
      <c r="L76" s="500">
        <f t="shared" si="128"/>
        <v>414</v>
      </c>
      <c r="M76" s="500">
        <f t="shared" si="128"/>
        <v>540</v>
      </c>
      <c r="N76" s="500">
        <f t="shared" si="128"/>
        <v>738</v>
      </c>
      <c r="O76" s="500">
        <f t="shared" si="128"/>
        <v>846</v>
      </c>
      <c r="P76" s="500">
        <f t="shared" si="128"/>
        <v>990</v>
      </c>
      <c r="Q76" s="528">
        <f t="shared" si="128"/>
        <v>1206</v>
      </c>
      <c r="R76" s="500">
        <f t="shared" si="128"/>
        <v>1476</v>
      </c>
      <c r="S76" s="500">
        <f t="shared" si="128"/>
        <v>1746</v>
      </c>
      <c r="T76" s="500">
        <f t="shared" si="128"/>
        <v>2034</v>
      </c>
      <c r="U76" s="500">
        <f t="shared" si="128"/>
        <v>2214</v>
      </c>
      <c r="V76" s="500">
        <f t="shared" si="128"/>
        <v>2448</v>
      </c>
      <c r="W76" s="500">
        <f t="shared" si="128"/>
        <v>2682</v>
      </c>
      <c r="X76" s="500">
        <f t="shared" si="128"/>
        <v>2952</v>
      </c>
      <c r="Y76" s="500">
        <f t="shared" si="128"/>
        <v>3186</v>
      </c>
      <c r="Z76" s="500">
        <f t="shared" si="128"/>
        <v>3456</v>
      </c>
      <c r="AA76" s="500">
        <f t="shared" si="128"/>
        <v>3744</v>
      </c>
      <c r="AB76" s="503">
        <f t="shared" si="128"/>
        <v>3654</v>
      </c>
      <c r="AC76" s="500">
        <f t="shared" si="128"/>
        <v>4158</v>
      </c>
      <c r="AD76" s="500">
        <f t="shared" si="128"/>
        <v>4572</v>
      </c>
      <c r="AE76" s="500">
        <f t="shared" si="128"/>
        <v>5040</v>
      </c>
      <c r="AF76" s="500">
        <f t="shared" si="128"/>
        <v>5400</v>
      </c>
      <c r="AG76" s="500">
        <f t="shared" si="128"/>
        <v>5832</v>
      </c>
      <c r="AH76" s="500">
        <f t="shared" si="128"/>
        <v>6264</v>
      </c>
      <c r="AI76" s="500">
        <f t="shared" si="128"/>
        <v>6696</v>
      </c>
      <c r="AJ76" s="500">
        <f t="shared" si="128"/>
        <v>6894</v>
      </c>
      <c r="AK76" s="500">
        <f t="shared" si="128"/>
        <v>7074</v>
      </c>
      <c r="AL76" s="500">
        <f t="shared" si="128"/>
        <v>7236</v>
      </c>
      <c r="AM76" s="500">
        <f t="shared" si="128"/>
        <v>7434</v>
      </c>
      <c r="AN76" s="500">
        <f t="shared" si="128"/>
        <v>7560</v>
      </c>
      <c r="AO76" s="881"/>
      <c r="AP76" s="49"/>
      <c r="AQ76" s="49"/>
      <c r="AR76" s="49"/>
      <c r="AS76" s="49"/>
      <c r="AT76" s="49"/>
      <c r="AU76" s="49"/>
      <c r="AV76" s="49"/>
      <c r="AW76" s="49"/>
      <c r="AX76" s="49"/>
      <c r="AY76" s="49"/>
      <c r="AZ76" s="49"/>
      <c r="BA76" s="49"/>
      <c r="BB76" s="49"/>
      <c r="BC76" s="49"/>
      <c r="BD76" s="49"/>
      <c r="BE76" s="49"/>
      <c r="BF76" s="49"/>
      <c r="BG76" s="49"/>
      <c r="BH76" s="49"/>
      <c r="BI76" s="49"/>
      <c r="BJ76" s="49"/>
      <c r="BK76" s="49"/>
      <c r="BL76" s="49"/>
      <c r="BM76" s="49"/>
      <c r="BN76" s="49"/>
      <c r="BO76" s="49"/>
      <c r="BP76" s="49"/>
      <c r="BQ76" s="49"/>
      <c r="BR76" s="49"/>
      <c r="BS76" s="49"/>
      <c r="BT76" s="49"/>
      <c r="BU76" s="49"/>
      <c r="BV76" s="49"/>
      <c r="BW76" s="49"/>
      <c r="BX76" s="49"/>
      <c r="BY76" s="49"/>
      <c r="BZ76" s="49"/>
      <c r="CA76" s="49"/>
      <c r="CB76" s="49"/>
      <c r="CC76" s="49"/>
      <c r="CD76" s="49"/>
      <c r="CE76" s="49"/>
      <c r="CF76" s="49"/>
      <c r="CG76" s="49"/>
      <c r="CH76" s="49"/>
      <c r="CI76" s="49"/>
      <c r="CJ76" s="49"/>
      <c r="CK76" s="49"/>
      <c r="CL76" s="49"/>
      <c r="CM76" s="49"/>
      <c r="CN76" s="49"/>
    </row>
    <row r="77" spans="1:92">
      <c r="A77" s="492"/>
      <c r="B77" s="495"/>
      <c r="C77" s="461"/>
      <c r="D77" s="495" t="s">
        <v>11</v>
      </c>
      <c r="E77" s="500">
        <f>E76*$C$74</f>
        <v>71.5</v>
      </c>
      <c r="F77" s="500">
        <f>F76*$C$74</f>
        <v>78</v>
      </c>
      <c r="G77" s="500">
        <f t="shared" ref="G77:AN77" si="129">G76*$C$74</f>
        <v>78</v>
      </c>
      <c r="H77" s="500">
        <f t="shared" si="129"/>
        <v>84.5</v>
      </c>
      <c r="I77" s="500">
        <f>I76*$C$74</f>
        <v>91</v>
      </c>
      <c r="J77" s="500">
        <f t="shared" si="129"/>
        <v>97.5</v>
      </c>
      <c r="K77" s="500">
        <f t="shared" si="129"/>
        <v>104</v>
      </c>
      <c r="L77" s="500">
        <f t="shared" si="129"/>
        <v>149.5</v>
      </c>
      <c r="M77" s="500">
        <f t="shared" si="129"/>
        <v>195</v>
      </c>
      <c r="N77" s="500">
        <f t="shared" si="129"/>
        <v>266.5</v>
      </c>
      <c r="O77" s="500">
        <f t="shared" si="129"/>
        <v>305.5</v>
      </c>
      <c r="P77" s="500">
        <f t="shared" si="129"/>
        <v>357.5</v>
      </c>
      <c r="Q77" s="528">
        <f t="shared" si="129"/>
        <v>435.5</v>
      </c>
      <c r="R77" s="500">
        <f t="shared" si="129"/>
        <v>533</v>
      </c>
      <c r="S77" s="500">
        <f t="shared" si="129"/>
        <v>630.5</v>
      </c>
      <c r="T77" s="500">
        <f t="shared" si="129"/>
        <v>734.5</v>
      </c>
      <c r="U77" s="500">
        <f t="shared" si="129"/>
        <v>799.5</v>
      </c>
      <c r="V77" s="500">
        <f t="shared" si="129"/>
        <v>884</v>
      </c>
      <c r="W77" s="500">
        <f t="shared" si="129"/>
        <v>968.5</v>
      </c>
      <c r="X77" s="500">
        <f t="shared" si="129"/>
        <v>1066</v>
      </c>
      <c r="Y77" s="500">
        <f t="shared" si="129"/>
        <v>1150.5</v>
      </c>
      <c r="Z77" s="500">
        <f t="shared" si="129"/>
        <v>1248</v>
      </c>
      <c r="AA77" s="500">
        <f t="shared" si="129"/>
        <v>1352</v>
      </c>
      <c r="AB77" s="503">
        <f t="shared" si="129"/>
        <v>1319.5</v>
      </c>
      <c r="AC77" s="500">
        <f t="shared" si="129"/>
        <v>1501.5</v>
      </c>
      <c r="AD77" s="500">
        <f t="shared" si="129"/>
        <v>1651</v>
      </c>
      <c r="AE77" s="500">
        <f t="shared" si="129"/>
        <v>1820</v>
      </c>
      <c r="AF77" s="500">
        <f t="shared" si="129"/>
        <v>1950</v>
      </c>
      <c r="AG77" s="500">
        <f t="shared" si="129"/>
        <v>2106</v>
      </c>
      <c r="AH77" s="500">
        <f t="shared" si="129"/>
        <v>2262</v>
      </c>
      <c r="AI77" s="500">
        <f t="shared" si="129"/>
        <v>2418</v>
      </c>
      <c r="AJ77" s="500">
        <f t="shared" si="129"/>
        <v>2489.5</v>
      </c>
      <c r="AK77" s="500">
        <f t="shared" si="129"/>
        <v>2554.5</v>
      </c>
      <c r="AL77" s="500">
        <f t="shared" si="129"/>
        <v>2613</v>
      </c>
      <c r="AM77" s="500">
        <f t="shared" si="129"/>
        <v>2684.5</v>
      </c>
      <c r="AN77" s="500">
        <f t="shared" si="129"/>
        <v>2730</v>
      </c>
      <c r="AO77" s="881"/>
      <c r="AP77" s="49"/>
      <c r="AQ77" s="49"/>
      <c r="AR77" s="49"/>
      <c r="AS77" s="49"/>
      <c r="AT77" s="49"/>
      <c r="AU77" s="49"/>
      <c r="AV77" s="49"/>
      <c r="AW77" s="49"/>
      <c r="AX77" s="49"/>
      <c r="AY77" s="49"/>
      <c r="AZ77" s="49"/>
      <c r="BA77" s="49"/>
      <c r="BB77" s="49"/>
      <c r="BC77" s="49"/>
      <c r="BD77" s="49"/>
      <c r="BE77" s="49"/>
      <c r="BF77" s="49"/>
      <c r="BG77" s="49"/>
      <c r="BH77" s="49"/>
      <c r="BI77" s="49"/>
      <c r="BJ77" s="49"/>
      <c r="BK77" s="49"/>
      <c r="BL77" s="49"/>
      <c r="BM77" s="49"/>
      <c r="BN77" s="49"/>
      <c r="BO77" s="49"/>
      <c r="BP77" s="49"/>
      <c r="BQ77" s="49"/>
      <c r="BR77" s="49"/>
      <c r="BS77" s="49"/>
      <c r="BT77" s="49"/>
      <c r="BU77" s="49"/>
      <c r="BV77" s="49"/>
      <c r="BW77" s="49"/>
      <c r="BX77" s="49"/>
      <c r="BY77" s="49"/>
      <c r="BZ77" s="49"/>
      <c r="CA77" s="49"/>
      <c r="CB77" s="49"/>
      <c r="CC77" s="49"/>
      <c r="CD77" s="49"/>
      <c r="CE77" s="49"/>
      <c r="CF77" s="49"/>
      <c r="CG77" s="49"/>
      <c r="CH77" s="49"/>
      <c r="CI77" s="49"/>
      <c r="CJ77" s="49"/>
      <c r="CK77" s="49"/>
      <c r="CL77" s="49"/>
      <c r="CM77" s="49"/>
      <c r="CN77" s="49"/>
    </row>
    <row r="78" spans="1:92" ht="23.4">
      <c r="A78" s="504" t="s">
        <v>455</v>
      </c>
      <c r="B78" s="495"/>
      <c r="C78" s="461"/>
      <c r="D78" s="495"/>
      <c r="E78" s="278"/>
      <c r="F78" s="53"/>
      <c r="G78" s="53"/>
      <c r="H78" s="53"/>
      <c r="I78" s="53"/>
      <c r="J78" s="53"/>
      <c r="K78" s="53"/>
      <c r="L78" s="53"/>
      <c r="M78" s="53"/>
      <c r="N78" s="53"/>
      <c r="O78" s="53"/>
      <c r="P78" s="520"/>
      <c r="Q78" s="529"/>
      <c r="R78" s="53"/>
      <c r="S78" s="53"/>
      <c r="T78" s="53"/>
      <c r="U78" s="53"/>
      <c r="V78" s="53"/>
      <c r="W78" s="53"/>
      <c r="X78" s="53"/>
      <c r="Y78" s="53"/>
      <c r="Z78" s="53"/>
      <c r="AA78" s="53"/>
      <c r="AB78" s="54"/>
      <c r="AC78" s="53"/>
      <c r="AD78" s="53"/>
      <c r="AE78" s="53"/>
      <c r="AF78" s="53"/>
      <c r="AG78" s="53"/>
      <c r="AH78" s="53"/>
      <c r="AI78" s="53"/>
      <c r="AJ78" s="53"/>
      <c r="AK78" s="53"/>
      <c r="AL78" s="53"/>
      <c r="AM78" s="53"/>
      <c r="AN78" s="53"/>
      <c r="AO78" s="49"/>
      <c r="AP78" s="49"/>
      <c r="AQ78" s="49"/>
      <c r="AR78" s="49"/>
      <c r="AS78" s="49"/>
      <c r="AT78" s="49"/>
      <c r="AU78" s="49"/>
      <c r="AV78" s="49"/>
      <c r="AW78" s="49"/>
      <c r="AX78" s="49"/>
      <c r="AY78" s="49"/>
      <c r="AZ78" s="49"/>
      <c r="BA78" s="49"/>
      <c r="BB78" s="49"/>
      <c r="BC78" s="49"/>
      <c r="BD78" s="49"/>
      <c r="BE78" s="49"/>
      <c r="BF78" s="49"/>
      <c r="BG78" s="49"/>
      <c r="BH78" s="49"/>
      <c r="BI78" s="49"/>
      <c r="BJ78" s="49"/>
      <c r="BK78" s="49"/>
      <c r="BL78" s="49"/>
      <c r="BM78" s="49"/>
      <c r="BN78" s="49"/>
      <c r="BO78" s="49"/>
      <c r="BP78" s="49"/>
      <c r="BQ78" s="49"/>
      <c r="BR78" s="49"/>
      <c r="BS78" s="49"/>
      <c r="BT78" s="49"/>
      <c r="BU78" s="49"/>
      <c r="BV78" s="49"/>
      <c r="BW78" s="49"/>
      <c r="BX78" s="49"/>
      <c r="BY78" s="49"/>
      <c r="BZ78" s="49"/>
      <c r="CA78" s="49"/>
      <c r="CB78" s="49"/>
      <c r="CC78" s="49"/>
      <c r="CD78" s="49"/>
      <c r="CE78" s="49"/>
      <c r="CF78" s="49"/>
      <c r="CG78" s="49"/>
      <c r="CH78" s="49"/>
      <c r="CI78" s="49"/>
      <c r="CJ78" s="49"/>
      <c r="CK78" s="49"/>
      <c r="CL78" s="49"/>
      <c r="CM78" s="49"/>
      <c r="CN78" s="49"/>
    </row>
    <row r="79" spans="1:92">
      <c r="A79" s="492"/>
      <c r="B79" s="495"/>
      <c r="C79" s="461"/>
      <c r="D79" s="495"/>
      <c r="E79" s="278"/>
      <c r="F79" s="53"/>
      <c r="G79" s="53"/>
      <c r="H79" s="53"/>
      <c r="I79" s="53"/>
      <c r="J79" s="53"/>
      <c r="K79" s="53"/>
      <c r="L79" s="53"/>
      <c r="M79" s="53"/>
      <c r="N79" s="53"/>
      <c r="O79" s="53"/>
      <c r="P79" s="520"/>
      <c r="Q79" s="529"/>
      <c r="R79" s="53"/>
      <c r="S79" s="53"/>
      <c r="T79" s="53"/>
      <c r="U79" s="53"/>
      <c r="V79" s="53"/>
      <c r="W79" s="53"/>
      <c r="X79" s="53"/>
      <c r="Y79" s="53"/>
      <c r="Z79" s="53"/>
      <c r="AA79" s="53"/>
      <c r="AB79" s="54"/>
      <c r="AC79" s="53"/>
      <c r="AD79" s="53"/>
      <c r="AE79" s="53"/>
      <c r="AF79" s="53"/>
      <c r="AG79" s="53"/>
      <c r="AH79" s="53"/>
      <c r="AI79" s="53"/>
      <c r="AJ79" s="53"/>
      <c r="AK79" s="53"/>
      <c r="AL79" s="53"/>
      <c r="AM79" s="53"/>
      <c r="AN79" s="53"/>
      <c r="AO79" s="49"/>
      <c r="AP79" s="49"/>
      <c r="AQ79" s="49"/>
      <c r="AR79" s="49"/>
      <c r="AS79" s="49"/>
      <c r="AT79" s="49"/>
      <c r="AU79" s="49"/>
      <c r="AV79" s="49"/>
      <c r="AW79" s="49"/>
      <c r="AX79" s="49"/>
      <c r="AY79" s="49"/>
      <c r="AZ79" s="49"/>
      <c r="BA79" s="49"/>
      <c r="BB79" s="49"/>
      <c r="BC79" s="49"/>
      <c r="BD79" s="49"/>
      <c r="BE79" s="49"/>
      <c r="BF79" s="49"/>
      <c r="BG79" s="49"/>
      <c r="BH79" s="49"/>
      <c r="BI79" s="49"/>
      <c r="BJ79" s="49"/>
      <c r="BK79" s="49"/>
      <c r="BL79" s="49"/>
      <c r="BM79" s="49"/>
      <c r="BN79" s="49"/>
      <c r="BO79" s="49"/>
      <c r="BP79" s="49"/>
      <c r="BQ79" s="49"/>
      <c r="BR79" s="49"/>
      <c r="BS79" s="49"/>
      <c r="BT79" s="49"/>
      <c r="BU79" s="49"/>
      <c r="BV79" s="49"/>
      <c r="BW79" s="49"/>
      <c r="BX79" s="49"/>
      <c r="BY79" s="49"/>
      <c r="BZ79" s="49"/>
      <c r="CA79" s="49"/>
      <c r="CB79" s="49"/>
      <c r="CC79" s="49"/>
      <c r="CD79" s="49"/>
      <c r="CE79" s="49"/>
      <c r="CF79" s="49"/>
      <c r="CG79" s="49"/>
      <c r="CH79" s="49"/>
      <c r="CI79" s="49"/>
      <c r="CJ79" s="49"/>
      <c r="CK79" s="49"/>
      <c r="CL79" s="49"/>
      <c r="CM79" s="49"/>
      <c r="CN79" s="49"/>
    </row>
    <row r="80" spans="1:92" ht="23.4">
      <c r="A80" s="492"/>
      <c r="B80" s="497" t="s">
        <v>456</v>
      </c>
      <c r="C80" s="461"/>
      <c r="D80" s="495" t="s">
        <v>291</v>
      </c>
      <c r="E80" s="235">
        <v>10</v>
      </c>
      <c r="F80" s="501">
        <f>E83</f>
        <v>13</v>
      </c>
      <c r="G80" s="501">
        <f t="shared" ref="G80:AN80" si="130">F83</f>
        <v>14</v>
      </c>
      <c r="H80" s="501">
        <f t="shared" si="130"/>
        <v>13</v>
      </c>
      <c r="I80" s="501">
        <f t="shared" si="130"/>
        <v>10</v>
      </c>
      <c r="J80" s="501">
        <f t="shared" si="130"/>
        <v>11</v>
      </c>
      <c r="K80" s="501">
        <f t="shared" si="130"/>
        <v>11</v>
      </c>
      <c r="L80" s="501">
        <f t="shared" si="130"/>
        <v>13</v>
      </c>
      <c r="M80" s="501">
        <f t="shared" si="130"/>
        <v>15</v>
      </c>
      <c r="N80" s="501">
        <f t="shared" si="130"/>
        <v>26</v>
      </c>
      <c r="O80" s="501">
        <f t="shared" si="130"/>
        <v>29</v>
      </c>
      <c r="P80" s="518">
        <f t="shared" si="130"/>
        <v>30</v>
      </c>
      <c r="Q80" s="525">
        <f t="shared" si="130"/>
        <v>37</v>
      </c>
      <c r="R80" s="501">
        <f t="shared" si="130"/>
        <v>46</v>
      </c>
      <c r="S80" s="501">
        <f t="shared" si="130"/>
        <v>51</v>
      </c>
      <c r="T80" s="501">
        <f t="shared" si="130"/>
        <v>51</v>
      </c>
      <c r="U80" s="501">
        <f t="shared" si="130"/>
        <v>51</v>
      </c>
      <c r="V80" s="501">
        <f t="shared" si="130"/>
        <v>57</v>
      </c>
      <c r="W80" s="501">
        <f t="shared" si="130"/>
        <v>68</v>
      </c>
      <c r="X80" s="501">
        <f t="shared" si="130"/>
        <v>70</v>
      </c>
      <c r="Y80" s="501">
        <f t="shared" si="130"/>
        <v>75</v>
      </c>
      <c r="Z80" s="501">
        <f t="shared" si="130"/>
        <v>79</v>
      </c>
      <c r="AA80" s="501">
        <f>Z83</f>
        <v>83</v>
      </c>
      <c r="AB80" s="502">
        <f t="shared" si="130"/>
        <v>102</v>
      </c>
      <c r="AC80" s="501">
        <f t="shared" si="130"/>
        <v>105</v>
      </c>
      <c r="AD80" s="501">
        <f t="shared" si="130"/>
        <v>108</v>
      </c>
      <c r="AE80" s="501">
        <f t="shared" si="130"/>
        <v>116</v>
      </c>
      <c r="AF80" s="501">
        <f t="shared" si="130"/>
        <v>121</v>
      </c>
      <c r="AG80" s="501">
        <f t="shared" si="130"/>
        <v>126</v>
      </c>
      <c r="AH80" s="501">
        <f t="shared" si="130"/>
        <v>131</v>
      </c>
      <c r="AI80" s="501">
        <f t="shared" si="130"/>
        <v>136</v>
      </c>
      <c r="AJ80" s="501">
        <f t="shared" si="130"/>
        <v>143</v>
      </c>
      <c r="AK80" s="501">
        <f t="shared" si="130"/>
        <v>148</v>
      </c>
      <c r="AL80" s="501">
        <f t="shared" si="130"/>
        <v>192</v>
      </c>
      <c r="AM80" s="501">
        <f t="shared" si="130"/>
        <v>186</v>
      </c>
      <c r="AN80" s="501">
        <f t="shared" si="130"/>
        <v>183</v>
      </c>
      <c r="AO80" s="49"/>
      <c r="AP80" s="49"/>
      <c r="AQ80" s="49"/>
      <c r="AR80" s="49"/>
      <c r="AS80" s="49"/>
      <c r="AT80" s="49"/>
      <c r="AU80" s="49"/>
      <c r="AV80" s="49"/>
      <c r="AW80" s="49"/>
      <c r="AX80" s="49"/>
      <c r="AY80" s="49"/>
      <c r="AZ80" s="49"/>
      <c r="BA80" s="49"/>
      <c r="BB80" s="49"/>
      <c r="BC80" s="49"/>
      <c r="BD80" s="49"/>
      <c r="BE80" s="49"/>
      <c r="BF80" s="49"/>
      <c r="BG80" s="49"/>
      <c r="BH80" s="49"/>
      <c r="BI80" s="49"/>
      <c r="BJ80" s="49"/>
      <c r="BK80" s="49"/>
      <c r="BL80" s="49"/>
      <c r="BM80" s="49"/>
      <c r="BN80" s="49"/>
      <c r="BO80" s="49"/>
      <c r="BP80" s="49"/>
      <c r="BQ80" s="49"/>
      <c r="BR80" s="49"/>
      <c r="BS80" s="49"/>
      <c r="BT80" s="49"/>
      <c r="BU80" s="49"/>
      <c r="BV80" s="49"/>
      <c r="BW80" s="49"/>
      <c r="BX80" s="49"/>
      <c r="BY80" s="49"/>
      <c r="BZ80" s="49"/>
      <c r="CA80" s="49"/>
      <c r="CB80" s="49"/>
      <c r="CC80" s="49"/>
      <c r="CD80" s="49"/>
      <c r="CE80" s="49"/>
      <c r="CF80" s="49"/>
      <c r="CG80" s="49"/>
      <c r="CH80" s="49"/>
      <c r="CI80" s="49"/>
      <c r="CJ80" s="49"/>
      <c r="CK80" s="49"/>
      <c r="CL80" s="49"/>
      <c r="CM80" s="49"/>
      <c r="CN80" s="49"/>
    </row>
    <row r="81" spans="1:92">
      <c r="A81" s="492"/>
      <c r="B81" s="481" t="s">
        <v>277</v>
      </c>
      <c r="C81" s="505">
        <f>'Pricing Model'!F78</f>
        <v>28</v>
      </c>
      <c r="D81" s="495" t="s">
        <v>284</v>
      </c>
      <c r="E81" s="235">
        <v>8</v>
      </c>
      <c r="F81" s="235">
        <v>9</v>
      </c>
      <c r="G81" s="235">
        <v>8</v>
      </c>
      <c r="H81" s="235">
        <f t="shared" ref="H81:AA81" si="131">H73</f>
        <v>6</v>
      </c>
      <c r="I81" s="235">
        <v>2</v>
      </c>
      <c r="J81" s="235">
        <v>5</v>
      </c>
      <c r="K81" s="235">
        <v>4</v>
      </c>
      <c r="L81" s="235">
        <v>9</v>
      </c>
      <c r="M81" s="235">
        <f t="shared" si="131"/>
        <v>12</v>
      </c>
      <c r="N81" s="235">
        <v>6</v>
      </c>
      <c r="O81" s="235">
        <v>4</v>
      </c>
      <c r="P81" s="235">
        <v>7</v>
      </c>
      <c r="Q81" s="235">
        <v>9</v>
      </c>
      <c r="R81" s="235">
        <v>5</v>
      </c>
      <c r="S81" s="235">
        <v>4</v>
      </c>
      <c r="T81" s="235">
        <v>5</v>
      </c>
      <c r="U81" s="235">
        <v>9</v>
      </c>
      <c r="V81" s="235">
        <f t="shared" si="131"/>
        <v>18</v>
      </c>
      <c r="W81" s="235">
        <v>9</v>
      </c>
      <c r="X81" s="235">
        <v>6</v>
      </c>
      <c r="Y81" s="235">
        <v>5</v>
      </c>
      <c r="Z81" s="235">
        <v>5</v>
      </c>
      <c r="AA81" s="235">
        <f t="shared" si="131"/>
        <v>20</v>
      </c>
      <c r="AB81" s="235">
        <v>7</v>
      </c>
      <c r="AC81" s="235">
        <v>8</v>
      </c>
      <c r="AD81" s="235">
        <v>9</v>
      </c>
      <c r="AE81" s="235">
        <v>6</v>
      </c>
      <c r="AF81" s="235">
        <v>6</v>
      </c>
      <c r="AG81" s="235">
        <v>6</v>
      </c>
      <c r="AH81" s="235">
        <v>6</v>
      </c>
      <c r="AI81" s="235">
        <v>8</v>
      </c>
      <c r="AJ81" s="235">
        <v>7</v>
      </c>
      <c r="AK81" s="235">
        <v>45</v>
      </c>
      <c r="AL81" s="235">
        <v>2</v>
      </c>
      <c r="AM81" s="235">
        <v>1</v>
      </c>
      <c r="AN81" s="235">
        <v>3</v>
      </c>
      <c r="AO81" s="49"/>
      <c r="AP81" s="49"/>
      <c r="AQ81" s="49"/>
      <c r="AR81" s="49"/>
      <c r="AS81" s="49"/>
      <c r="AT81" s="49"/>
      <c r="AU81" s="49"/>
      <c r="AV81" s="49"/>
      <c r="AW81" s="49"/>
      <c r="AX81" s="49"/>
      <c r="AY81" s="49"/>
      <c r="AZ81" s="49"/>
      <c r="BA81" s="49"/>
      <c r="BB81" s="49"/>
      <c r="BC81" s="49"/>
      <c r="BD81" s="49"/>
      <c r="BE81" s="49"/>
      <c r="BF81" s="49"/>
      <c r="BG81" s="49"/>
      <c r="BH81" s="49"/>
      <c r="BI81" s="49"/>
      <c r="BJ81" s="49"/>
      <c r="BK81" s="49"/>
      <c r="BL81" s="49"/>
      <c r="BM81" s="49"/>
      <c r="BN81" s="49"/>
      <c r="BO81" s="49"/>
      <c r="BP81" s="49"/>
      <c r="BQ81" s="49"/>
      <c r="BR81" s="49"/>
      <c r="BS81" s="49"/>
      <c r="BT81" s="49"/>
      <c r="BU81" s="49"/>
      <c r="BV81" s="49"/>
      <c r="BW81" s="49"/>
      <c r="BX81" s="49"/>
      <c r="BY81" s="49"/>
      <c r="BZ81" s="49"/>
      <c r="CA81" s="49"/>
      <c r="CB81" s="49"/>
      <c r="CC81" s="49"/>
      <c r="CD81" s="49"/>
      <c r="CE81" s="49"/>
      <c r="CF81" s="49"/>
      <c r="CG81" s="49"/>
      <c r="CH81" s="49"/>
      <c r="CI81" s="49"/>
      <c r="CJ81" s="49"/>
      <c r="CK81" s="49"/>
      <c r="CL81" s="49"/>
      <c r="CM81" s="49"/>
      <c r="CN81" s="49"/>
    </row>
    <row r="82" spans="1:92">
      <c r="A82" s="492"/>
      <c r="B82" s="481" t="s">
        <v>276</v>
      </c>
      <c r="C82" s="461">
        <f>'Pricing Model'!F92</f>
        <v>0.4107142857142857</v>
      </c>
      <c r="D82" s="495" t="s">
        <v>283</v>
      </c>
      <c r="E82" s="235">
        <v>-5</v>
      </c>
      <c r="F82" s="235">
        <v>-8</v>
      </c>
      <c r="G82" s="235">
        <v>-9</v>
      </c>
      <c r="H82" s="235">
        <v>-9</v>
      </c>
      <c r="I82" s="235">
        <v>-1</v>
      </c>
      <c r="J82" s="235">
        <v>-5</v>
      </c>
      <c r="K82" s="235">
        <v>-2</v>
      </c>
      <c r="L82" s="235">
        <v>-7</v>
      </c>
      <c r="M82" s="235">
        <v>-1</v>
      </c>
      <c r="N82" s="235">
        <v>-3</v>
      </c>
      <c r="O82" s="235">
        <v>-3</v>
      </c>
      <c r="P82" s="519">
        <v>0</v>
      </c>
      <c r="Q82" s="526">
        <v>0</v>
      </c>
      <c r="R82" s="235">
        <v>0</v>
      </c>
      <c r="S82" s="235">
        <v>-4</v>
      </c>
      <c r="T82" s="235">
        <v>-5</v>
      </c>
      <c r="U82" s="235">
        <v>-3</v>
      </c>
      <c r="V82" s="235">
        <v>-7</v>
      </c>
      <c r="W82" s="235">
        <v>-7</v>
      </c>
      <c r="X82" s="235">
        <v>-1</v>
      </c>
      <c r="Y82" s="235">
        <v>-1</v>
      </c>
      <c r="Z82" s="235">
        <v>-1</v>
      </c>
      <c r="AA82" s="235">
        <v>-1</v>
      </c>
      <c r="AB82" s="283">
        <v>-4</v>
      </c>
      <c r="AC82" s="235">
        <v>-5</v>
      </c>
      <c r="AD82" s="235">
        <v>-1</v>
      </c>
      <c r="AE82" s="235">
        <v>-1</v>
      </c>
      <c r="AF82" s="235">
        <v>-1</v>
      </c>
      <c r="AG82" s="235">
        <v>-1</v>
      </c>
      <c r="AH82" s="235">
        <v>-1</v>
      </c>
      <c r="AI82" s="235">
        <v>-1</v>
      </c>
      <c r="AJ82" s="235">
        <v>-2</v>
      </c>
      <c r="AK82" s="235">
        <v>-1</v>
      </c>
      <c r="AL82" s="235">
        <v>-8</v>
      </c>
      <c r="AM82" s="235">
        <v>-4</v>
      </c>
      <c r="AN82" s="235">
        <v>-5</v>
      </c>
      <c r="AO82" s="49"/>
      <c r="AP82" s="49"/>
      <c r="AQ82" s="49"/>
      <c r="AR82" s="49"/>
      <c r="AS82" s="49"/>
      <c r="AT82" s="49"/>
      <c r="AU82" s="49"/>
      <c r="AV82" s="49"/>
      <c r="AW82" s="49"/>
      <c r="AX82" s="49"/>
      <c r="AY82" s="49"/>
      <c r="AZ82" s="49"/>
      <c r="BA82" s="49"/>
      <c r="BB82" s="49"/>
      <c r="BC82" s="49"/>
      <c r="BD82" s="49"/>
      <c r="BE82" s="49"/>
      <c r="BF82" s="49"/>
      <c r="BG82" s="49"/>
      <c r="BH82" s="49"/>
      <c r="BI82" s="49"/>
      <c r="BJ82" s="49"/>
      <c r="BK82" s="49"/>
      <c r="BL82" s="49"/>
      <c r="BM82" s="49"/>
      <c r="BN82" s="49"/>
      <c r="BO82" s="49"/>
      <c r="BP82" s="49"/>
      <c r="BQ82" s="49"/>
      <c r="BR82" s="49"/>
      <c r="BS82" s="49"/>
      <c r="BT82" s="49"/>
      <c r="BU82" s="49"/>
      <c r="BV82" s="49"/>
      <c r="BW82" s="49"/>
      <c r="BX82" s="49"/>
      <c r="BY82" s="49"/>
      <c r="BZ82" s="49"/>
      <c r="CA82" s="49"/>
      <c r="CB82" s="49"/>
      <c r="CC82" s="49"/>
      <c r="CD82" s="49"/>
      <c r="CE82" s="49"/>
      <c r="CF82" s="49"/>
      <c r="CG82" s="49"/>
      <c r="CH82" s="49"/>
      <c r="CI82" s="49"/>
      <c r="CJ82" s="49"/>
      <c r="CK82" s="49"/>
      <c r="CL82" s="49"/>
      <c r="CM82" s="49"/>
      <c r="CN82" s="49"/>
    </row>
    <row r="83" spans="1:92" s="24" customFormat="1">
      <c r="A83" s="493"/>
      <c r="B83" s="497"/>
      <c r="C83" s="506"/>
      <c r="D83" s="497" t="s">
        <v>280</v>
      </c>
      <c r="E83" s="498">
        <f>SUM(E80:E82)</f>
        <v>13</v>
      </c>
      <c r="F83" s="498">
        <f t="shared" ref="F83" si="132">SUM(F80:F82)</f>
        <v>14</v>
      </c>
      <c r="G83" s="498">
        <f t="shared" ref="G83" si="133">SUM(G80:G82)</f>
        <v>13</v>
      </c>
      <c r="H83" s="498">
        <f t="shared" ref="H83" si="134">SUM(H80:H82)</f>
        <v>10</v>
      </c>
      <c r="I83" s="498">
        <f t="shared" ref="I83" si="135">SUM(I80:I82)</f>
        <v>11</v>
      </c>
      <c r="J83" s="498">
        <f t="shared" ref="J83" si="136">SUM(J80:J82)</f>
        <v>11</v>
      </c>
      <c r="K83" s="498">
        <f t="shared" ref="K83" si="137">SUM(K80:K82)</f>
        <v>13</v>
      </c>
      <c r="L83" s="498">
        <f t="shared" ref="L83" si="138">SUM(L80:L82)</f>
        <v>15</v>
      </c>
      <c r="M83" s="498">
        <f t="shared" ref="M83" si="139">SUM(M80:M82)</f>
        <v>26</v>
      </c>
      <c r="N83" s="498">
        <f t="shared" ref="N83" si="140">SUM(N80:N82)</f>
        <v>29</v>
      </c>
      <c r="O83" s="498">
        <f t="shared" ref="O83" si="141">SUM(O80:O82)</f>
        <v>30</v>
      </c>
      <c r="P83" s="498">
        <f t="shared" ref="P83" si="142">SUM(P80:P82)</f>
        <v>37</v>
      </c>
      <c r="Q83" s="527">
        <f t="shared" ref="Q83" si="143">SUM(Q80:Q82)</f>
        <v>46</v>
      </c>
      <c r="R83" s="498">
        <f t="shared" ref="R83" si="144">SUM(R80:R82)</f>
        <v>51</v>
      </c>
      <c r="S83" s="498">
        <f t="shared" ref="S83" si="145">SUM(S80:S82)</f>
        <v>51</v>
      </c>
      <c r="T83" s="498">
        <f t="shared" ref="T83" si="146">SUM(T80:T82)</f>
        <v>51</v>
      </c>
      <c r="U83" s="498">
        <f t="shared" ref="U83" si="147">SUM(U80:U82)</f>
        <v>57</v>
      </c>
      <c r="V83" s="498">
        <f t="shared" ref="V83" si="148">SUM(V80:V82)</f>
        <v>68</v>
      </c>
      <c r="W83" s="498">
        <f t="shared" ref="W83" si="149">SUM(W80:W82)</f>
        <v>70</v>
      </c>
      <c r="X83" s="498">
        <f t="shared" ref="X83" si="150">SUM(X80:X82)</f>
        <v>75</v>
      </c>
      <c r="Y83" s="498">
        <f t="shared" ref="Y83" si="151">SUM(Y80:Y82)</f>
        <v>79</v>
      </c>
      <c r="Z83" s="498">
        <f t="shared" ref="Z83" si="152">SUM(Z80:Z82)</f>
        <v>83</v>
      </c>
      <c r="AA83" s="498">
        <f t="shared" ref="AA83" si="153">SUM(AA80:AA82)</f>
        <v>102</v>
      </c>
      <c r="AB83" s="499">
        <f t="shared" ref="AB83" si="154">SUM(AB80:AB82)</f>
        <v>105</v>
      </c>
      <c r="AC83" s="498">
        <f t="shared" ref="AC83" si="155">SUM(AC80:AC82)</f>
        <v>108</v>
      </c>
      <c r="AD83" s="498">
        <f t="shared" ref="AD83" si="156">SUM(AD80:AD82)</f>
        <v>116</v>
      </c>
      <c r="AE83" s="498">
        <f t="shared" ref="AE83" si="157">SUM(AE80:AE82)</f>
        <v>121</v>
      </c>
      <c r="AF83" s="498">
        <f t="shared" ref="AF83" si="158">SUM(AF80:AF82)</f>
        <v>126</v>
      </c>
      <c r="AG83" s="498">
        <f t="shared" ref="AG83" si="159">SUM(AG80:AG82)</f>
        <v>131</v>
      </c>
      <c r="AH83" s="498">
        <f t="shared" ref="AH83" si="160">SUM(AH80:AH82)</f>
        <v>136</v>
      </c>
      <c r="AI83" s="498">
        <f t="shared" ref="AI83" si="161">SUM(AI80:AI82)</f>
        <v>143</v>
      </c>
      <c r="AJ83" s="498">
        <f t="shared" ref="AJ83" si="162">SUM(AJ80:AJ82)</f>
        <v>148</v>
      </c>
      <c r="AK83" s="498">
        <f t="shared" ref="AK83" si="163">SUM(AK80:AK82)</f>
        <v>192</v>
      </c>
      <c r="AL83" s="498">
        <f t="shared" ref="AL83" si="164">SUM(AL80:AL82)</f>
        <v>186</v>
      </c>
      <c r="AM83" s="498">
        <f t="shared" ref="AM83" si="165">SUM(AM80:AM82)</f>
        <v>183</v>
      </c>
      <c r="AN83" s="498">
        <f t="shared" ref="AN83" si="166">SUM(AN80:AN82)</f>
        <v>181</v>
      </c>
      <c r="AO83" s="48"/>
      <c r="AP83" s="48"/>
      <c r="AQ83" s="48"/>
      <c r="AR83" s="48"/>
      <c r="AS83" s="48"/>
      <c r="AT83" s="48"/>
      <c r="AU83" s="48"/>
      <c r="AV83" s="48"/>
      <c r="AW83" s="48"/>
      <c r="AX83" s="48"/>
      <c r="AY83" s="48"/>
      <c r="AZ83" s="48"/>
      <c r="BA83" s="48"/>
      <c r="BB83" s="48"/>
      <c r="BC83" s="48"/>
      <c r="BD83" s="48"/>
      <c r="BE83" s="48"/>
      <c r="BF83" s="48"/>
      <c r="BG83" s="48"/>
      <c r="BH83" s="48"/>
      <c r="BI83" s="48"/>
      <c r="BJ83" s="48"/>
      <c r="BK83" s="48"/>
      <c r="BL83" s="48"/>
      <c r="BM83" s="48"/>
      <c r="BN83" s="48"/>
      <c r="BO83" s="48"/>
      <c r="BP83" s="48"/>
      <c r="BQ83" s="48"/>
      <c r="BR83" s="48"/>
      <c r="BS83" s="48"/>
      <c r="BT83" s="48"/>
      <c r="BU83" s="48"/>
      <c r="BV83" s="48"/>
      <c r="BW83" s="48"/>
      <c r="BX83" s="48"/>
      <c r="BY83" s="48"/>
      <c r="BZ83" s="48"/>
      <c r="CA83" s="48"/>
      <c r="CB83" s="48"/>
      <c r="CC83" s="48"/>
      <c r="CD83" s="48"/>
      <c r="CE83" s="48"/>
      <c r="CF83" s="48"/>
      <c r="CG83" s="48"/>
      <c r="CH83" s="48"/>
      <c r="CI83" s="48"/>
      <c r="CJ83" s="48"/>
      <c r="CK83" s="48"/>
      <c r="CL83" s="48"/>
      <c r="CM83" s="48"/>
      <c r="CN83" s="48"/>
    </row>
    <row r="84" spans="1:92">
      <c r="A84" s="492"/>
      <c r="B84" s="495"/>
      <c r="C84" s="461"/>
      <c r="D84" s="495" t="s">
        <v>235</v>
      </c>
      <c r="E84" s="500">
        <f>E83*$C$81</f>
        <v>364</v>
      </c>
      <c r="F84" s="500">
        <f t="shared" ref="F84:AN84" si="167">F83*$C$73</f>
        <v>252</v>
      </c>
      <c r="G84" s="500">
        <f t="shared" si="167"/>
        <v>234</v>
      </c>
      <c r="H84" s="500">
        <f t="shared" si="167"/>
        <v>180</v>
      </c>
      <c r="I84" s="500">
        <f t="shared" si="167"/>
        <v>198</v>
      </c>
      <c r="J84" s="500">
        <f t="shared" si="167"/>
        <v>198</v>
      </c>
      <c r="K84" s="500">
        <f t="shared" si="167"/>
        <v>234</v>
      </c>
      <c r="L84" s="500">
        <f t="shared" si="167"/>
        <v>270</v>
      </c>
      <c r="M84" s="500">
        <f t="shared" si="167"/>
        <v>468</v>
      </c>
      <c r="N84" s="500">
        <f t="shared" si="167"/>
        <v>522</v>
      </c>
      <c r="O84" s="500">
        <f t="shared" si="167"/>
        <v>540</v>
      </c>
      <c r="P84" s="500">
        <f t="shared" si="167"/>
        <v>666</v>
      </c>
      <c r="Q84" s="528">
        <f t="shared" si="167"/>
        <v>828</v>
      </c>
      <c r="R84" s="500">
        <f t="shared" si="167"/>
        <v>918</v>
      </c>
      <c r="S84" s="500">
        <f t="shared" si="167"/>
        <v>918</v>
      </c>
      <c r="T84" s="500">
        <f t="shared" si="167"/>
        <v>918</v>
      </c>
      <c r="U84" s="500">
        <f t="shared" si="167"/>
        <v>1026</v>
      </c>
      <c r="V84" s="500">
        <f t="shared" si="167"/>
        <v>1224</v>
      </c>
      <c r="W84" s="500">
        <f t="shared" si="167"/>
        <v>1260</v>
      </c>
      <c r="X84" s="500">
        <f t="shared" si="167"/>
        <v>1350</v>
      </c>
      <c r="Y84" s="500">
        <f t="shared" si="167"/>
        <v>1422</v>
      </c>
      <c r="Z84" s="500">
        <f t="shared" si="167"/>
        <v>1494</v>
      </c>
      <c r="AA84" s="500">
        <f t="shared" si="167"/>
        <v>1836</v>
      </c>
      <c r="AB84" s="503">
        <f t="shared" si="167"/>
        <v>1890</v>
      </c>
      <c r="AC84" s="500">
        <f t="shared" si="167"/>
        <v>1944</v>
      </c>
      <c r="AD84" s="500">
        <f t="shared" si="167"/>
        <v>2088</v>
      </c>
      <c r="AE84" s="500">
        <f t="shared" si="167"/>
        <v>2178</v>
      </c>
      <c r="AF84" s="500">
        <f t="shared" si="167"/>
        <v>2268</v>
      </c>
      <c r="AG84" s="500">
        <f t="shared" si="167"/>
        <v>2358</v>
      </c>
      <c r="AH84" s="500">
        <f t="shared" si="167"/>
        <v>2448</v>
      </c>
      <c r="AI84" s="500">
        <f t="shared" si="167"/>
        <v>2574</v>
      </c>
      <c r="AJ84" s="500">
        <f t="shared" si="167"/>
        <v>2664</v>
      </c>
      <c r="AK84" s="500">
        <f t="shared" si="167"/>
        <v>3456</v>
      </c>
      <c r="AL84" s="500">
        <f t="shared" si="167"/>
        <v>3348</v>
      </c>
      <c r="AM84" s="500">
        <f t="shared" si="167"/>
        <v>3294</v>
      </c>
      <c r="AN84" s="500">
        <f t="shared" si="167"/>
        <v>3258</v>
      </c>
      <c r="AO84" s="49"/>
      <c r="AP84" s="49"/>
      <c r="AQ84" s="49"/>
      <c r="AR84" s="49"/>
      <c r="AS84" s="49"/>
      <c r="AT84" s="49"/>
      <c r="AU84" s="49"/>
      <c r="AV84" s="49"/>
      <c r="AW84" s="49"/>
      <c r="AX84" s="49"/>
      <c r="AY84" s="49"/>
      <c r="AZ84" s="49"/>
      <c r="BA84" s="49"/>
      <c r="BB84" s="49"/>
      <c r="BC84" s="49"/>
      <c r="BD84" s="49"/>
      <c r="BE84" s="49"/>
      <c r="BF84" s="49"/>
      <c r="BG84" s="49"/>
      <c r="BH84" s="49"/>
      <c r="BI84" s="49"/>
      <c r="BJ84" s="49"/>
      <c r="BK84" s="49"/>
      <c r="BL84" s="49"/>
      <c r="BM84" s="49"/>
      <c r="BN84" s="49"/>
      <c r="BO84" s="49"/>
      <c r="BP84" s="49"/>
      <c r="BQ84" s="49"/>
      <c r="BR84" s="49"/>
      <c r="BS84" s="49"/>
      <c r="BT84" s="49"/>
      <c r="BU84" s="49"/>
      <c r="BV84" s="49"/>
      <c r="BW84" s="49"/>
      <c r="BX84" s="49"/>
      <c r="BY84" s="49"/>
      <c r="BZ84" s="49"/>
      <c r="CA84" s="49"/>
      <c r="CB84" s="49"/>
      <c r="CC84" s="49"/>
      <c r="CD84" s="49"/>
      <c r="CE84" s="49"/>
      <c r="CF84" s="49"/>
      <c r="CG84" s="49"/>
      <c r="CH84" s="49"/>
      <c r="CI84" s="49"/>
      <c r="CJ84" s="49"/>
      <c r="CK84" s="49"/>
      <c r="CL84" s="49"/>
      <c r="CM84" s="49"/>
      <c r="CN84" s="49"/>
    </row>
    <row r="85" spans="1:92">
      <c r="A85" s="492"/>
      <c r="B85" s="495"/>
      <c r="C85" s="461"/>
      <c r="D85" s="495" t="s">
        <v>11</v>
      </c>
      <c r="E85" s="500">
        <f>E84*$C$82</f>
        <v>149.5</v>
      </c>
      <c r="F85" s="500">
        <f t="shared" ref="F85" si="168">F84*$C$74</f>
        <v>91</v>
      </c>
      <c r="G85" s="500">
        <f t="shared" ref="G85" si="169">G84*$C$74</f>
        <v>84.5</v>
      </c>
      <c r="H85" s="500">
        <f t="shared" ref="H85" si="170">H84*$C$74</f>
        <v>65</v>
      </c>
      <c r="I85" s="500">
        <f t="shared" ref="I85" si="171">I84*$C$74</f>
        <v>71.5</v>
      </c>
      <c r="J85" s="500">
        <f t="shared" ref="J85" si="172">J84*$C$74</f>
        <v>71.5</v>
      </c>
      <c r="K85" s="500">
        <f t="shared" ref="K85" si="173">K84*$C$74</f>
        <v>84.5</v>
      </c>
      <c r="L85" s="500">
        <f t="shared" ref="L85" si="174">L84*$C$74</f>
        <v>97.5</v>
      </c>
      <c r="M85" s="500">
        <f t="shared" ref="M85" si="175">M84*$C$74</f>
        <v>169</v>
      </c>
      <c r="N85" s="500">
        <f t="shared" ref="N85" si="176">N84*$C$74</f>
        <v>188.5</v>
      </c>
      <c r="O85" s="500">
        <f t="shared" ref="O85" si="177">O84*$C$74</f>
        <v>195</v>
      </c>
      <c r="P85" s="500">
        <f t="shared" ref="P85" si="178">P84*$C$74</f>
        <v>240.5</v>
      </c>
      <c r="Q85" s="528">
        <f t="shared" ref="Q85" si="179">Q84*$C$74</f>
        <v>299</v>
      </c>
      <c r="R85" s="500">
        <f t="shared" ref="R85" si="180">R84*$C$74</f>
        <v>331.5</v>
      </c>
      <c r="S85" s="500">
        <f t="shared" ref="S85" si="181">S84*$C$74</f>
        <v>331.5</v>
      </c>
      <c r="T85" s="500">
        <f t="shared" ref="T85" si="182">T84*$C$74</f>
        <v>331.5</v>
      </c>
      <c r="U85" s="500">
        <f t="shared" ref="U85" si="183">U84*$C$74</f>
        <v>370.5</v>
      </c>
      <c r="V85" s="500">
        <f t="shared" ref="V85" si="184">V84*$C$74</f>
        <v>442</v>
      </c>
      <c r="W85" s="500">
        <f t="shared" ref="W85" si="185">W84*$C$74</f>
        <v>455</v>
      </c>
      <c r="X85" s="500">
        <f t="shared" ref="X85" si="186">X84*$C$74</f>
        <v>487.5</v>
      </c>
      <c r="Y85" s="500">
        <f t="shared" ref="Y85" si="187">Y84*$C$74</f>
        <v>513.5</v>
      </c>
      <c r="Z85" s="500">
        <f t="shared" ref="Z85" si="188">Z84*$C$74</f>
        <v>539.5</v>
      </c>
      <c r="AA85" s="500">
        <f t="shared" ref="AA85" si="189">AA84*$C$74</f>
        <v>663</v>
      </c>
      <c r="AB85" s="503">
        <f t="shared" ref="AB85" si="190">AB84*$C$74</f>
        <v>682.5</v>
      </c>
      <c r="AC85" s="500">
        <f t="shared" ref="AC85" si="191">AC84*$C$74</f>
        <v>702</v>
      </c>
      <c r="AD85" s="500">
        <f t="shared" ref="AD85" si="192">AD84*$C$74</f>
        <v>754</v>
      </c>
      <c r="AE85" s="500">
        <f t="shared" ref="AE85" si="193">AE84*$C$74</f>
        <v>786.5</v>
      </c>
      <c r="AF85" s="500">
        <f t="shared" ref="AF85" si="194">AF84*$C$74</f>
        <v>819</v>
      </c>
      <c r="AG85" s="500">
        <f t="shared" ref="AG85" si="195">AG84*$C$74</f>
        <v>851.5</v>
      </c>
      <c r="AH85" s="500">
        <f t="shared" ref="AH85" si="196">AH84*$C$74</f>
        <v>884</v>
      </c>
      <c r="AI85" s="500">
        <f t="shared" ref="AI85" si="197">AI84*$C$74</f>
        <v>929.5</v>
      </c>
      <c r="AJ85" s="500">
        <f t="shared" ref="AJ85" si="198">AJ84*$C$74</f>
        <v>962</v>
      </c>
      <c r="AK85" s="500">
        <f t="shared" ref="AK85" si="199">AK84*$C$74</f>
        <v>1248</v>
      </c>
      <c r="AL85" s="500">
        <f t="shared" ref="AL85" si="200">AL84*$C$74</f>
        <v>1209</v>
      </c>
      <c r="AM85" s="500">
        <f t="shared" ref="AM85" si="201">AM84*$C$74</f>
        <v>1189.5</v>
      </c>
      <c r="AN85" s="500">
        <f t="shared" ref="AN85" si="202">AN84*$C$74</f>
        <v>1176.5</v>
      </c>
      <c r="AO85" s="49"/>
      <c r="AP85" s="49"/>
      <c r="AQ85" s="49"/>
      <c r="AR85" s="49"/>
      <c r="AS85" s="49"/>
      <c r="AT85" s="49"/>
      <c r="AU85" s="49"/>
      <c r="AV85" s="49"/>
      <c r="AW85" s="49"/>
      <c r="AX85" s="49"/>
      <c r="AY85" s="49"/>
      <c r="AZ85" s="49"/>
      <c r="BA85" s="49"/>
      <c r="BB85" s="49"/>
      <c r="BC85" s="49"/>
      <c r="BD85" s="49"/>
      <c r="BE85" s="49"/>
      <c r="BF85" s="49"/>
      <c r="BG85" s="49"/>
      <c r="BH85" s="49"/>
      <c r="BI85" s="49"/>
      <c r="BJ85" s="49"/>
      <c r="BK85" s="49"/>
      <c r="BL85" s="49"/>
      <c r="BM85" s="49"/>
      <c r="BN85" s="49"/>
      <c r="BO85" s="49"/>
      <c r="BP85" s="49"/>
      <c r="BQ85" s="49"/>
      <c r="BR85" s="49"/>
      <c r="BS85" s="49"/>
      <c r="BT85" s="49"/>
      <c r="BU85" s="49"/>
      <c r="BV85" s="49"/>
      <c r="BW85" s="49"/>
      <c r="BX85" s="49"/>
      <c r="BY85" s="49"/>
      <c r="BZ85" s="49"/>
      <c r="CA85" s="49"/>
      <c r="CB85" s="49"/>
      <c r="CC85" s="49"/>
      <c r="CD85" s="49"/>
      <c r="CE85" s="49"/>
      <c r="CF85" s="49"/>
      <c r="CG85" s="49"/>
      <c r="CH85" s="49"/>
      <c r="CI85" s="49"/>
      <c r="CJ85" s="49"/>
      <c r="CK85" s="49"/>
      <c r="CL85" s="49"/>
      <c r="CM85" s="49"/>
      <c r="CN85" s="49"/>
    </row>
    <row r="86" spans="1:92">
      <c r="A86" s="492"/>
      <c r="B86" s="495"/>
      <c r="C86" s="461"/>
      <c r="D86" s="495"/>
      <c r="E86" s="279"/>
      <c r="F86" s="279"/>
      <c r="G86" s="279"/>
      <c r="H86" s="279"/>
      <c r="I86" s="279"/>
      <c r="J86" s="279"/>
      <c r="K86" s="279"/>
      <c r="L86" s="279"/>
      <c r="M86" s="279"/>
      <c r="N86" s="279"/>
      <c r="O86" s="279"/>
      <c r="P86" s="279"/>
      <c r="Q86" s="530"/>
      <c r="R86" s="279"/>
      <c r="S86" s="279"/>
      <c r="T86" s="279"/>
      <c r="U86" s="279"/>
      <c r="V86" s="279"/>
      <c r="W86" s="279"/>
      <c r="X86" s="279"/>
      <c r="Y86" s="279"/>
      <c r="Z86" s="279"/>
      <c r="AA86" s="279"/>
      <c r="AB86" s="284"/>
      <c r="AC86" s="279"/>
      <c r="AD86" s="279"/>
      <c r="AE86" s="279"/>
      <c r="AF86" s="279"/>
      <c r="AG86" s="279"/>
      <c r="AH86" s="279"/>
      <c r="AI86" s="279"/>
      <c r="AJ86" s="279"/>
      <c r="AK86" s="279"/>
      <c r="AL86" s="279"/>
      <c r="AM86" s="279"/>
      <c r="AN86" s="279"/>
      <c r="AO86" s="49"/>
      <c r="AP86" s="49"/>
      <c r="AQ86" s="49"/>
      <c r="AR86" s="49"/>
      <c r="AS86" s="49"/>
      <c r="AT86" s="49"/>
      <c r="AU86" s="49"/>
      <c r="AV86" s="49"/>
      <c r="AW86" s="49"/>
      <c r="AX86" s="49"/>
      <c r="AY86" s="49"/>
      <c r="AZ86" s="49"/>
      <c r="BA86" s="49"/>
      <c r="BB86" s="49"/>
      <c r="BC86" s="49"/>
      <c r="BD86" s="49"/>
      <c r="BE86" s="49"/>
      <c r="BF86" s="49"/>
      <c r="BG86" s="49"/>
      <c r="BH86" s="49"/>
      <c r="BI86" s="49"/>
      <c r="BJ86" s="49"/>
      <c r="BK86" s="49"/>
      <c r="BL86" s="49"/>
      <c r="BM86" s="49"/>
      <c r="BN86" s="49"/>
      <c r="BO86" s="49"/>
      <c r="BP86" s="49"/>
      <c r="BQ86" s="49"/>
      <c r="BR86" s="49"/>
      <c r="BS86" s="49"/>
      <c r="BT86" s="49"/>
      <c r="BU86" s="49"/>
      <c r="BV86" s="49"/>
      <c r="BW86" s="49"/>
      <c r="BX86" s="49"/>
      <c r="BY86" s="49"/>
      <c r="BZ86" s="49"/>
      <c r="CA86" s="49"/>
      <c r="CB86" s="49"/>
      <c r="CC86" s="49"/>
      <c r="CD86" s="49"/>
      <c r="CE86" s="49"/>
      <c r="CF86" s="49"/>
      <c r="CG86" s="49"/>
      <c r="CH86" s="49"/>
      <c r="CI86" s="49"/>
      <c r="CJ86" s="49"/>
      <c r="CK86" s="49"/>
      <c r="CL86" s="49"/>
      <c r="CM86" s="49"/>
      <c r="CN86" s="49"/>
    </row>
    <row r="87" spans="1:92">
      <c r="A87" s="492"/>
      <c r="B87" s="495"/>
      <c r="C87" s="461"/>
      <c r="D87" s="495"/>
      <c r="E87" s="279"/>
      <c r="F87" s="279"/>
      <c r="G87" s="279"/>
      <c r="H87" s="279"/>
      <c r="I87" s="279"/>
      <c r="J87" s="279"/>
      <c r="K87" s="279"/>
      <c r="L87" s="279"/>
      <c r="M87" s="279"/>
      <c r="N87" s="279"/>
      <c r="O87" s="279"/>
      <c r="P87" s="279"/>
      <c r="Q87" s="530"/>
      <c r="R87" s="279"/>
      <c r="S87" s="279"/>
      <c r="T87" s="279"/>
      <c r="U87" s="279"/>
      <c r="V87" s="279"/>
      <c r="W87" s="279"/>
      <c r="X87" s="279"/>
      <c r="Y87" s="279"/>
      <c r="Z87" s="279"/>
      <c r="AA87" s="279"/>
      <c r="AB87" s="284"/>
      <c r="AC87" s="279"/>
      <c r="AD87" s="279"/>
      <c r="AE87" s="279"/>
      <c r="AF87" s="279"/>
      <c r="AG87" s="279"/>
      <c r="AH87" s="279"/>
      <c r="AI87" s="279"/>
      <c r="AJ87" s="279"/>
      <c r="AK87" s="279"/>
      <c r="AL87" s="279"/>
      <c r="AM87" s="279"/>
      <c r="AN87" s="279"/>
      <c r="AO87" s="49"/>
      <c r="AP87" s="49"/>
      <c r="AQ87" s="49"/>
      <c r="AR87" s="49"/>
      <c r="AS87" s="49"/>
      <c r="AT87" s="49"/>
      <c r="AU87" s="49"/>
      <c r="AV87" s="49"/>
      <c r="AW87" s="49"/>
      <c r="AX87" s="49"/>
      <c r="AY87" s="49"/>
      <c r="AZ87" s="49"/>
      <c r="BA87" s="49"/>
      <c r="BB87" s="49"/>
      <c r="BC87" s="49"/>
      <c r="BD87" s="49"/>
      <c r="BE87" s="49"/>
      <c r="BF87" s="49"/>
      <c r="BG87" s="49"/>
      <c r="BH87" s="49"/>
      <c r="BI87" s="49"/>
      <c r="BJ87" s="49"/>
      <c r="BK87" s="49"/>
      <c r="BL87" s="49"/>
      <c r="BM87" s="49"/>
      <c r="BN87" s="49"/>
      <c r="BO87" s="49"/>
      <c r="BP87" s="49"/>
      <c r="BQ87" s="49"/>
      <c r="BR87" s="49"/>
      <c r="BS87" s="49"/>
      <c r="BT87" s="49"/>
      <c r="BU87" s="49"/>
      <c r="BV87" s="49"/>
      <c r="BW87" s="49"/>
      <c r="BX87" s="49"/>
      <c r="BY87" s="49"/>
      <c r="BZ87" s="49"/>
      <c r="CA87" s="49"/>
      <c r="CB87" s="49"/>
      <c r="CC87" s="49"/>
      <c r="CD87" s="49"/>
      <c r="CE87" s="49"/>
      <c r="CF87" s="49"/>
      <c r="CG87" s="49"/>
      <c r="CH87" s="49"/>
      <c r="CI87" s="49"/>
      <c r="CJ87" s="49"/>
      <c r="CK87" s="49"/>
      <c r="CL87" s="49"/>
      <c r="CM87" s="49"/>
      <c r="CN87" s="49"/>
    </row>
    <row r="88" spans="1:92" ht="23.4">
      <c r="A88" s="492"/>
      <c r="B88" s="497" t="s">
        <v>457</v>
      </c>
      <c r="C88" s="461"/>
      <c r="D88" s="495" t="s">
        <v>291</v>
      </c>
      <c r="E88" s="235">
        <v>5</v>
      </c>
      <c r="F88" s="501">
        <f>E91</f>
        <v>14</v>
      </c>
      <c r="G88" s="501">
        <f t="shared" ref="G88" si="203">F91</f>
        <v>63</v>
      </c>
      <c r="H88" s="501">
        <f t="shared" ref="H88" si="204">G91</f>
        <v>142</v>
      </c>
      <c r="I88" s="501">
        <f t="shared" ref="I88" si="205">H91</f>
        <v>146</v>
      </c>
      <c r="J88" s="501">
        <f t="shared" ref="J88" si="206">I91</f>
        <v>193</v>
      </c>
      <c r="K88" s="501">
        <f t="shared" ref="K88" si="207">J91</f>
        <v>194</v>
      </c>
      <c r="L88" s="501">
        <f t="shared" ref="L88" si="208">K91</f>
        <v>225</v>
      </c>
      <c r="M88" s="501">
        <f t="shared" ref="M88" si="209">L91</f>
        <v>242</v>
      </c>
      <c r="N88" s="501">
        <f t="shared" ref="N88" si="210">M91</f>
        <v>249</v>
      </c>
      <c r="O88" s="501">
        <f t="shared" ref="O88" si="211">N91</f>
        <v>260</v>
      </c>
      <c r="P88" s="518">
        <f t="shared" ref="P88" si="212">O91</f>
        <v>277</v>
      </c>
      <c r="Q88" s="525">
        <f t="shared" ref="Q88" si="213">P91</f>
        <v>287</v>
      </c>
      <c r="R88" s="501">
        <f t="shared" ref="R88" si="214">Q91</f>
        <v>299</v>
      </c>
      <c r="S88" s="501">
        <f t="shared" ref="S88" si="215">R91</f>
        <v>309</v>
      </c>
      <c r="T88" s="501">
        <f t="shared" ref="T88" si="216">S91</f>
        <v>319</v>
      </c>
      <c r="U88" s="501">
        <f t="shared" ref="U88" si="217">T91</f>
        <v>330</v>
      </c>
      <c r="V88" s="501">
        <f t="shared" ref="V88" si="218">U91</f>
        <v>345</v>
      </c>
      <c r="W88" s="501">
        <f t="shared" ref="W88" si="219">V91</f>
        <v>362</v>
      </c>
      <c r="X88" s="501">
        <f t="shared" ref="X88" si="220">W91</f>
        <v>379</v>
      </c>
      <c r="Y88" s="501">
        <f t="shared" ref="Y88" si="221">X91</f>
        <v>378</v>
      </c>
      <c r="Z88" s="501">
        <f t="shared" ref="Z88" si="222">Y91</f>
        <v>418</v>
      </c>
      <c r="AA88" s="501">
        <f>Z91</f>
        <v>492</v>
      </c>
      <c r="AB88" s="502">
        <f t="shared" ref="AB88" si="223">AA91</f>
        <v>508</v>
      </c>
      <c r="AC88" s="501">
        <f t="shared" ref="AC88" si="224">AB91</f>
        <v>506</v>
      </c>
      <c r="AD88" s="501">
        <f t="shared" ref="AD88" si="225">AC91</f>
        <v>507</v>
      </c>
      <c r="AE88" s="501">
        <f t="shared" ref="AE88" si="226">AD91</f>
        <v>505</v>
      </c>
      <c r="AF88" s="501">
        <f t="shared" ref="AF88" si="227">AE91</f>
        <v>505</v>
      </c>
      <c r="AG88" s="501">
        <f t="shared" ref="AG88" si="228">AF91</f>
        <v>508</v>
      </c>
      <c r="AH88" s="501">
        <f t="shared" ref="AH88" si="229">AG91</f>
        <v>525</v>
      </c>
      <c r="AI88" s="501">
        <f t="shared" ref="AI88" si="230">AH91</f>
        <v>529</v>
      </c>
      <c r="AJ88" s="501">
        <f t="shared" ref="AJ88" si="231">AI91</f>
        <v>563</v>
      </c>
      <c r="AK88" s="501">
        <f t="shared" ref="AK88" si="232">AJ91</f>
        <v>560</v>
      </c>
      <c r="AL88" s="501">
        <f t="shared" ref="AL88" si="233">AK91</f>
        <v>562</v>
      </c>
      <c r="AM88" s="501">
        <f t="shared" ref="AM88" si="234">AL91</f>
        <v>562</v>
      </c>
      <c r="AN88" s="501">
        <f t="shared" ref="AN88" si="235">AM91</f>
        <v>560</v>
      </c>
      <c r="AO88" s="49"/>
      <c r="AP88" s="49"/>
      <c r="AQ88" s="49"/>
      <c r="AR88" s="49"/>
      <c r="AS88" s="49"/>
      <c r="AT88" s="49"/>
      <c r="AU88" s="49"/>
      <c r="AV88" s="49"/>
      <c r="AW88" s="49"/>
      <c r="AX88" s="49"/>
      <c r="AY88" s="49"/>
      <c r="AZ88" s="49"/>
      <c r="BA88" s="49"/>
      <c r="BB88" s="49"/>
      <c r="BC88" s="49"/>
      <c r="BD88" s="49"/>
      <c r="BE88" s="49"/>
      <c r="BF88" s="49"/>
      <c r="BG88" s="49"/>
      <c r="BH88" s="49"/>
      <c r="BI88" s="49"/>
      <c r="BJ88" s="49"/>
      <c r="BK88" s="49"/>
      <c r="BL88" s="49"/>
      <c r="BM88" s="49"/>
      <c r="BN88" s="49"/>
      <c r="BO88" s="49"/>
      <c r="BP88" s="49"/>
      <c r="BQ88" s="49"/>
      <c r="BR88" s="49"/>
      <c r="BS88" s="49"/>
      <c r="BT88" s="49"/>
      <c r="BU88" s="49"/>
      <c r="BV88" s="49"/>
      <c r="BW88" s="49"/>
      <c r="BX88" s="49"/>
      <c r="BY88" s="49"/>
      <c r="BZ88" s="49"/>
      <c r="CA88" s="49"/>
      <c r="CB88" s="49"/>
      <c r="CC88" s="49"/>
      <c r="CD88" s="49"/>
      <c r="CE88" s="49"/>
      <c r="CF88" s="49"/>
      <c r="CG88" s="49"/>
      <c r="CH88" s="49"/>
      <c r="CI88" s="49"/>
      <c r="CJ88" s="49"/>
      <c r="CK88" s="49"/>
      <c r="CL88" s="49"/>
      <c r="CM88" s="49"/>
      <c r="CN88" s="49"/>
    </row>
    <row r="89" spans="1:92">
      <c r="A89" s="492"/>
      <c r="B89" s="481" t="s">
        <v>277</v>
      </c>
      <c r="C89" s="505">
        <f>'Pricing Model'!G78</f>
        <v>40</v>
      </c>
      <c r="D89" s="495" t="s">
        <v>284</v>
      </c>
      <c r="E89" s="235">
        <v>10</v>
      </c>
      <c r="F89" s="235">
        <v>50</v>
      </c>
      <c r="G89" s="235">
        <v>80</v>
      </c>
      <c r="H89" s="235">
        <v>5</v>
      </c>
      <c r="I89" s="235">
        <v>49</v>
      </c>
      <c r="J89" s="235">
        <v>3</v>
      </c>
      <c r="K89" s="235">
        <v>33</v>
      </c>
      <c r="L89" s="235">
        <v>20</v>
      </c>
      <c r="M89" s="235">
        <v>10</v>
      </c>
      <c r="N89" s="235">
        <v>14</v>
      </c>
      <c r="O89" s="235">
        <v>20</v>
      </c>
      <c r="P89" s="235">
        <v>13</v>
      </c>
      <c r="Q89" s="235">
        <v>15</v>
      </c>
      <c r="R89" s="235">
        <v>13</v>
      </c>
      <c r="S89" s="235">
        <v>13</v>
      </c>
      <c r="T89" s="235">
        <v>14</v>
      </c>
      <c r="U89" s="235">
        <v>18</v>
      </c>
      <c r="V89" s="235">
        <v>20</v>
      </c>
      <c r="W89" s="235">
        <v>20</v>
      </c>
      <c r="X89" s="235">
        <v>3</v>
      </c>
      <c r="Y89" s="235">
        <v>44</v>
      </c>
      <c r="Z89" s="235">
        <v>78</v>
      </c>
      <c r="AA89" s="235">
        <v>20</v>
      </c>
      <c r="AB89" s="235">
        <v>2</v>
      </c>
      <c r="AC89" s="235">
        <v>6</v>
      </c>
      <c r="AD89" s="235">
        <v>3</v>
      </c>
      <c r="AE89" s="235">
        <v>5</v>
      </c>
      <c r="AF89" s="235">
        <v>8</v>
      </c>
      <c r="AG89" s="235">
        <v>22</v>
      </c>
      <c r="AH89" s="235">
        <v>9</v>
      </c>
      <c r="AI89" s="235">
        <v>39</v>
      </c>
      <c r="AJ89" s="235">
        <v>2</v>
      </c>
      <c r="AK89" s="235">
        <v>7</v>
      </c>
      <c r="AL89" s="235">
        <v>5</v>
      </c>
      <c r="AM89" s="235">
        <v>3</v>
      </c>
      <c r="AN89" s="235">
        <v>20</v>
      </c>
      <c r="AO89" s="797"/>
      <c r="AP89" s="49"/>
      <c r="AQ89" s="49"/>
      <c r="AR89" s="49"/>
      <c r="AS89" s="49"/>
      <c r="AT89" s="49"/>
      <c r="AU89" s="49"/>
      <c r="AV89" s="49"/>
      <c r="AW89" s="49"/>
      <c r="AX89" s="49"/>
      <c r="AY89" s="49"/>
      <c r="AZ89" s="49"/>
      <c r="BA89" s="49"/>
      <c r="BB89" s="49"/>
      <c r="BC89" s="49"/>
      <c r="BD89" s="49"/>
      <c r="BE89" s="49"/>
      <c r="BF89" s="49"/>
      <c r="BG89" s="49"/>
      <c r="BH89" s="49"/>
      <c r="BI89" s="49"/>
      <c r="BJ89" s="49"/>
      <c r="BK89" s="49"/>
      <c r="BL89" s="49"/>
      <c r="BM89" s="49"/>
      <c r="BN89" s="49"/>
      <c r="BO89" s="49"/>
      <c r="BP89" s="49"/>
      <c r="BQ89" s="49"/>
      <c r="BR89" s="49"/>
      <c r="BS89" s="49"/>
      <c r="BT89" s="49"/>
      <c r="BU89" s="49"/>
      <c r="BV89" s="49"/>
      <c r="BW89" s="49"/>
      <c r="BX89" s="49"/>
      <c r="BY89" s="49"/>
      <c r="BZ89" s="49"/>
      <c r="CA89" s="49"/>
      <c r="CB89" s="49"/>
      <c r="CC89" s="49"/>
      <c r="CD89" s="49"/>
      <c r="CE89" s="49"/>
      <c r="CF89" s="49"/>
      <c r="CG89" s="49"/>
      <c r="CH89" s="49"/>
      <c r="CI89" s="49"/>
      <c r="CJ89" s="49"/>
      <c r="CK89" s="49"/>
      <c r="CL89" s="49"/>
      <c r="CM89" s="49"/>
      <c r="CN89" s="49"/>
    </row>
    <row r="90" spans="1:92">
      <c r="A90" s="492"/>
      <c r="B90" s="481" t="s">
        <v>276</v>
      </c>
      <c r="C90" s="461">
        <f>'Pricing Model'!G92</f>
        <v>0.36249999999999999</v>
      </c>
      <c r="D90" s="495" t="s">
        <v>283</v>
      </c>
      <c r="E90" s="235">
        <v>-1</v>
      </c>
      <c r="F90" s="235">
        <v>-1</v>
      </c>
      <c r="G90" s="235">
        <v>-1</v>
      </c>
      <c r="H90" s="235">
        <v>-1</v>
      </c>
      <c r="I90" s="235">
        <v>-2</v>
      </c>
      <c r="J90" s="235">
        <v>-2</v>
      </c>
      <c r="K90" s="235">
        <v>-2</v>
      </c>
      <c r="L90" s="235">
        <v>-3</v>
      </c>
      <c r="M90" s="235">
        <v>-3</v>
      </c>
      <c r="N90" s="235">
        <v>-3</v>
      </c>
      <c r="O90" s="235">
        <v>-3</v>
      </c>
      <c r="P90" s="519">
        <v>-3</v>
      </c>
      <c r="Q90" s="526">
        <v>-3</v>
      </c>
      <c r="R90" s="235">
        <v>-3</v>
      </c>
      <c r="S90" s="235">
        <v>-3</v>
      </c>
      <c r="T90" s="235">
        <v>-3</v>
      </c>
      <c r="U90" s="235">
        <v>-3</v>
      </c>
      <c r="V90" s="235">
        <v>-3</v>
      </c>
      <c r="W90" s="235">
        <v>-3</v>
      </c>
      <c r="X90" s="235">
        <v>-4</v>
      </c>
      <c r="Y90" s="235">
        <v>-4</v>
      </c>
      <c r="Z90" s="235">
        <v>-4</v>
      </c>
      <c r="AA90" s="235">
        <v>-4</v>
      </c>
      <c r="AB90" s="283">
        <v>-4</v>
      </c>
      <c r="AC90" s="235">
        <v>-5</v>
      </c>
      <c r="AD90" s="235">
        <v>-5</v>
      </c>
      <c r="AE90" s="235">
        <v>-5</v>
      </c>
      <c r="AF90" s="235">
        <v>-5</v>
      </c>
      <c r="AG90" s="235">
        <v>-5</v>
      </c>
      <c r="AH90" s="235">
        <v>-5</v>
      </c>
      <c r="AI90" s="235">
        <v>-5</v>
      </c>
      <c r="AJ90" s="235">
        <v>-5</v>
      </c>
      <c r="AK90" s="235">
        <v>-5</v>
      </c>
      <c r="AL90" s="235">
        <v>-5</v>
      </c>
      <c r="AM90" s="235">
        <v>-5</v>
      </c>
      <c r="AN90" s="235">
        <v>-5</v>
      </c>
      <c r="AO90" s="49"/>
      <c r="AP90" s="49"/>
      <c r="AQ90" s="49"/>
      <c r="AR90" s="49"/>
      <c r="AS90" s="49"/>
      <c r="AT90" s="49"/>
      <c r="AU90" s="49"/>
      <c r="AV90" s="49"/>
      <c r="AW90" s="49"/>
      <c r="AX90" s="49"/>
      <c r="AY90" s="49"/>
      <c r="AZ90" s="49"/>
      <c r="BA90" s="49"/>
      <c r="BB90" s="49"/>
      <c r="BC90" s="49"/>
      <c r="BD90" s="49"/>
      <c r="BE90" s="49"/>
      <c r="BF90" s="49"/>
      <c r="BG90" s="49"/>
      <c r="BH90" s="49"/>
      <c r="BI90" s="49"/>
      <c r="BJ90" s="49"/>
      <c r="BK90" s="49"/>
      <c r="BL90" s="49"/>
      <c r="BM90" s="49"/>
      <c r="BN90" s="49"/>
      <c r="BO90" s="49"/>
      <c r="BP90" s="49"/>
      <c r="BQ90" s="49"/>
      <c r="BR90" s="49"/>
      <c r="BS90" s="49"/>
      <c r="BT90" s="49"/>
      <c r="BU90" s="49"/>
      <c r="BV90" s="49"/>
      <c r="BW90" s="49"/>
      <c r="BX90" s="49"/>
      <c r="BY90" s="49"/>
      <c r="BZ90" s="49"/>
      <c r="CA90" s="49"/>
      <c r="CB90" s="49"/>
      <c r="CC90" s="49"/>
      <c r="CD90" s="49"/>
      <c r="CE90" s="49"/>
      <c r="CF90" s="49"/>
      <c r="CG90" s="49"/>
      <c r="CH90" s="49"/>
      <c r="CI90" s="49"/>
      <c r="CJ90" s="49"/>
      <c r="CK90" s="49"/>
      <c r="CL90" s="49"/>
      <c r="CM90" s="49"/>
      <c r="CN90" s="49"/>
    </row>
    <row r="91" spans="1:92">
      <c r="A91" s="492"/>
      <c r="B91" s="497"/>
      <c r="C91" s="506"/>
      <c r="D91" s="497" t="s">
        <v>280</v>
      </c>
      <c r="E91" s="498">
        <f>SUM(E88:E90)</f>
        <v>14</v>
      </c>
      <c r="F91" s="498">
        <f t="shared" ref="F91:AN91" si="236">SUM(F88:F90)</f>
        <v>63</v>
      </c>
      <c r="G91" s="498">
        <f t="shared" si="236"/>
        <v>142</v>
      </c>
      <c r="H91" s="498">
        <f t="shared" si="236"/>
        <v>146</v>
      </c>
      <c r="I91" s="498">
        <f t="shared" si="236"/>
        <v>193</v>
      </c>
      <c r="J91" s="498">
        <f t="shared" si="236"/>
        <v>194</v>
      </c>
      <c r="K91" s="498">
        <f t="shared" si="236"/>
        <v>225</v>
      </c>
      <c r="L91" s="498">
        <f t="shared" si="236"/>
        <v>242</v>
      </c>
      <c r="M91" s="498">
        <f t="shared" si="236"/>
        <v>249</v>
      </c>
      <c r="N91" s="498">
        <f t="shared" si="236"/>
        <v>260</v>
      </c>
      <c r="O91" s="498">
        <f t="shared" si="236"/>
        <v>277</v>
      </c>
      <c r="P91" s="498">
        <f t="shared" si="236"/>
        <v>287</v>
      </c>
      <c r="Q91" s="527">
        <f t="shared" si="236"/>
        <v>299</v>
      </c>
      <c r="R91" s="498">
        <f t="shared" si="236"/>
        <v>309</v>
      </c>
      <c r="S91" s="498">
        <f t="shared" si="236"/>
        <v>319</v>
      </c>
      <c r="T91" s="498">
        <f t="shared" si="236"/>
        <v>330</v>
      </c>
      <c r="U91" s="498">
        <f t="shared" si="236"/>
        <v>345</v>
      </c>
      <c r="V91" s="498">
        <f t="shared" si="236"/>
        <v>362</v>
      </c>
      <c r="W91" s="498">
        <f t="shared" si="236"/>
        <v>379</v>
      </c>
      <c r="X91" s="498">
        <f t="shared" si="236"/>
        <v>378</v>
      </c>
      <c r="Y91" s="498">
        <f t="shared" si="236"/>
        <v>418</v>
      </c>
      <c r="Z91" s="498">
        <f t="shared" si="236"/>
        <v>492</v>
      </c>
      <c r="AA91" s="498">
        <f t="shared" si="236"/>
        <v>508</v>
      </c>
      <c r="AB91" s="499">
        <f t="shared" si="236"/>
        <v>506</v>
      </c>
      <c r="AC91" s="498">
        <f t="shared" si="236"/>
        <v>507</v>
      </c>
      <c r="AD91" s="498">
        <f t="shared" si="236"/>
        <v>505</v>
      </c>
      <c r="AE91" s="498">
        <f t="shared" si="236"/>
        <v>505</v>
      </c>
      <c r="AF91" s="498">
        <f t="shared" si="236"/>
        <v>508</v>
      </c>
      <c r="AG91" s="498">
        <f t="shared" si="236"/>
        <v>525</v>
      </c>
      <c r="AH91" s="498">
        <f t="shared" si="236"/>
        <v>529</v>
      </c>
      <c r="AI91" s="498">
        <f t="shared" si="236"/>
        <v>563</v>
      </c>
      <c r="AJ91" s="498">
        <f t="shared" si="236"/>
        <v>560</v>
      </c>
      <c r="AK91" s="498">
        <f t="shared" si="236"/>
        <v>562</v>
      </c>
      <c r="AL91" s="498">
        <f t="shared" si="236"/>
        <v>562</v>
      </c>
      <c r="AM91" s="498">
        <f t="shared" si="236"/>
        <v>560</v>
      </c>
      <c r="AN91" s="498">
        <f t="shared" si="236"/>
        <v>575</v>
      </c>
      <c r="AO91" s="49"/>
      <c r="AP91" s="49"/>
      <c r="AQ91" s="49"/>
      <c r="AR91" s="49"/>
      <c r="AS91" s="49"/>
      <c r="AT91" s="49"/>
      <c r="AU91" s="49"/>
      <c r="AV91" s="49"/>
      <c r="AW91" s="49"/>
      <c r="AX91" s="49"/>
      <c r="AY91" s="49"/>
      <c r="AZ91" s="49"/>
      <c r="BA91" s="49"/>
      <c r="BB91" s="49"/>
      <c r="BC91" s="49"/>
      <c r="BD91" s="49"/>
      <c r="BE91" s="49"/>
      <c r="BF91" s="49"/>
      <c r="BG91" s="49"/>
      <c r="BH91" s="49"/>
      <c r="BI91" s="49"/>
      <c r="BJ91" s="49"/>
      <c r="BK91" s="49"/>
      <c r="BL91" s="49"/>
      <c r="BM91" s="49"/>
      <c r="BN91" s="49"/>
      <c r="BO91" s="49"/>
      <c r="BP91" s="49"/>
      <c r="BQ91" s="49"/>
      <c r="BR91" s="49"/>
      <c r="BS91" s="49"/>
      <c r="BT91" s="49"/>
      <c r="BU91" s="49"/>
      <c r="BV91" s="49"/>
      <c r="BW91" s="49"/>
      <c r="BX91" s="49"/>
      <c r="BY91" s="49"/>
      <c r="BZ91" s="49"/>
      <c r="CA91" s="49"/>
      <c r="CB91" s="49"/>
      <c r="CC91" s="49"/>
      <c r="CD91" s="49"/>
      <c r="CE91" s="49"/>
      <c r="CF91" s="49"/>
      <c r="CG91" s="49"/>
      <c r="CH91" s="49"/>
      <c r="CI91" s="49"/>
      <c r="CJ91" s="49"/>
      <c r="CK91" s="49"/>
      <c r="CL91" s="49"/>
      <c r="CM91" s="49"/>
      <c r="CN91" s="49"/>
    </row>
    <row r="92" spans="1:92">
      <c r="A92" s="492"/>
      <c r="B92" s="495"/>
      <c r="C92" s="480"/>
      <c r="D92" s="495" t="s">
        <v>235</v>
      </c>
      <c r="E92" s="500">
        <f>E91*$C$89</f>
        <v>560</v>
      </c>
      <c r="F92" s="500">
        <f t="shared" ref="F92:AM92" si="237">F91*$C$89</f>
        <v>2520</v>
      </c>
      <c r="G92" s="500">
        <f t="shared" si="237"/>
        <v>5680</v>
      </c>
      <c r="H92" s="500">
        <f t="shared" si="237"/>
        <v>5840</v>
      </c>
      <c r="I92" s="500">
        <f t="shared" si="237"/>
        <v>7720</v>
      </c>
      <c r="J92" s="500">
        <f t="shared" si="237"/>
        <v>7760</v>
      </c>
      <c r="K92" s="500">
        <f t="shared" si="237"/>
        <v>9000</v>
      </c>
      <c r="L92" s="500">
        <f t="shared" si="237"/>
        <v>9680</v>
      </c>
      <c r="M92" s="500">
        <f t="shared" si="237"/>
        <v>9960</v>
      </c>
      <c r="N92" s="500">
        <f t="shared" si="237"/>
        <v>10400</v>
      </c>
      <c r="O92" s="500">
        <f t="shared" si="237"/>
        <v>11080</v>
      </c>
      <c r="P92" s="500">
        <f t="shared" si="237"/>
        <v>11480</v>
      </c>
      <c r="Q92" s="528">
        <f t="shared" si="237"/>
        <v>11960</v>
      </c>
      <c r="R92" s="500">
        <f t="shared" si="237"/>
        <v>12360</v>
      </c>
      <c r="S92" s="500">
        <f t="shared" si="237"/>
        <v>12760</v>
      </c>
      <c r="T92" s="500">
        <f t="shared" si="237"/>
        <v>13200</v>
      </c>
      <c r="U92" s="500">
        <f t="shared" si="237"/>
        <v>13800</v>
      </c>
      <c r="V92" s="500">
        <f t="shared" si="237"/>
        <v>14480</v>
      </c>
      <c r="W92" s="500">
        <f t="shared" si="237"/>
        <v>15160</v>
      </c>
      <c r="X92" s="500">
        <f t="shared" si="237"/>
        <v>15120</v>
      </c>
      <c r="Y92" s="500">
        <f t="shared" si="237"/>
        <v>16720</v>
      </c>
      <c r="Z92" s="500">
        <f t="shared" si="237"/>
        <v>19680</v>
      </c>
      <c r="AA92" s="500">
        <f t="shared" si="237"/>
        <v>20320</v>
      </c>
      <c r="AB92" s="503">
        <f t="shared" si="237"/>
        <v>20240</v>
      </c>
      <c r="AC92" s="500">
        <f t="shared" si="237"/>
        <v>20280</v>
      </c>
      <c r="AD92" s="500">
        <f t="shared" si="237"/>
        <v>20200</v>
      </c>
      <c r="AE92" s="500">
        <f t="shared" si="237"/>
        <v>20200</v>
      </c>
      <c r="AF92" s="500">
        <f t="shared" si="237"/>
        <v>20320</v>
      </c>
      <c r="AG92" s="500">
        <f t="shared" si="237"/>
        <v>21000</v>
      </c>
      <c r="AH92" s="500">
        <f t="shared" si="237"/>
        <v>21160</v>
      </c>
      <c r="AI92" s="500">
        <f t="shared" si="237"/>
        <v>22520</v>
      </c>
      <c r="AJ92" s="500">
        <f t="shared" si="237"/>
        <v>22400</v>
      </c>
      <c r="AK92" s="500">
        <f t="shared" si="237"/>
        <v>22480</v>
      </c>
      <c r="AL92" s="500">
        <f t="shared" si="237"/>
        <v>22480</v>
      </c>
      <c r="AM92" s="500">
        <f t="shared" si="237"/>
        <v>22400</v>
      </c>
      <c r="AN92" s="500">
        <f>AN91*$C$89</f>
        <v>23000</v>
      </c>
      <c r="AO92" s="49"/>
      <c r="AP92" s="49"/>
      <c r="AQ92" s="49"/>
      <c r="AR92" s="49"/>
      <c r="AS92" s="49"/>
      <c r="AT92" s="49"/>
      <c r="AU92" s="49"/>
      <c r="AV92" s="49"/>
      <c r="AW92" s="49"/>
      <c r="AX92" s="49"/>
      <c r="AY92" s="49"/>
      <c r="AZ92" s="49"/>
      <c r="BA92" s="49"/>
      <c r="BB92" s="49"/>
      <c r="BC92" s="49"/>
      <c r="BD92" s="49"/>
      <c r="BE92" s="49"/>
      <c r="BF92" s="49"/>
      <c r="BG92" s="49"/>
      <c r="BH92" s="49"/>
      <c r="BI92" s="49"/>
      <c r="BJ92" s="49"/>
      <c r="BK92" s="49"/>
      <c r="BL92" s="49"/>
      <c r="BM92" s="49"/>
      <c r="BN92" s="49"/>
      <c r="BO92" s="49"/>
      <c r="BP92" s="49"/>
      <c r="BQ92" s="49"/>
      <c r="BR92" s="49"/>
      <c r="BS92" s="49"/>
      <c r="BT92" s="49"/>
      <c r="BU92" s="49"/>
      <c r="BV92" s="49"/>
      <c r="BW92" s="49"/>
      <c r="BX92" s="49"/>
      <c r="BY92" s="49"/>
      <c r="BZ92" s="49"/>
      <c r="CA92" s="49"/>
      <c r="CB92" s="49"/>
      <c r="CC92" s="49"/>
      <c r="CD92" s="49"/>
      <c r="CE92" s="49"/>
      <c r="CF92" s="49"/>
      <c r="CG92" s="49"/>
      <c r="CH92" s="49"/>
      <c r="CI92" s="49"/>
      <c r="CJ92" s="49"/>
      <c r="CK92" s="49"/>
      <c r="CL92" s="49"/>
      <c r="CM92" s="49"/>
      <c r="CN92" s="49"/>
    </row>
    <row r="93" spans="1:92" ht="16.2" thickBot="1">
      <c r="A93" s="494"/>
      <c r="B93" s="495"/>
      <c r="C93" s="480"/>
      <c r="D93" s="495" t="s">
        <v>11</v>
      </c>
      <c r="E93" s="500">
        <f>E92*$C$90</f>
        <v>203</v>
      </c>
      <c r="F93" s="500">
        <f t="shared" ref="F93:AN93" si="238">F92*$C$90</f>
        <v>913.5</v>
      </c>
      <c r="G93" s="500">
        <f t="shared" si="238"/>
        <v>2059</v>
      </c>
      <c r="H93" s="500">
        <f t="shared" si="238"/>
        <v>2117</v>
      </c>
      <c r="I93" s="500">
        <f t="shared" si="238"/>
        <v>2798.5</v>
      </c>
      <c r="J93" s="500">
        <f t="shared" si="238"/>
        <v>2813</v>
      </c>
      <c r="K93" s="500">
        <f t="shared" si="238"/>
        <v>3262.5</v>
      </c>
      <c r="L93" s="500">
        <f t="shared" si="238"/>
        <v>3509</v>
      </c>
      <c r="M93" s="500">
        <f t="shared" si="238"/>
        <v>3610.5</v>
      </c>
      <c r="N93" s="500">
        <f t="shared" si="238"/>
        <v>3770</v>
      </c>
      <c r="O93" s="500">
        <f t="shared" si="238"/>
        <v>4016.5</v>
      </c>
      <c r="P93" s="500">
        <f t="shared" si="238"/>
        <v>4161.5</v>
      </c>
      <c r="Q93" s="528">
        <f t="shared" si="238"/>
        <v>4335.5</v>
      </c>
      <c r="R93" s="500">
        <f t="shared" si="238"/>
        <v>4480.5</v>
      </c>
      <c r="S93" s="500">
        <f t="shared" si="238"/>
        <v>4625.5</v>
      </c>
      <c r="T93" s="500">
        <f t="shared" si="238"/>
        <v>4785</v>
      </c>
      <c r="U93" s="500">
        <f t="shared" si="238"/>
        <v>5002.5</v>
      </c>
      <c r="V93" s="500">
        <f t="shared" si="238"/>
        <v>5249</v>
      </c>
      <c r="W93" s="500">
        <f t="shared" si="238"/>
        <v>5495.5</v>
      </c>
      <c r="X93" s="500">
        <f t="shared" si="238"/>
        <v>5481</v>
      </c>
      <c r="Y93" s="500">
        <f t="shared" si="238"/>
        <v>6061</v>
      </c>
      <c r="Z93" s="500">
        <f t="shared" si="238"/>
        <v>7134</v>
      </c>
      <c r="AA93" s="500">
        <f t="shared" si="238"/>
        <v>7366</v>
      </c>
      <c r="AB93" s="503">
        <f t="shared" si="238"/>
        <v>7337</v>
      </c>
      <c r="AC93" s="500">
        <f t="shared" si="238"/>
        <v>7351.5</v>
      </c>
      <c r="AD93" s="500">
        <f t="shared" si="238"/>
        <v>7322.5</v>
      </c>
      <c r="AE93" s="500">
        <f t="shared" si="238"/>
        <v>7322.5</v>
      </c>
      <c r="AF93" s="500">
        <f t="shared" si="238"/>
        <v>7366</v>
      </c>
      <c r="AG93" s="500">
        <f t="shared" si="238"/>
        <v>7612.5</v>
      </c>
      <c r="AH93" s="500">
        <f t="shared" si="238"/>
        <v>7670.5</v>
      </c>
      <c r="AI93" s="500">
        <f t="shared" si="238"/>
        <v>8163.5</v>
      </c>
      <c r="AJ93" s="500">
        <f t="shared" si="238"/>
        <v>8120</v>
      </c>
      <c r="AK93" s="500">
        <f t="shared" si="238"/>
        <v>8149</v>
      </c>
      <c r="AL93" s="500">
        <f t="shared" si="238"/>
        <v>8149</v>
      </c>
      <c r="AM93" s="500">
        <f t="shared" si="238"/>
        <v>8120</v>
      </c>
      <c r="AN93" s="500">
        <f t="shared" si="238"/>
        <v>8337.5</v>
      </c>
      <c r="AO93" s="49"/>
      <c r="AP93" s="49"/>
      <c r="AQ93" s="49"/>
      <c r="AR93" s="49"/>
      <c r="AS93" s="49"/>
      <c r="AT93" s="49"/>
      <c r="AU93" s="49"/>
      <c r="AV93" s="49"/>
      <c r="AW93" s="49"/>
      <c r="AX93" s="49"/>
      <c r="AY93" s="49"/>
      <c r="AZ93" s="49"/>
      <c r="BA93" s="49"/>
      <c r="BB93" s="49"/>
      <c r="BC93" s="49"/>
      <c r="BD93" s="49"/>
      <c r="BE93" s="49"/>
      <c r="BF93" s="49"/>
      <c r="BG93" s="49"/>
      <c r="BH93" s="49"/>
      <c r="BI93" s="49"/>
      <c r="BJ93" s="49"/>
      <c r="BK93" s="49"/>
      <c r="BL93" s="49"/>
      <c r="BM93" s="49"/>
      <c r="BN93" s="49"/>
      <c r="BO93" s="49"/>
      <c r="BP93" s="49"/>
      <c r="BQ93" s="49"/>
      <c r="BR93" s="49"/>
      <c r="BS93" s="49"/>
      <c r="BT93" s="49"/>
      <c r="BU93" s="49"/>
      <c r="BV93" s="49"/>
      <c r="BW93" s="49"/>
      <c r="BX93" s="49"/>
      <c r="BY93" s="49"/>
      <c r="BZ93" s="49"/>
      <c r="CA93" s="49"/>
      <c r="CB93" s="49"/>
      <c r="CC93" s="49"/>
      <c r="CD93" s="49"/>
      <c r="CE93" s="49"/>
      <c r="CF93" s="49"/>
      <c r="CG93" s="49"/>
      <c r="CH93" s="49"/>
      <c r="CI93" s="49"/>
      <c r="CJ93" s="49"/>
      <c r="CK93" s="49"/>
      <c r="CL93" s="49"/>
      <c r="CM93" s="49"/>
      <c r="CN93" s="49"/>
    </row>
    <row r="94" spans="1:92" ht="16.2" thickTop="1">
      <c r="B94" s="295"/>
      <c r="D94" s="295"/>
      <c r="E94" s="279"/>
      <c r="F94" s="279"/>
      <c r="G94" s="279"/>
      <c r="H94" s="279"/>
      <c r="I94" s="279"/>
      <c r="J94" s="279"/>
      <c r="K94" s="279"/>
      <c r="L94" s="279"/>
      <c r="M94" s="279"/>
      <c r="N94" s="279"/>
      <c r="O94" s="279"/>
      <c r="P94" s="279"/>
      <c r="Q94" s="530"/>
      <c r="R94" s="279"/>
      <c r="S94" s="279"/>
      <c r="T94" s="279"/>
      <c r="U94" s="279"/>
      <c r="V94" s="279"/>
      <c r="W94" s="279"/>
      <c r="X94" s="279"/>
      <c r="Y94" s="279"/>
      <c r="Z94" s="279"/>
      <c r="AA94" s="279"/>
      <c r="AB94" s="284"/>
      <c r="AC94" s="279"/>
      <c r="AD94" s="279"/>
      <c r="AE94" s="279"/>
      <c r="AF94" s="279"/>
      <c r="AG94" s="279"/>
      <c r="AH94" s="279"/>
      <c r="AI94" s="279"/>
      <c r="AJ94" s="279"/>
      <c r="AK94" s="279"/>
      <c r="AL94" s="279"/>
      <c r="AM94" s="279"/>
      <c r="AN94" s="279"/>
      <c r="AO94" s="49"/>
      <c r="AP94" s="49"/>
      <c r="AQ94" s="49"/>
      <c r="AR94" s="49"/>
      <c r="AS94" s="49"/>
      <c r="AT94" s="49"/>
      <c r="AU94" s="49"/>
      <c r="AV94" s="49"/>
      <c r="AW94" s="49"/>
      <c r="AX94" s="49"/>
      <c r="AY94" s="49"/>
      <c r="AZ94" s="49"/>
      <c r="BA94" s="49"/>
      <c r="BB94" s="49"/>
      <c r="BC94" s="49"/>
      <c r="BD94" s="49"/>
      <c r="BE94" s="49"/>
      <c r="BF94" s="49"/>
      <c r="BG94" s="49"/>
      <c r="BH94" s="49"/>
      <c r="BI94" s="49"/>
      <c r="BJ94" s="49"/>
      <c r="BK94" s="49"/>
      <c r="BL94" s="49"/>
      <c r="BM94" s="49"/>
      <c r="BN94" s="49"/>
      <c r="BO94" s="49"/>
      <c r="BP94" s="49"/>
      <c r="BQ94" s="49"/>
      <c r="BR94" s="49"/>
      <c r="BS94" s="49"/>
      <c r="BT94" s="49"/>
      <c r="BU94" s="49"/>
      <c r="BV94" s="49"/>
      <c r="BW94" s="49"/>
      <c r="BX94" s="49"/>
      <c r="BY94" s="49"/>
      <c r="BZ94" s="49"/>
      <c r="CA94" s="49"/>
      <c r="CB94" s="49"/>
      <c r="CC94" s="49"/>
      <c r="CD94" s="49"/>
      <c r="CE94" s="49"/>
      <c r="CF94" s="49"/>
      <c r="CG94" s="49"/>
      <c r="CH94" s="49"/>
      <c r="CI94" s="49"/>
      <c r="CJ94" s="49"/>
      <c r="CK94" s="49"/>
      <c r="CL94" s="49"/>
      <c r="CM94" s="49"/>
      <c r="CN94" s="49"/>
    </row>
    <row r="95" spans="1:92" ht="16.2" thickBot="1">
      <c r="B95" s="295"/>
      <c r="D95" s="295"/>
      <c r="E95" s="279"/>
      <c r="F95" s="279"/>
      <c r="G95" s="279"/>
      <c r="H95" s="279"/>
      <c r="I95" s="279"/>
      <c r="J95" s="279"/>
      <c r="K95" s="279"/>
      <c r="L95" s="279"/>
      <c r="M95" s="279"/>
      <c r="N95" s="279"/>
      <c r="O95" s="279"/>
      <c r="P95" s="279"/>
      <c r="Q95" s="530"/>
      <c r="R95" s="279"/>
      <c r="S95" s="279"/>
      <c r="T95" s="279"/>
      <c r="U95" s="279"/>
      <c r="V95" s="279"/>
      <c r="W95" s="279"/>
      <c r="X95" s="279"/>
      <c r="Y95" s="279"/>
      <c r="Z95" s="279"/>
      <c r="AA95" s="279"/>
      <c r="AB95" s="284"/>
      <c r="AC95" s="279"/>
      <c r="AD95" s="279"/>
      <c r="AE95" s="279"/>
      <c r="AF95" s="279"/>
      <c r="AG95" s="279"/>
      <c r="AH95" s="279"/>
      <c r="AI95" s="279"/>
      <c r="AJ95" s="279"/>
      <c r="AK95" s="279"/>
      <c r="AL95" s="279"/>
      <c r="AM95" s="279"/>
      <c r="AN95" s="279"/>
      <c r="AO95" s="49"/>
      <c r="AP95" s="49"/>
      <c r="AQ95" s="49"/>
      <c r="AR95" s="49"/>
      <c r="AS95" s="49"/>
      <c r="AT95" s="49"/>
      <c r="AU95" s="49"/>
      <c r="AV95" s="49"/>
      <c r="AW95" s="49"/>
      <c r="AX95" s="49"/>
      <c r="AY95" s="49"/>
      <c r="AZ95" s="49"/>
      <c r="BA95" s="49"/>
      <c r="BB95" s="49"/>
      <c r="BC95" s="49"/>
      <c r="BD95" s="49"/>
      <c r="BE95" s="49"/>
      <c r="BF95" s="49"/>
      <c r="BG95" s="49"/>
      <c r="BH95" s="49"/>
      <c r="BI95" s="49"/>
      <c r="BJ95" s="49"/>
      <c r="BK95" s="49"/>
      <c r="BL95" s="49"/>
      <c r="BM95" s="49"/>
      <c r="BN95" s="49"/>
      <c r="BO95" s="49"/>
      <c r="BP95" s="49"/>
      <c r="BQ95" s="49"/>
      <c r="BR95" s="49"/>
      <c r="BS95" s="49"/>
      <c r="BT95" s="49"/>
      <c r="BU95" s="49"/>
      <c r="BV95" s="49"/>
      <c r="BW95" s="49"/>
      <c r="BX95" s="49"/>
      <c r="BY95" s="49"/>
      <c r="BZ95" s="49"/>
      <c r="CA95" s="49"/>
      <c r="CB95" s="49"/>
      <c r="CC95" s="49"/>
      <c r="CD95" s="49"/>
      <c r="CE95" s="49"/>
      <c r="CF95" s="49"/>
      <c r="CG95" s="49"/>
      <c r="CH95" s="49"/>
      <c r="CI95" s="49"/>
      <c r="CJ95" s="49"/>
      <c r="CK95" s="49"/>
      <c r="CL95" s="49"/>
      <c r="CM95" s="49"/>
      <c r="CN95" s="49"/>
    </row>
    <row r="96" spans="1:92" ht="24" thickTop="1">
      <c r="A96" s="507" t="s">
        <v>459</v>
      </c>
      <c r="B96" s="497" t="s">
        <v>462</v>
      </c>
      <c r="C96" s="480"/>
      <c r="D96" s="495" t="s">
        <v>291</v>
      </c>
      <c r="E96" s="235">
        <v>5</v>
      </c>
      <c r="F96" s="501">
        <f>E99</f>
        <v>11</v>
      </c>
      <c r="G96" s="501">
        <f t="shared" ref="G96" si="239">F99</f>
        <v>12</v>
      </c>
      <c r="H96" s="501">
        <f t="shared" ref="H96" si="240">G99</f>
        <v>14</v>
      </c>
      <c r="I96" s="501">
        <f t="shared" ref="I96" si="241">H99</f>
        <v>12</v>
      </c>
      <c r="J96" s="501">
        <f t="shared" ref="J96" si="242">I99</f>
        <v>16</v>
      </c>
      <c r="K96" s="501">
        <f t="shared" ref="K96" si="243">J99</f>
        <v>20</v>
      </c>
      <c r="L96" s="501">
        <f t="shared" ref="L96" si="244">K99</f>
        <v>22</v>
      </c>
      <c r="M96" s="501">
        <f t="shared" ref="M96" si="245">L99</f>
        <v>27</v>
      </c>
      <c r="N96" s="501">
        <f t="shared" ref="N96" si="246">M99</f>
        <v>29</v>
      </c>
      <c r="O96" s="501">
        <f t="shared" ref="O96" si="247">N99</f>
        <v>30</v>
      </c>
      <c r="P96" s="518">
        <f t="shared" ref="P96" si="248">O99</f>
        <v>36</v>
      </c>
      <c r="Q96" s="525">
        <f t="shared" ref="Q96" si="249">P99</f>
        <v>43</v>
      </c>
      <c r="R96" s="501">
        <f t="shared" ref="R96" si="250">Q99</f>
        <v>92</v>
      </c>
      <c r="S96" s="501">
        <f t="shared" ref="S96" si="251">R99</f>
        <v>139</v>
      </c>
      <c r="T96" s="501">
        <f t="shared" ref="T96" si="252">S99</f>
        <v>206</v>
      </c>
      <c r="U96" s="501">
        <f t="shared" ref="U96" si="253">T99</f>
        <v>263</v>
      </c>
      <c r="V96" s="501">
        <f t="shared" ref="V96" si="254">U99</f>
        <v>281</v>
      </c>
      <c r="W96" s="501">
        <f t="shared" ref="W96" si="255">V99</f>
        <v>299</v>
      </c>
      <c r="X96" s="501">
        <f t="shared" ref="X96" si="256">W99</f>
        <v>313</v>
      </c>
      <c r="Y96" s="501">
        <f t="shared" ref="Y96" si="257">X99</f>
        <v>329</v>
      </c>
      <c r="Z96" s="501">
        <f t="shared" ref="Z96" si="258">Y99</f>
        <v>345</v>
      </c>
      <c r="AA96" s="501">
        <f>Z99</f>
        <v>357</v>
      </c>
      <c r="AB96" s="502">
        <f t="shared" ref="AB96" si="259">AA99</f>
        <v>373</v>
      </c>
      <c r="AC96" s="501">
        <f t="shared" ref="AC96" si="260">AB99</f>
        <v>369</v>
      </c>
      <c r="AD96" s="501">
        <f t="shared" ref="AD96" si="261">AC99</f>
        <v>394</v>
      </c>
      <c r="AE96" s="501">
        <f t="shared" ref="AE96" si="262">AD99</f>
        <v>419</v>
      </c>
      <c r="AF96" s="501">
        <f t="shared" ref="AF96" si="263">AE99</f>
        <v>443</v>
      </c>
      <c r="AG96" s="501">
        <f t="shared" ref="AG96" si="264">AF99</f>
        <v>463</v>
      </c>
      <c r="AH96" s="501">
        <f t="shared" ref="AH96" si="265">AG99</f>
        <v>483</v>
      </c>
      <c r="AI96" s="501">
        <f t="shared" ref="AI96" si="266">AH99</f>
        <v>503</v>
      </c>
      <c r="AJ96" s="501">
        <f t="shared" ref="AJ96" si="267">AI99</f>
        <v>524</v>
      </c>
      <c r="AK96" s="501">
        <f t="shared" ref="AK96" si="268">AJ99</f>
        <v>534</v>
      </c>
      <c r="AL96" s="501">
        <f t="shared" ref="AL96" si="269">AK99</f>
        <v>544</v>
      </c>
      <c r="AM96" s="501">
        <f t="shared" ref="AM96" si="270">AL99</f>
        <v>554</v>
      </c>
      <c r="AN96" s="501">
        <f t="shared" ref="AN96" si="271">AM99</f>
        <v>564</v>
      </c>
      <c r="AO96" s="49"/>
      <c r="AP96" s="49"/>
      <c r="AQ96" s="49"/>
      <c r="AR96" s="49"/>
      <c r="AS96" s="49"/>
      <c r="AT96" s="49"/>
      <c r="AU96" s="49"/>
      <c r="AV96" s="49"/>
      <c r="AW96" s="49"/>
      <c r="AX96" s="49"/>
      <c r="AY96" s="49"/>
      <c r="AZ96" s="49"/>
      <c r="BA96" s="49"/>
      <c r="BB96" s="49"/>
      <c r="BC96" s="49"/>
      <c r="BD96" s="49"/>
      <c r="BE96" s="49"/>
      <c r="BF96" s="49"/>
      <c r="BG96" s="49"/>
      <c r="BH96" s="49"/>
      <c r="BI96" s="49"/>
      <c r="BJ96" s="49"/>
      <c r="BK96" s="49"/>
      <c r="BL96" s="49"/>
      <c r="BM96" s="49"/>
      <c r="BN96" s="49"/>
      <c r="BO96" s="49"/>
      <c r="BP96" s="49"/>
      <c r="BQ96" s="49"/>
      <c r="BR96" s="49"/>
      <c r="BS96" s="49"/>
      <c r="BT96" s="49"/>
      <c r="BU96" s="49"/>
      <c r="BV96" s="49"/>
      <c r="BW96" s="49"/>
      <c r="BX96" s="49"/>
      <c r="BY96" s="49"/>
      <c r="BZ96" s="49"/>
      <c r="CA96" s="49"/>
      <c r="CB96" s="49"/>
      <c r="CC96" s="49"/>
      <c r="CD96" s="49"/>
      <c r="CE96" s="49"/>
      <c r="CF96" s="49"/>
      <c r="CG96" s="49"/>
      <c r="CH96" s="49"/>
      <c r="CI96" s="49"/>
      <c r="CJ96" s="49"/>
      <c r="CK96" s="49"/>
      <c r="CL96" s="49"/>
      <c r="CM96" s="49"/>
      <c r="CN96" s="49"/>
    </row>
    <row r="97" spans="1:92">
      <c r="B97" s="481" t="s">
        <v>446</v>
      </c>
      <c r="C97" s="496">
        <f>'Pricing Model'!L78</f>
        <v>450</v>
      </c>
      <c r="D97" s="495" t="s">
        <v>284</v>
      </c>
      <c r="E97" s="235">
        <f>E73</f>
        <v>6</v>
      </c>
      <c r="F97" s="235">
        <v>1</v>
      </c>
      <c r="G97" s="235">
        <v>2</v>
      </c>
      <c r="H97" s="235">
        <v>3</v>
      </c>
      <c r="I97" s="235">
        <f t="shared" ref="I97:AN97" si="272">I73</f>
        <v>6</v>
      </c>
      <c r="J97" s="235">
        <v>5</v>
      </c>
      <c r="K97" s="235">
        <v>7</v>
      </c>
      <c r="L97" s="235">
        <v>8</v>
      </c>
      <c r="M97" s="235">
        <v>5</v>
      </c>
      <c r="N97" s="235">
        <v>8</v>
      </c>
      <c r="O97" s="235">
        <v>9</v>
      </c>
      <c r="P97" s="235">
        <v>10</v>
      </c>
      <c r="Q97" s="235">
        <v>50</v>
      </c>
      <c r="R97" s="235">
        <v>50</v>
      </c>
      <c r="S97" s="235">
        <v>70</v>
      </c>
      <c r="T97" s="235">
        <v>60</v>
      </c>
      <c r="U97" s="235">
        <f t="shared" si="272"/>
        <v>18</v>
      </c>
      <c r="V97" s="235">
        <f t="shared" si="272"/>
        <v>18</v>
      </c>
      <c r="W97" s="235">
        <f t="shared" si="272"/>
        <v>18</v>
      </c>
      <c r="X97" s="235">
        <f t="shared" si="272"/>
        <v>20</v>
      </c>
      <c r="Y97" s="235">
        <f t="shared" si="272"/>
        <v>20</v>
      </c>
      <c r="Z97" s="235">
        <f t="shared" si="272"/>
        <v>20</v>
      </c>
      <c r="AA97" s="235">
        <f t="shared" si="272"/>
        <v>20</v>
      </c>
      <c r="AB97" s="235">
        <f t="shared" si="272"/>
        <v>0</v>
      </c>
      <c r="AC97" s="235">
        <f t="shared" si="272"/>
        <v>30</v>
      </c>
      <c r="AD97" s="235">
        <f t="shared" si="272"/>
        <v>30</v>
      </c>
      <c r="AE97" s="235">
        <f t="shared" si="272"/>
        <v>30</v>
      </c>
      <c r="AF97" s="235">
        <f t="shared" si="272"/>
        <v>25</v>
      </c>
      <c r="AG97" s="235">
        <f t="shared" si="272"/>
        <v>25</v>
      </c>
      <c r="AH97" s="235">
        <f t="shared" si="272"/>
        <v>25</v>
      </c>
      <c r="AI97" s="235">
        <f>AI73</f>
        <v>25</v>
      </c>
      <c r="AJ97" s="235">
        <f t="shared" si="272"/>
        <v>15</v>
      </c>
      <c r="AK97" s="235">
        <f t="shared" si="272"/>
        <v>15</v>
      </c>
      <c r="AL97" s="235">
        <f t="shared" si="272"/>
        <v>15</v>
      </c>
      <c r="AM97" s="235">
        <f t="shared" si="272"/>
        <v>15</v>
      </c>
      <c r="AN97" s="235">
        <f t="shared" si="272"/>
        <v>15</v>
      </c>
      <c r="AO97" s="49"/>
      <c r="AP97" s="49"/>
      <c r="AQ97" s="49"/>
      <c r="AR97" s="49"/>
      <c r="AS97" s="49"/>
      <c r="AT97" s="49"/>
      <c r="AU97" s="49"/>
      <c r="AV97" s="49"/>
      <c r="AW97" s="49"/>
      <c r="AX97" s="49"/>
      <c r="AY97" s="49"/>
      <c r="AZ97" s="49"/>
      <c r="BA97" s="49"/>
      <c r="BB97" s="49"/>
      <c r="BC97" s="49"/>
      <c r="BD97" s="49"/>
      <c r="BE97" s="49"/>
      <c r="BF97" s="49"/>
      <c r="BG97" s="49"/>
      <c r="BH97" s="49"/>
      <c r="BI97" s="49"/>
      <c r="BJ97" s="49"/>
      <c r="BK97" s="49"/>
      <c r="BL97" s="49"/>
      <c r="BM97" s="49"/>
      <c r="BN97" s="49"/>
      <c r="BO97" s="49"/>
      <c r="BP97" s="49"/>
      <c r="BQ97" s="49"/>
      <c r="BR97" s="49"/>
      <c r="BS97" s="49"/>
      <c r="BT97" s="49"/>
      <c r="BU97" s="49"/>
      <c r="BV97" s="49"/>
      <c r="BW97" s="49"/>
      <c r="BX97" s="49"/>
      <c r="BY97" s="49"/>
      <c r="BZ97" s="49"/>
      <c r="CA97" s="49"/>
      <c r="CB97" s="49"/>
      <c r="CC97" s="49"/>
      <c r="CD97" s="49"/>
      <c r="CE97" s="49"/>
      <c r="CF97" s="49"/>
      <c r="CG97" s="49"/>
      <c r="CH97" s="49"/>
      <c r="CI97" s="49"/>
      <c r="CJ97" s="49"/>
      <c r="CK97" s="49"/>
      <c r="CL97" s="49"/>
      <c r="CM97" s="49"/>
      <c r="CN97" s="49"/>
    </row>
    <row r="98" spans="1:92">
      <c r="A98" s="492"/>
      <c r="B98" s="481" t="s">
        <v>276</v>
      </c>
      <c r="C98" s="482">
        <f>'Pricing Model'!L92</f>
        <v>0.37777777777777777</v>
      </c>
      <c r="D98" s="495" t="s">
        <v>283</v>
      </c>
      <c r="E98" s="235">
        <v>0</v>
      </c>
      <c r="F98" s="235">
        <v>0</v>
      </c>
      <c r="G98" s="235">
        <v>0</v>
      </c>
      <c r="H98" s="235">
        <v>-5</v>
      </c>
      <c r="I98" s="235">
        <v>-2</v>
      </c>
      <c r="J98" s="235">
        <v>-1</v>
      </c>
      <c r="K98" s="235">
        <v>-5</v>
      </c>
      <c r="L98" s="235">
        <v>-3</v>
      </c>
      <c r="M98" s="235">
        <v>-3</v>
      </c>
      <c r="N98" s="235">
        <v>-7</v>
      </c>
      <c r="O98" s="235">
        <v>-3</v>
      </c>
      <c r="P98" s="519">
        <v>-3</v>
      </c>
      <c r="Q98" s="526">
        <v>-1</v>
      </c>
      <c r="R98" s="235">
        <v>-3</v>
      </c>
      <c r="S98" s="235">
        <v>-3</v>
      </c>
      <c r="T98" s="235">
        <v>-3</v>
      </c>
      <c r="U98" s="235">
        <v>0</v>
      </c>
      <c r="V98" s="235">
        <v>0</v>
      </c>
      <c r="W98" s="235">
        <v>-4</v>
      </c>
      <c r="X98" s="235">
        <v>-4</v>
      </c>
      <c r="Y98" s="235">
        <v>-4</v>
      </c>
      <c r="Z98" s="235">
        <v>-8</v>
      </c>
      <c r="AA98" s="235">
        <v>-4</v>
      </c>
      <c r="AB98" s="283">
        <v>-4</v>
      </c>
      <c r="AC98" s="235">
        <v>-5</v>
      </c>
      <c r="AD98" s="235">
        <v>-5</v>
      </c>
      <c r="AE98" s="235">
        <v>-6</v>
      </c>
      <c r="AF98" s="235">
        <v>-5</v>
      </c>
      <c r="AG98" s="235">
        <v>-5</v>
      </c>
      <c r="AH98" s="235">
        <v>-5</v>
      </c>
      <c r="AI98" s="235">
        <v>-4</v>
      </c>
      <c r="AJ98" s="235">
        <v>-5</v>
      </c>
      <c r="AK98" s="235">
        <v>-5</v>
      </c>
      <c r="AL98" s="235">
        <v>-5</v>
      </c>
      <c r="AM98" s="235">
        <v>-5</v>
      </c>
      <c r="AN98" s="235">
        <f>--10</f>
        <v>10</v>
      </c>
      <c r="AO98" s="49"/>
      <c r="AP98" s="49"/>
      <c r="AQ98" s="49"/>
      <c r="AR98" s="49"/>
      <c r="AS98" s="49"/>
      <c r="AT98" s="49"/>
      <c r="AU98" s="49"/>
      <c r="AV98" s="49"/>
      <c r="AW98" s="49"/>
      <c r="AX98" s="49"/>
      <c r="AY98" s="49"/>
      <c r="AZ98" s="49"/>
      <c r="BA98" s="49"/>
      <c r="BB98" s="49"/>
      <c r="BC98" s="49"/>
      <c r="BD98" s="49"/>
      <c r="BE98" s="49"/>
      <c r="BF98" s="49"/>
      <c r="BG98" s="49"/>
      <c r="BH98" s="49"/>
      <c r="BI98" s="49"/>
      <c r="BJ98" s="49"/>
      <c r="BK98" s="49"/>
      <c r="BL98" s="49"/>
      <c r="BM98" s="49"/>
      <c r="BN98" s="49"/>
      <c r="BO98" s="49"/>
      <c r="BP98" s="49"/>
      <c r="BQ98" s="49"/>
      <c r="BR98" s="49"/>
      <c r="BS98" s="49"/>
      <c r="BT98" s="49"/>
      <c r="BU98" s="49"/>
      <c r="BV98" s="49"/>
      <c r="BW98" s="49"/>
      <c r="BX98" s="49"/>
      <c r="BY98" s="49"/>
      <c r="BZ98" s="49"/>
      <c r="CA98" s="49"/>
      <c r="CB98" s="49"/>
      <c r="CC98" s="49"/>
      <c r="CD98" s="49"/>
      <c r="CE98" s="49"/>
      <c r="CF98" s="49"/>
      <c r="CG98" s="49"/>
      <c r="CH98" s="49"/>
      <c r="CI98" s="49"/>
      <c r="CJ98" s="49"/>
      <c r="CK98" s="49"/>
      <c r="CL98" s="49"/>
      <c r="CM98" s="49"/>
      <c r="CN98" s="49"/>
    </row>
    <row r="99" spans="1:92">
      <c r="A99" s="492"/>
      <c r="B99" s="495"/>
      <c r="C99" s="480"/>
      <c r="D99" s="497" t="s">
        <v>280</v>
      </c>
      <c r="E99" s="498">
        <f t="shared" ref="E99:AN99" si="273">SUM(E96:E98)</f>
        <v>11</v>
      </c>
      <c r="F99" s="498">
        <f t="shared" si="273"/>
        <v>12</v>
      </c>
      <c r="G99" s="498">
        <f t="shared" si="273"/>
        <v>14</v>
      </c>
      <c r="H99" s="498">
        <f t="shared" si="273"/>
        <v>12</v>
      </c>
      <c r="I99" s="498">
        <f t="shared" si="273"/>
        <v>16</v>
      </c>
      <c r="J99" s="498">
        <f t="shared" si="273"/>
        <v>20</v>
      </c>
      <c r="K99" s="498">
        <f t="shared" si="273"/>
        <v>22</v>
      </c>
      <c r="L99" s="498">
        <f t="shared" si="273"/>
        <v>27</v>
      </c>
      <c r="M99" s="498">
        <f t="shared" si="273"/>
        <v>29</v>
      </c>
      <c r="N99" s="498">
        <f t="shared" si="273"/>
        <v>30</v>
      </c>
      <c r="O99" s="498">
        <f t="shared" si="273"/>
        <v>36</v>
      </c>
      <c r="P99" s="498">
        <f t="shared" si="273"/>
        <v>43</v>
      </c>
      <c r="Q99" s="527">
        <f t="shared" si="273"/>
        <v>92</v>
      </c>
      <c r="R99" s="498">
        <f t="shared" si="273"/>
        <v>139</v>
      </c>
      <c r="S99" s="498">
        <f t="shared" si="273"/>
        <v>206</v>
      </c>
      <c r="T99" s="498">
        <f t="shared" si="273"/>
        <v>263</v>
      </c>
      <c r="U99" s="498">
        <f t="shared" si="273"/>
        <v>281</v>
      </c>
      <c r="V99" s="498">
        <f t="shared" si="273"/>
        <v>299</v>
      </c>
      <c r="W99" s="498">
        <f t="shared" si="273"/>
        <v>313</v>
      </c>
      <c r="X99" s="498">
        <f t="shared" si="273"/>
        <v>329</v>
      </c>
      <c r="Y99" s="498">
        <f t="shared" si="273"/>
        <v>345</v>
      </c>
      <c r="Z99" s="498">
        <f t="shared" si="273"/>
        <v>357</v>
      </c>
      <c r="AA99" s="498">
        <f t="shared" si="273"/>
        <v>373</v>
      </c>
      <c r="AB99" s="499">
        <f t="shared" si="273"/>
        <v>369</v>
      </c>
      <c r="AC99" s="498">
        <f t="shared" si="273"/>
        <v>394</v>
      </c>
      <c r="AD99" s="498">
        <f t="shared" si="273"/>
        <v>419</v>
      </c>
      <c r="AE99" s="498">
        <f t="shared" si="273"/>
        <v>443</v>
      </c>
      <c r="AF99" s="498">
        <f t="shared" si="273"/>
        <v>463</v>
      </c>
      <c r="AG99" s="498">
        <f t="shared" si="273"/>
        <v>483</v>
      </c>
      <c r="AH99" s="498">
        <f t="shared" si="273"/>
        <v>503</v>
      </c>
      <c r="AI99" s="498">
        <f t="shared" si="273"/>
        <v>524</v>
      </c>
      <c r="AJ99" s="498">
        <f t="shared" si="273"/>
        <v>534</v>
      </c>
      <c r="AK99" s="498">
        <f t="shared" si="273"/>
        <v>544</v>
      </c>
      <c r="AL99" s="498">
        <f t="shared" si="273"/>
        <v>554</v>
      </c>
      <c r="AM99" s="498">
        <f t="shared" si="273"/>
        <v>564</v>
      </c>
      <c r="AN99" s="498">
        <f t="shared" si="273"/>
        <v>589</v>
      </c>
      <c r="AO99" s="49"/>
      <c r="AP99" s="49"/>
      <c r="AQ99" s="49"/>
      <c r="AR99" s="49"/>
      <c r="AS99" s="49"/>
      <c r="AT99" s="49"/>
      <c r="AU99" s="49"/>
      <c r="AV99" s="49"/>
      <c r="AW99" s="49"/>
      <c r="AX99" s="49"/>
      <c r="AY99" s="49"/>
      <c r="AZ99" s="49"/>
      <c r="BA99" s="49"/>
      <c r="BB99" s="49"/>
      <c r="BC99" s="49"/>
      <c r="BD99" s="49"/>
      <c r="BE99" s="49"/>
      <c r="BF99" s="49"/>
      <c r="BG99" s="49"/>
      <c r="BH99" s="49"/>
      <c r="BI99" s="49"/>
      <c r="BJ99" s="49"/>
      <c r="BK99" s="49"/>
      <c r="BL99" s="49"/>
      <c r="BM99" s="49"/>
      <c r="BN99" s="49"/>
      <c r="BO99" s="49"/>
      <c r="BP99" s="49"/>
      <c r="BQ99" s="49"/>
      <c r="BR99" s="49"/>
      <c r="BS99" s="49"/>
      <c r="BT99" s="49"/>
      <c r="BU99" s="49"/>
      <c r="BV99" s="49"/>
      <c r="BW99" s="49"/>
      <c r="BX99" s="49"/>
      <c r="BY99" s="49"/>
      <c r="BZ99" s="49"/>
      <c r="CA99" s="49"/>
      <c r="CB99" s="49"/>
      <c r="CC99" s="49"/>
      <c r="CD99" s="49"/>
      <c r="CE99" s="49"/>
      <c r="CF99" s="49"/>
      <c r="CG99" s="49"/>
      <c r="CH99" s="49"/>
      <c r="CI99" s="49"/>
      <c r="CJ99" s="49"/>
      <c r="CK99" s="49"/>
      <c r="CL99" s="49"/>
      <c r="CM99" s="49"/>
      <c r="CN99" s="49"/>
    </row>
    <row r="100" spans="1:92">
      <c r="A100" s="492"/>
      <c r="B100" s="495"/>
      <c r="C100" s="480"/>
      <c r="D100" s="495" t="s">
        <v>235</v>
      </c>
      <c r="E100" s="500">
        <f>E99*$C$97</f>
        <v>4950</v>
      </c>
      <c r="F100" s="500">
        <f t="shared" ref="F100:AN100" si="274">F99*$C$97</f>
        <v>5400</v>
      </c>
      <c r="G100" s="500">
        <f t="shared" si="274"/>
        <v>6300</v>
      </c>
      <c r="H100" s="500">
        <f t="shared" si="274"/>
        <v>5400</v>
      </c>
      <c r="I100" s="500">
        <f t="shared" si="274"/>
        <v>7200</v>
      </c>
      <c r="J100" s="500">
        <f t="shared" si="274"/>
        <v>9000</v>
      </c>
      <c r="K100" s="500">
        <f t="shared" si="274"/>
        <v>9900</v>
      </c>
      <c r="L100" s="500">
        <f t="shared" si="274"/>
        <v>12150</v>
      </c>
      <c r="M100" s="500">
        <f t="shared" si="274"/>
        <v>13050</v>
      </c>
      <c r="N100" s="500">
        <f t="shared" si="274"/>
        <v>13500</v>
      </c>
      <c r="O100" s="500">
        <f t="shared" si="274"/>
        <v>16200</v>
      </c>
      <c r="P100" s="500">
        <f t="shared" si="274"/>
        <v>19350</v>
      </c>
      <c r="Q100" s="528">
        <f t="shared" si="274"/>
        <v>41400</v>
      </c>
      <c r="R100" s="500">
        <f t="shared" si="274"/>
        <v>62550</v>
      </c>
      <c r="S100" s="500">
        <f t="shared" si="274"/>
        <v>92700</v>
      </c>
      <c r="T100" s="500">
        <f t="shared" si="274"/>
        <v>118350</v>
      </c>
      <c r="U100" s="500">
        <f t="shared" si="274"/>
        <v>126450</v>
      </c>
      <c r="V100" s="500">
        <f t="shared" si="274"/>
        <v>134550</v>
      </c>
      <c r="W100" s="500">
        <f t="shared" si="274"/>
        <v>140850</v>
      </c>
      <c r="X100" s="500">
        <f t="shared" si="274"/>
        <v>148050</v>
      </c>
      <c r="Y100" s="500">
        <f t="shared" si="274"/>
        <v>155250</v>
      </c>
      <c r="Z100" s="500">
        <f t="shared" si="274"/>
        <v>160650</v>
      </c>
      <c r="AA100" s="500">
        <f t="shared" si="274"/>
        <v>167850</v>
      </c>
      <c r="AB100" s="503">
        <f t="shared" si="274"/>
        <v>166050</v>
      </c>
      <c r="AC100" s="500">
        <f t="shared" si="274"/>
        <v>177300</v>
      </c>
      <c r="AD100" s="500">
        <f t="shared" si="274"/>
        <v>188550</v>
      </c>
      <c r="AE100" s="500">
        <f t="shared" si="274"/>
        <v>199350</v>
      </c>
      <c r="AF100" s="500">
        <f t="shared" si="274"/>
        <v>208350</v>
      </c>
      <c r="AG100" s="500">
        <f t="shared" si="274"/>
        <v>217350</v>
      </c>
      <c r="AH100" s="500">
        <f t="shared" si="274"/>
        <v>226350</v>
      </c>
      <c r="AI100" s="500">
        <f t="shared" si="274"/>
        <v>235800</v>
      </c>
      <c r="AJ100" s="500">
        <f t="shared" si="274"/>
        <v>240300</v>
      </c>
      <c r="AK100" s="500">
        <f t="shared" si="274"/>
        <v>244800</v>
      </c>
      <c r="AL100" s="500">
        <f t="shared" si="274"/>
        <v>249300</v>
      </c>
      <c r="AM100" s="500">
        <f t="shared" si="274"/>
        <v>253800</v>
      </c>
      <c r="AN100" s="500">
        <f t="shared" si="274"/>
        <v>265050</v>
      </c>
      <c r="AO100" s="49"/>
      <c r="AP100" s="49"/>
      <c r="AQ100" s="49"/>
      <c r="AR100" s="49"/>
      <c r="AS100" s="49"/>
      <c r="AT100" s="49"/>
      <c r="AU100" s="49"/>
      <c r="AV100" s="49"/>
      <c r="AW100" s="49"/>
      <c r="AX100" s="49"/>
      <c r="AY100" s="49"/>
      <c r="AZ100" s="49"/>
      <c r="BA100" s="49"/>
      <c r="BB100" s="49"/>
      <c r="BC100" s="49"/>
      <c r="BD100" s="49"/>
      <c r="BE100" s="49"/>
      <c r="BF100" s="49"/>
      <c r="BG100" s="49"/>
      <c r="BH100" s="49"/>
      <c r="BI100" s="49"/>
      <c r="BJ100" s="49"/>
      <c r="BK100" s="49"/>
      <c r="BL100" s="49"/>
      <c r="BM100" s="49"/>
      <c r="BN100" s="49"/>
      <c r="BO100" s="49"/>
      <c r="BP100" s="49"/>
      <c r="BQ100" s="49"/>
      <c r="BR100" s="49"/>
      <c r="BS100" s="49"/>
      <c r="BT100" s="49"/>
      <c r="BU100" s="49"/>
      <c r="BV100" s="49"/>
      <c r="BW100" s="49"/>
      <c r="BX100" s="49"/>
      <c r="BY100" s="49"/>
      <c r="BZ100" s="49"/>
      <c r="CA100" s="49"/>
      <c r="CB100" s="49"/>
      <c r="CC100" s="49"/>
      <c r="CD100" s="49"/>
      <c r="CE100" s="49"/>
      <c r="CF100" s="49"/>
      <c r="CG100" s="49"/>
      <c r="CH100" s="49"/>
      <c r="CI100" s="49"/>
      <c r="CJ100" s="49"/>
      <c r="CK100" s="49"/>
      <c r="CL100" s="49"/>
      <c r="CM100" s="49"/>
      <c r="CN100" s="49"/>
    </row>
    <row r="101" spans="1:92" ht="33" customHeight="1" thickBot="1">
      <c r="A101" s="494"/>
      <c r="B101" s="495"/>
      <c r="C101" s="480"/>
      <c r="D101" s="495" t="s">
        <v>11</v>
      </c>
      <c r="E101" s="500">
        <f>E100*$C$98</f>
        <v>1870</v>
      </c>
      <c r="F101" s="500">
        <f t="shared" ref="F101:AN101" si="275">F100*$C$98</f>
        <v>2040</v>
      </c>
      <c r="G101" s="500">
        <f t="shared" si="275"/>
        <v>2380</v>
      </c>
      <c r="H101" s="500">
        <f t="shared" si="275"/>
        <v>2040</v>
      </c>
      <c r="I101" s="500">
        <f t="shared" si="275"/>
        <v>2720</v>
      </c>
      <c r="J101" s="500">
        <f t="shared" si="275"/>
        <v>3400</v>
      </c>
      <c r="K101" s="500">
        <f t="shared" si="275"/>
        <v>3740</v>
      </c>
      <c r="L101" s="500">
        <f t="shared" si="275"/>
        <v>4590</v>
      </c>
      <c r="M101" s="500">
        <f t="shared" si="275"/>
        <v>4930</v>
      </c>
      <c r="N101" s="500">
        <f t="shared" si="275"/>
        <v>5100</v>
      </c>
      <c r="O101" s="500">
        <f t="shared" si="275"/>
        <v>6120</v>
      </c>
      <c r="P101" s="500">
        <f t="shared" si="275"/>
        <v>7310</v>
      </c>
      <c r="Q101" s="528">
        <f t="shared" si="275"/>
        <v>15640</v>
      </c>
      <c r="R101" s="500">
        <f t="shared" si="275"/>
        <v>23630</v>
      </c>
      <c r="S101" s="500">
        <f t="shared" si="275"/>
        <v>35020</v>
      </c>
      <c r="T101" s="500">
        <f t="shared" si="275"/>
        <v>44710</v>
      </c>
      <c r="U101" s="500">
        <f t="shared" si="275"/>
        <v>47770</v>
      </c>
      <c r="V101" s="500">
        <f t="shared" si="275"/>
        <v>50830</v>
      </c>
      <c r="W101" s="500">
        <f t="shared" si="275"/>
        <v>53210</v>
      </c>
      <c r="X101" s="500">
        <f t="shared" si="275"/>
        <v>55930</v>
      </c>
      <c r="Y101" s="500">
        <f t="shared" si="275"/>
        <v>58650</v>
      </c>
      <c r="Z101" s="500">
        <f t="shared" si="275"/>
        <v>60690</v>
      </c>
      <c r="AA101" s="500">
        <f t="shared" si="275"/>
        <v>63410</v>
      </c>
      <c r="AB101" s="503">
        <f t="shared" si="275"/>
        <v>62730</v>
      </c>
      <c r="AC101" s="500">
        <f t="shared" si="275"/>
        <v>66980</v>
      </c>
      <c r="AD101" s="500">
        <f t="shared" si="275"/>
        <v>71230</v>
      </c>
      <c r="AE101" s="500">
        <f t="shared" si="275"/>
        <v>75310</v>
      </c>
      <c r="AF101" s="500">
        <f t="shared" si="275"/>
        <v>78710</v>
      </c>
      <c r="AG101" s="500">
        <f t="shared" si="275"/>
        <v>82110</v>
      </c>
      <c r="AH101" s="500">
        <f t="shared" si="275"/>
        <v>85510</v>
      </c>
      <c r="AI101" s="500">
        <f t="shared" si="275"/>
        <v>89080</v>
      </c>
      <c r="AJ101" s="500">
        <f t="shared" si="275"/>
        <v>90780</v>
      </c>
      <c r="AK101" s="500">
        <f t="shared" si="275"/>
        <v>92480</v>
      </c>
      <c r="AL101" s="500">
        <f t="shared" si="275"/>
        <v>94180</v>
      </c>
      <c r="AM101" s="500">
        <f t="shared" si="275"/>
        <v>95880</v>
      </c>
      <c r="AN101" s="500">
        <f t="shared" si="275"/>
        <v>100130</v>
      </c>
      <c r="AO101" s="49"/>
      <c r="AP101" s="49"/>
      <c r="AQ101" s="49"/>
      <c r="AR101" s="49"/>
      <c r="AS101" s="49"/>
      <c r="AT101" s="49"/>
      <c r="AU101" s="49"/>
      <c r="AV101" s="49"/>
      <c r="AW101" s="49"/>
      <c r="AX101" s="49"/>
      <c r="AY101" s="49"/>
      <c r="AZ101" s="49"/>
      <c r="BA101" s="49"/>
      <c r="BB101" s="49"/>
      <c r="BC101" s="49"/>
      <c r="BD101" s="49"/>
      <c r="BE101" s="49"/>
      <c r="BF101" s="49"/>
      <c r="BG101" s="49"/>
      <c r="BH101" s="49"/>
      <c r="BI101" s="49"/>
      <c r="BJ101" s="49"/>
      <c r="BK101" s="49"/>
      <c r="BL101" s="49"/>
      <c r="BM101" s="49"/>
      <c r="BN101" s="49"/>
      <c r="BO101" s="49"/>
      <c r="BP101" s="49"/>
      <c r="BQ101" s="49"/>
      <c r="BR101" s="49"/>
      <c r="BS101" s="49"/>
      <c r="BT101" s="49"/>
      <c r="BU101" s="49"/>
      <c r="BV101" s="49"/>
      <c r="BW101" s="49"/>
      <c r="BX101" s="49"/>
      <c r="BY101" s="49"/>
      <c r="BZ101" s="49"/>
      <c r="CA101" s="49"/>
      <c r="CB101" s="49"/>
      <c r="CC101" s="49"/>
      <c r="CD101" s="49"/>
      <c r="CE101" s="49"/>
      <c r="CF101" s="49"/>
      <c r="CG101" s="49"/>
      <c r="CH101" s="49"/>
      <c r="CI101" s="49"/>
      <c r="CJ101" s="49"/>
      <c r="CK101" s="49"/>
      <c r="CL101" s="49"/>
      <c r="CM101" s="49"/>
      <c r="CN101" s="49"/>
    </row>
    <row r="102" spans="1:92" ht="16.2" thickTop="1">
      <c r="D102" s="295"/>
      <c r="E102" s="279"/>
      <c r="F102" s="279"/>
      <c r="G102" s="279"/>
      <c r="H102" s="279"/>
      <c r="I102" s="279"/>
      <c r="J102" s="279"/>
      <c r="K102" s="279"/>
      <c r="L102" s="279"/>
      <c r="M102" s="279"/>
      <c r="N102" s="279"/>
      <c r="O102" s="279"/>
      <c r="P102" s="279"/>
      <c r="Q102" s="530"/>
      <c r="R102" s="279"/>
      <c r="S102" s="279"/>
      <c r="T102" s="279"/>
      <c r="U102" s="279"/>
      <c r="V102" s="279"/>
      <c r="W102" s="279"/>
      <c r="X102" s="279"/>
      <c r="Y102" s="279"/>
      <c r="Z102" s="279"/>
      <c r="AA102" s="279"/>
      <c r="AB102" s="284"/>
      <c r="AC102" s="279"/>
      <c r="AD102" s="279"/>
      <c r="AE102" s="279"/>
      <c r="AF102" s="279"/>
      <c r="AG102" s="279"/>
      <c r="AH102" s="279"/>
      <c r="AI102" s="279"/>
      <c r="AJ102" s="279"/>
      <c r="AK102" s="279"/>
      <c r="AL102" s="279"/>
      <c r="AM102" s="279"/>
      <c r="AN102" s="279"/>
      <c r="AO102" s="49"/>
      <c r="AP102" s="49"/>
      <c r="AQ102" s="49"/>
      <c r="AR102" s="49"/>
      <c r="AS102" s="49"/>
      <c r="AT102" s="49"/>
      <c r="AU102" s="49"/>
      <c r="AV102" s="49"/>
      <c r="AW102" s="49"/>
      <c r="AX102" s="49"/>
      <c r="AY102" s="49"/>
      <c r="AZ102" s="49"/>
      <c r="BA102" s="49"/>
      <c r="BB102" s="49"/>
      <c r="BC102" s="49"/>
      <c r="BD102" s="49"/>
      <c r="BE102" s="49"/>
      <c r="BF102" s="49"/>
      <c r="BG102" s="49"/>
      <c r="BH102" s="49"/>
      <c r="BI102" s="49"/>
      <c r="BJ102" s="49"/>
      <c r="BK102" s="49"/>
      <c r="BL102" s="49"/>
      <c r="BM102" s="49"/>
      <c r="BN102" s="49"/>
      <c r="BO102" s="49"/>
      <c r="BP102" s="49"/>
      <c r="BQ102" s="49"/>
      <c r="BR102" s="49"/>
      <c r="BS102" s="49"/>
      <c r="BT102" s="49"/>
      <c r="BU102" s="49"/>
      <c r="BV102" s="49"/>
      <c r="BW102" s="49"/>
      <c r="BX102" s="49"/>
      <c r="BY102" s="49"/>
      <c r="BZ102" s="49"/>
      <c r="CA102" s="49"/>
      <c r="CB102" s="49"/>
      <c r="CC102" s="49"/>
      <c r="CD102" s="49"/>
      <c r="CE102" s="49"/>
      <c r="CF102" s="49"/>
      <c r="CG102" s="49"/>
      <c r="CH102" s="49"/>
      <c r="CI102" s="49"/>
      <c r="CJ102" s="49"/>
      <c r="CK102" s="49"/>
      <c r="CL102" s="49"/>
      <c r="CM102" s="49"/>
      <c r="CN102" s="49"/>
    </row>
    <row r="103" spans="1:92">
      <c r="D103" s="295"/>
      <c r="E103" s="279"/>
      <c r="F103" s="279"/>
      <c r="G103" s="279"/>
      <c r="H103" s="279"/>
      <c r="I103" s="279"/>
      <c r="J103" s="279"/>
      <c r="K103" s="279"/>
      <c r="L103" s="279"/>
      <c r="M103" s="279"/>
      <c r="N103" s="279"/>
      <c r="O103" s="279"/>
      <c r="P103" s="279"/>
      <c r="Q103" s="530"/>
      <c r="R103" s="279"/>
      <c r="S103" s="279"/>
      <c r="T103" s="279"/>
      <c r="U103" s="279"/>
      <c r="V103" s="279"/>
      <c r="W103" s="279"/>
      <c r="X103" s="279"/>
      <c r="Y103" s="279"/>
      <c r="Z103" s="279"/>
      <c r="AA103" s="279"/>
      <c r="AB103" s="284"/>
      <c r="AC103" s="279"/>
      <c r="AD103" s="279"/>
      <c r="AE103" s="279"/>
      <c r="AF103" s="279"/>
      <c r="AG103" s="279"/>
      <c r="AH103" s="279"/>
      <c r="AI103" s="279"/>
      <c r="AJ103" s="279"/>
      <c r="AK103" s="279"/>
      <c r="AL103" s="279"/>
      <c r="AM103" s="279"/>
      <c r="AN103" s="279"/>
      <c r="AO103" s="49"/>
      <c r="AP103" s="49"/>
      <c r="AQ103" s="49"/>
      <c r="AR103" s="49"/>
      <c r="AS103" s="49"/>
      <c r="AT103" s="49"/>
      <c r="AU103" s="49"/>
      <c r="AV103" s="49"/>
      <c r="AW103" s="49"/>
      <c r="AX103" s="49"/>
      <c r="AY103" s="49"/>
      <c r="AZ103" s="49"/>
      <c r="BA103" s="49"/>
      <c r="BB103" s="49"/>
      <c r="BC103" s="49"/>
      <c r="BD103" s="49"/>
      <c r="BE103" s="49"/>
      <c r="BF103" s="49"/>
      <c r="BG103" s="49"/>
      <c r="BH103" s="49"/>
      <c r="BI103" s="49"/>
      <c r="BJ103" s="49"/>
      <c r="BK103" s="49"/>
      <c r="BL103" s="49"/>
      <c r="BM103" s="49"/>
      <c r="BN103" s="49"/>
      <c r="BO103" s="49"/>
      <c r="BP103" s="49"/>
      <c r="BQ103" s="49"/>
      <c r="BR103" s="49"/>
      <c r="BS103" s="49"/>
      <c r="BT103" s="49"/>
      <c r="BU103" s="49"/>
      <c r="BV103" s="49"/>
      <c r="BW103" s="49"/>
      <c r="BX103" s="49"/>
      <c r="BY103" s="49"/>
      <c r="BZ103" s="49"/>
      <c r="CA103" s="49"/>
      <c r="CB103" s="49"/>
      <c r="CC103" s="49"/>
      <c r="CD103" s="49"/>
      <c r="CE103" s="49"/>
      <c r="CF103" s="49"/>
      <c r="CG103" s="49"/>
      <c r="CH103" s="49"/>
      <c r="CI103" s="49"/>
      <c r="CJ103" s="49"/>
      <c r="CK103" s="49"/>
      <c r="CL103" s="49"/>
      <c r="CM103" s="49"/>
      <c r="CN103" s="49"/>
    </row>
    <row r="104" spans="1:92" s="574" customFormat="1" ht="18" customHeight="1">
      <c r="B104" s="1216" t="s">
        <v>292</v>
      </c>
      <c r="C104" s="1216"/>
      <c r="D104" s="575" t="s">
        <v>281</v>
      </c>
      <c r="E104" s="585">
        <f t="shared" ref="E104:AN104" si="276">E76+E84+E92+E100</f>
        <v>6072</v>
      </c>
      <c r="F104" s="585">
        <f t="shared" si="276"/>
        <v>8388</v>
      </c>
      <c r="G104" s="585">
        <f t="shared" si="276"/>
        <v>12430</v>
      </c>
      <c r="H104" s="585">
        <f t="shared" si="276"/>
        <v>11654</v>
      </c>
      <c r="I104" s="585">
        <f t="shared" si="276"/>
        <v>15370</v>
      </c>
      <c r="J104" s="585">
        <f t="shared" si="276"/>
        <v>17228</v>
      </c>
      <c r="K104" s="585">
        <f t="shared" si="276"/>
        <v>19422</v>
      </c>
      <c r="L104" s="585">
        <f t="shared" si="276"/>
        <v>22514</v>
      </c>
      <c r="M104" s="585">
        <f t="shared" si="276"/>
        <v>24018</v>
      </c>
      <c r="N104" s="585">
        <f t="shared" si="276"/>
        <v>25160</v>
      </c>
      <c r="O104" s="585">
        <f t="shared" si="276"/>
        <v>28666</v>
      </c>
      <c r="P104" s="585">
        <f t="shared" si="276"/>
        <v>32486</v>
      </c>
      <c r="Q104" s="586">
        <f t="shared" si="276"/>
        <v>55394</v>
      </c>
      <c r="R104" s="585">
        <f t="shared" si="276"/>
        <v>77304</v>
      </c>
      <c r="S104" s="585">
        <f t="shared" si="276"/>
        <v>108124</v>
      </c>
      <c r="T104" s="585">
        <f t="shared" si="276"/>
        <v>134502</v>
      </c>
      <c r="U104" s="585">
        <f t="shared" si="276"/>
        <v>143490</v>
      </c>
      <c r="V104" s="585">
        <f t="shared" si="276"/>
        <v>152702</v>
      </c>
      <c r="W104" s="585">
        <f t="shared" si="276"/>
        <v>159952</v>
      </c>
      <c r="X104" s="585">
        <f t="shared" si="276"/>
        <v>167472</v>
      </c>
      <c r="Y104" s="585">
        <f t="shared" si="276"/>
        <v>176578</v>
      </c>
      <c r="Z104" s="585">
        <f t="shared" si="276"/>
        <v>185280</v>
      </c>
      <c r="AA104" s="585">
        <f t="shared" si="276"/>
        <v>193750</v>
      </c>
      <c r="AB104" s="587">
        <f t="shared" si="276"/>
        <v>191834</v>
      </c>
      <c r="AC104" s="585">
        <f t="shared" si="276"/>
        <v>203682</v>
      </c>
      <c r="AD104" s="585">
        <f t="shared" si="276"/>
        <v>215410</v>
      </c>
      <c r="AE104" s="585">
        <f t="shared" si="276"/>
        <v>226768</v>
      </c>
      <c r="AF104" s="585">
        <f t="shared" si="276"/>
        <v>236338</v>
      </c>
      <c r="AG104" s="585">
        <f t="shared" si="276"/>
        <v>246540</v>
      </c>
      <c r="AH104" s="585">
        <f t="shared" si="276"/>
        <v>256222</v>
      </c>
      <c r="AI104" s="585">
        <f t="shared" si="276"/>
        <v>267590</v>
      </c>
      <c r="AJ104" s="585">
        <f t="shared" si="276"/>
        <v>272258</v>
      </c>
      <c r="AK104" s="585">
        <f t="shared" si="276"/>
        <v>277810</v>
      </c>
      <c r="AL104" s="585">
        <f t="shared" si="276"/>
        <v>282364</v>
      </c>
      <c r="AM104" s="585">
        <f t="shared" si="276"/>
        <v>286928</v>
      </c>
      <c r="AN104" s="585">
        <f t="shared" si="276"/>
        <v>298868</v>
      </c>
      <c r="AO104" s="48"/>
      <c r="AP104" s="48"/>
      <c r="AQ104" s="48"/>
      <c r="AR104" s="48"/>
      <c r="AS104" s="48"/>
      <c r="AT104" s="48"/>
      <c r="AU104" s="48"/>
      <c r="AV104" s="48"/>
      <c r="AW104" s="48"/>
      <c r="AX104" s="48"/>
      <c r="AY104" s="48"/>
      <c r="AZ104" s="48"/>
      <c r="BA104" s="48"/>
      <c r="BB104" s="48"/>
      <c r="BC104" s="48"/>
      <c r="BD104" s="48"/>
      <c r="BE104" s="48"/>
      <c r="BF104" s="48"/>
      <c r="BG104" s="48"/>
      <c r="BH104" s="48"/>
      <c r="BI104" s="48"/>
      <c r="BJ104" s="48"/>
      <c r="BK104" s="48"/>
      <c r="BL104" s="48"/>
      <c r="BM104" s="48"/>
      <c r="BN104" s="48"/>
      <c r="BO104" s="48"/>
      <c r="BP104" s="48"/>
      <c r="BQ104" s="48"/>
      <c r="BR104" s="48"/>
      <c r="BS104" s="48"/>
      <c r="BT104" s="48"/>
      <c r="BU104" s="48"/>
      <c r="BV104" s="48"/>
      <c r="BW104" s="48"/>
      <c r="BX104" s="48"/>
      <c r="BY104" s="48"/>
      <c r="BZ104" s="48"/>
      <c r="CA104" s="48"/>
      <c r="CB104" s="48"/>
      <c r="CC104" s="48"/>
      <c r="CD104" s="48"/>
      <c r="CE104" s="48"/>
      <c r="CF104" s="48"/>
      <c r="CG104" s="48"/>
      <c r="CH104" s="48"/>
      <c r="CI104" s="48"/>
      <c r="CJ104" s="48"/>
      <c r="CK104" s="48"/>
      <c r="CL104" s="576"/>
      <c r="CM104" s="576"/>
      <c r="CN104" s="576"/>
    </row>
    <row r="105" spans="1:92" s="574" customFormat="1">
      <c r="B105" s="1216"/>
      <c r="C105" s="1216"/>
      <c r="D105" s="575" t="s">
        <v>282</v>
      </c>
      <c r="E105" s="585">
        <f t="shared" ref="E105:AN105" si="277">E77+E85+E93+E101</f>
        <v>2294</v>
      </c>
      <c r="F105" s="585">
        <f t="shared" si="277"/>
        <v>3122.5</v>
      </c>
      <c r="G105" s="585">
        <f t="shared" si="277"/>
        <v>4601.5</v>
      </c>
      <c r="H105" s="585">
        <f t="shared" si="277"/>
        <v>4306.5</v>
      </c>
      <c r="I105" s="585">
        <f t="shared" si="277"/>
        <v>5681</v>
      </c>
      <c r="J105" s="585">
        <f t="shared" si="277"/>
        <v>6382</v>
      </c>
      <c r="K105" s="585">
        <f t="shared" si="277"/>
        <v>7191</v>
      </c>
      <c r="L105" s="585">
        <f t="shared" si="277"/>
        <v>8346</v>
      </c>
      <c r="M105" s="585">
        <f t="shared" si="277"/>
        <v>8904.5</v>
      </c>
      <c r="N105" s="585">
        <f t="shared" si="277"/>
        <v>9325</v>
      </c>
      <c r="O105" s="585">
        <f t="shared" si="277"/>
        <v>10637</v>
      </c>
      <c r="P105" s="585">
        <f t="shared" si="277"/>
        <v>12069.5</v>
      </c>
      <c r="Q105" s="586">
        <f t="shared" si="277"/>
        <v>20710</v>
      </c>
      <c r="R105" s="585">
        <f t="shared" si="277"/>
        <v>28975</v>
      </c>
      <c r="S105" s="585">
        <f t="shared" si="277"/>
        <v>40607.5</v>
      </c>
      <c r="T105" s="585">
        <f t="shared" si="277"/>
        <v>50561</v>
      </c>
      <c r="U105" s="585">
        <f t="shared" si="277"/>
        <v>53942.5</v>
      </c>
      <c r="V105" s="585">
        <f t="shared" si="277"/>
        <v>57405</v>
      </c>
      <c r="W105" s="585">
        <f t="shared" si="277"/>
        <v>60129</v>
      </c>
      <c r="X105" s="585">
        <f t="shared" si="277"/>
        <v>62964.5</v>
      </c>
      <c r="Y105" s="585">
        <f t="shared" si="277"/>
        <v>66375</v>
      </c>
      <c r="Z105" s="585">
        <f t="shared" si="277"/>
        <v>69611.5</v>
      </c>
      <c r="AA105" s="585">
        <f t="shared" si="277"/>
        <v>72791</v>
      </c>
      <c r="AB105" s="587">
        <f t="shared" si="277"/>
        <v>72069</v>
      </c>
      <c r="AC105" s="585">
        <f t="shared" si="277"/>
        <v>76535</v>
      </c>
      <c r="AD105" s="585">
        <f t="shared" si="277"/>
        <v>80957.5</v>
      </c>
      <c r="AE105" s="585">
        <f t="shared" si="277"/>
        <v>85239</v>
      </c>
      <c r="AF105" s="585">
        <f t="shared" si="277"/>
        <v>88845</v>
      </c>
      <c r="AG105" s="585">
        <f t="shared" si="277"/>
        <v>92680</v>
      </c>
      <c r="AH105" s="585">
        <f t="shared" si="277"/>
        <v>96326.5</v>
      </c>
      <c r="AI105" s="585">
        <f t="shared" si="277"/>
        <v>100591</v>
      </c>
      <c r="AJ105" s="585">
        <f t="shared" si="277"/>
        <v>102351.5</v>
      </c>
      <c r="AK105" s="585">
        <f t="shared" si="277"/>
        <v>104431.5</v>
      </c>
      <c r="AL105" s="585">
        <f t="shared" si="277"/>
        <v>106151</v>
      </c>
      <c r="AM105" s="585">
        <f t="shared" si="277"/>
        <v>107874</v>
      </c>
      <c r="AN105" s="585">
        <f t="shared" si="277"/>
        <v>112374</v>
      </c>
      <c r="AO105" s="48"/>
      <c r="AP105" s="48"/>
      <c r="AQ105" s="48"/>
      <c r="AR105" s="48"/>
      <c r="AS105" s="48"/>
      <c r="AT105" s="48"/>
      <c r="AU105" s="48"/>
      <c r="AV105" s="48"/>
      <c r="AW105" s="48"/>
      <c r="AX105" s="48"/>
      <c r="AY105" s="48"/>
      <c r="AZ105" s="48"/>
      <c r="BA105" s="48"/>
      <c r="BB105" s="48"/>
      <c r="BC105" s="48"/>
      <c r="BD105" s="48"/>
      <c r="BE105" s="48"/>
      <c r="BF105" s="48"/>
      <c r="BG105" s="48"/>
      <c r="BH105" s="48"/>
      <c r="BI105" s="48"/>
      <c r="BJ105" s="48"/>
      <c r="BK105" s="48"/>
      <c r="BL105" s="48"/>
      <c r="BM105" s="48"/>
      <c r="BN105" s="48"/>
      <c r="BO105" s="48"/>
      <c r="BP105" s="48"/>
      <c r="BQ105" s="48"/>
      <c r="BR105" s="48"/>
      <c r="BS105" s="48"/>
      <c r="BT105" s="48"/>
      <c r="BU105" s="48"/>
      <c r="BV105" s="48"/>
      <c r="BW105" s="48"/>
      <c r="BX105" s="48"/>
      <c r="BY105" s="48"/>
      <c r="BZ105" s="48"/>
      <c r="CA105" s="48"/>
      <c r="CB105" s="48"/>
      <c r="CC105" s="48"/>
      <c r="CD105" s="48"/>
      <c r="CE105" s="48"/>
      <c r="CF105" s="48"/>
      <c r="CG105" s="48"/>
      <c r="CH105" s="48"/>
      <c r="CI105" s="48"/>
      <c r="CJ105" s="48"/>
      <c r="CK105" s="48"/>
      <c r="CL105" s="576"/>
      <c r="CM105" s="576"/>
      <c r="CN105" s="576"/>
    </row>
    <row r="106" spans="1:92" s="879" customFormat="1">
      <c r="A106" s="874"/>
      <c r="B106" s="874"/>
      <c r="C106" s="874"/>
      <c r="D106" s="781" t="s">
        <v>287</v>
      </c>
      <c r="E106" s="875">
        <f>E105/E104</f>
        <v>0.37779973649538867</v>
      </c>
      <c r="F106" s="875">
        <f t="shared" ref="F106:AN106" si="278">F105/F104</f>
        <v>0.37225798760133522</v>
      </c>
      <c r="G106" s="875">
        <f t="shared" si="278"/>
        <v>0.37019308125502814</v>
      </c>
      <c r="H106" s="875">
        <f t="shared" si="278"/>
        <v>0.36952977518448599</v>
      </c>
      <c r="I106" s="875">
        <f t="shared" si="278"/>
        <v>0.36961613532856213</v>
      </c>
      <c r="J106" s="875">
        <f t="shared" si="278"/>
        <v>0.37044346412816348</v>
      </c>
      <c r="K106" s="875">
        <f t="shared" si="278"/>
        <v>0.37025023169601484</v>
      </c>
      <c r="L106" s="875">
        <f t="shared" si="278"/>
        <v>0.37070267389180067</v>
      </c>
      <c r="M106" s="875">
        <f t="shared" si="278"/>
        <v>0.37074277625114499</v>
      </c>
      <c r="N106" s="875">
        <f t="shared" si="278"/>
        <v>0.37062798092209859</v>
      </c>
      <c r="O106" s="875">
        <f t="shared" si="278"/>
        <v>0.37106676899462776</v>
      </c>
      <c r="P106" s="876">
        <f t="shared" si="278"/>
        <v>0.37152927414886411</v>
      </c>
      <c r="Q106" s="877">
        <f t="shared" si="278"/>
        <v>0.3738672058345669</v>
      </c>
      <c r="R106" s="875">
        <f t="shared" si="278"/>
        <v>0.37481889682293285</v>
      </c>
      <c r="S106" s="875">
        <f t="shared" si="278"/>
        <v>0.37556416706744111</v>
      </c>
      <c r="T106" s="875">
        <f t="shared" si="278"/>
        <v>0.37591262583456009</v>
      </c>
      <c r="U106" s="875">
        <f t="shared" si="278"/>
        <v>0.37593212070527565</v>
      </c>
      <c r="V106" s="875">
        <f t="shared" si="278"/>
        <v>0.37592827860800776</v>
      </c>
      <c r="W106" s="875">
        <f t="shared" si="278"/>
        <v>0.3759190257077123</v>
      </c>
      <c r="X106" s="875">
        <f t="shared" si="278"/>
        <v>0.37597031145504922</v>
      </c>
      <c r="Y106" s="875">
        <f t="shared" si="278"/>
        <v>0.37589620451018813</v>
      </c>
      <c r="Z106" s="875">
        <f t="shared" si="278"/>
        <v>0.37570973661485318</v>
      </c>
      <c r="AA106" s="875">
        <f t="shared" si="278"/>
        <v>0.37569548387096774</v>
      </c>
      <c r="AB106" s="878">
        <f t="shared" si="278"/>
        <v>0.37568418528519448</v>
      </c>
      <c r="AC106" s="875">
        <f t="shared" si="278"/>
        <v>0.37575730796044815</v>
      </c>
      <c r="AD106" s="875">
        <f t="shared" si="278"/>
        <v>0.37582981291490647</v>
      </c>
      <c r="AE106" s="875">
        <f t="shared" si="278"/>
        <v>0.3758863684470472</v>
      </c>
      <c r="AF106" s="875">
        <f t="shared" si="278"/>
        <v>0.37592346554510914</v>
      </c>
      <c r="AG106" s="875">
        <f t="shared" si="278"/>
        <v>0.37592277115275413</v>
      </c>
      <c r="AH106" s="875">
        <f t="shared" si="278"/>
        <v>0.37594937202894363</v>
      </c>
      <c r="AI106" s="875">
        <f t="shared" si="278"/>
        <v>0.3759146455398184</v>
      </c>
      <c r="AJ106" s="875">
        <f t="shared" si="278"/>
        <v>0.37593569334969035</v>
      </c>
      <c r="AK106" s="875">
        <f t="shared" si="278"/>
        <v>0.37590979446384221</v>
      </c>
      <c r="AL106" s="875">
        <f t="shared" si="278"/>
        <v>0.37593673414457934</v>
      </c>
      <c r="AM106" s="875">
        <f t="shared" si="278"/>
        <v>0.37596191379021915</v>
      </c>
      <c r="AN106" s="875">
        <f t="shared" si="278"/>
        <v>0.37599876868717963</v>
      </c>
      <c r="AO106" s="882"/>
      <c r="AP106" s="882"/>
      <c r="AQ106" s="882"/>
      <c r="AR106" s="882"/>
      <c r="AS106" s="882"/>
      <c r="AT106" s="882"/>
      <c r="AU106" s="882"/>
      <c r="AV106" s="882"/>
      <c r="AW106" s="882"/>
      <c r="AX106" s="882"/>
      <c r="AY106" s="882"/>
      <c r="AZ106" s="882"/>
      <c r="BA106" s="882"/>
      <c r="BB106" s="882"/>
      <c r="BC106" s="882"/>
      <c r="BD106" s="882"/>
      <c r="BE106" s="882"/>
      <c r="BF106" s="882"/>
      <c r="BG106" s="882"/>
      <c r="BH106" s="882"/>
      <c r="BI106" s="882"/>
      <c r="BJ106" s="882"/>
      <c r="BK106" s="882"/>
      <c r="BL106" s="882"/>
      <c r="BM106" s="882"/>
      <c r="BN106" s="882"/>
      <c r="BO106" s="882"/>
      <c r="BP106" s="882"/>
      <c r="BQ106" s="882"/>
      <c r="BR106" s="882"/>
      <c r="BS106" s="882"/>
      <c r="BT106" s="882"/>
      <c r="BU106" s="882"/>
      <c r="BV106" s="882"/>
      <c r="BW106" s="882"/>
      <c r="BX106" s="882"/>
      <c r="BY106" s="882"/>
      <c r="BZ106" s="882"/>
      <c r="CA106" s="882"/>
      <c r="CB106" s="882"/>
      <c r="CC106" s="882"/>
      <c r="CD106" s="882"/>
      <c r="CE106" s="882"/>
      <c r="CF106" s="882"/>
      <c r="CG106" s="882"/>
      <c r="CH106" s="882"/>
      <c r="CI106" s="882"/>
      <c r="CJ106" s="882"/>
      <c r="CK106" s="882"/>
    </row>
    <row r="107" spans="1:92">
      <c r="D107" s="295"/>
      <c r="E107" s="278"/>
      <c r="F107" s="53"/>
      <c r="G107" s="53"/>
      <c r="H107" s="53"/>
      <c r="I107" s="53"/>
      <c r="J107" s="53"/>
      <c r="K107" s="53"/>
      <c r="L107" s="53"/>
      <c r="M107" s="53"/>
      <c r="N107" s="53"/>
      <c r="O107" s="53"/>
      <c r="P107" s="520"/>
      <c r="Q107" s="529"/>
      <c r="R107" s="53"/>
      <c r="S107" s="53"/>
      <c r="T107" s="53"/>
      <c r="U107" s="53"/>
      <c r="V107" s="53"/>
      <c r="W107" s="53"/>
      <c r="X107" s="53"/>
      <c r="Y107" s="53"/>
      <c r="Z107" s="53"/>
      <c r="AA107" s="53"/>
      <c r="AB107" s="54"/>
      <c r="AC107" s="53"/>
      <c r="AD107" s="53"/>
      <c r="AE107" s="53"/>
      <c r="AF107" s="53"/>
      <c r="AG107" s="53"/>
      <c r="AH107" s="53"/>
      <c r="AI107" s="53"/>
      <c r="AJ107" s="53"/>
      <c r="AK107" s="53"/>
      <c r="AL107" s="53"/>
      <c r="AM107" s="53"/>
      <c r="AN107" s="53"/>
      <c r="AO107" s="49"/>
      <c r="AP107" s="49"/>
      <c r="AQ107" s="49"/>
      <c r="AR107" s="49"/>
      <c r="AS107" s="49"/>
      <c r="AT107" s="49"/>
      <c r="AU107" s="49"/>
      <c r="AV107" s="49"/>
      <c r="AW107" s="49"/>
      <c r="AX107" s="49"/>
      <c r="AY107" s="49"/>
      <c r="AZ107" s="49"/>
      <c r="BA107" s="49"/>
      <c r="BB107" s="49"/>
      <c r="BC107" s="49"/>
      <c r="BD107" s="49"/>
      <c r="BE107" s="49"/>
      <c r="BF107" s="49"/>
      <c r="BG107" s="49"/>
      <c r="BH107" s="49"/>
      <c r="BI107" s="49"/>
      <c r="BJ107" s="49"/>
      <c r="BK107" s="49"/>
      <c r="BL107" s="49"/>
      <c r="BM107" s="49"/>
      <c r="BN107" s="49"/>
      <c r="BO107" s="49"/>
      <c r="BP107" s="49"/>
      <c r="BQ107" s="49"/>
      <c r="BR107" s="49"/>
      <c r="BS107" s="49"/>
      <c r="BT107" s="49"/>
      <c r="BU107" s="49"/>
      <c r="BV107" s="49"/>
      <c r="BW107" s="49"/>
      <c r="BX107" s="49"/>
      <c r="BY107" s="49"/>
      <c r="BZ107" s="49"/>
      <c r="CA107" s="49"/>
      <c r="CB107" s="49"/>
      <c r="CC107" s="49"/>
      <c r="CD107" s="49"/>
      <c r="CE107" s="49"/>
      <c r="CF107" s="49"/>
      <c r="CG107" s="49"/>
      <c r="CH107" s="49"/>
      <c r="CI107" s="49"/>
      <c r="CJ107" s="49"/>
      <c r="CK107" s="49"/>
      <c r="CL107" s="49"/>
      <c r="CM107" s="49"/>
      <c r="CN107" s="49"/>
    </row>
    <row r="108" spans="1:92">
      <c r="D108" s="295"/>
      <c r="E108" s="278"/>
      <c r="F108" s="53"/>
      <c r="G108" s="53"/>
      <c r="H108" s="53"/>
      <c r="I108" s="53"/>
      <c r="J108" s="53"/>
      <c r="K108" s="53"/>
      <c r="L108" s="53"/>
      <c r="M108" s="53"/>
      <c r="N108" s="53"/>
      <c r="O108" s="53"/>
      <c r="P108" s="520"/>
      <c r="Q108" s="529"/>
      <c r="R108" s="53"/>
      <c r="S108" s="53"/>
      <c r="T108" s="53"/>
      <c r="U108" s="53"/>
      <c r="V108" s="53"/>
      <c r="W108" s="53"/>
      <c r="X108" s="53"/>
      <c r="Y108" s="53"/>
      <c r="Z108" s="53"/>
      <c r="AA108" s="53"/>
      <c r="AB108" s="54"/>
      <c r="AC108" s="53"/>
      <c r="AD108" s="53"/>
      <c r="AE108" s="53"/>
      <c r="AF108" s="53"/>
      <c r="AG108" s="53"/>
      <c r="AH108" s="53"/>
      <c r="AI108" s="53"/>
      <c r="AJ108" s="53"/>
      <c r="AK108" s="53"/>
      <c r="AL108" s="53"/>
      <c r="AM108" s="53"/>
      <c r="AN108" s="53"/>
      <c r="AO108" s="49"/>
      <c r="AP108" s="49"/>
      <c r="AQ108" s="49"/>
      <c r="AR108" s="49"/>
      <c r="AS108" s="49"/>
      <c r="AT108" s="49"/>
      <c r="AU108" s="49"/>
      <c r="AV108" s="49"/>
      <c r="AW108" s="49"/>
      <c r="AX108" s="49"/>
      <c r="AY108" s="49"/>
      <c r="AZ108" s="49"/>
      <c r="BA108" s="49"/>
      <c r="BB108" s="49"/>
      <c r="BC108" s="49"/>
      <c r="BD108" s="49"/>
      <c r="BE108" s="49"/>
      <c r="BF108" s="49"/>
      <c r="BG108" s="49"/>
      <c r="BH108" s="49"/>
      <c r="BI108" s="49"/>
      <c r="BJ108" s="49"/>
      <c r="BK108" s="49"/>
      <c r="BL108" s="49"/>
      <c r="BM108" s="49"/>
      <c r="BN108" s="49"/>
      <c r="BO108" s="49"/>
      <c r="BP108" s="49"/>
      <c r="BQ108" s="49"/>
      <c r="BR108" s="49"/>
      <c r="BS108" s="49"/>
      <c r="BT108" s="49"/>
      <c r="BU108" s="49"/>
      <c r="BV108" s="49"/>
      <c r="BW108" s="49"/>
      <c r="BX108" s="49"/>
      <c r="BY108" s="49"/>
      <c r="BZ108" s="49"/>
      <c r="CA108" s="49"/>
      <c r="CB108" s="49"/>
      <c r="CC108" s="49"/>
      <c r="CD108" s="49"/>
      <c r="CE108" s="49"/>
      <c r="CF108" s="49"/>
      <c r="CG108" s="49"/>
      <c r="CH108" s="49"/>
      <c r="CI108" s="49"/>
      <c r="CJ108" s="49"/>
      <c r="CK108" s="49"/>
      <c r="CL108" s="49"/>
      <c r="CM108" s="49"/>
      <c r="CN108" s="49"/>
    </row>
    <row r="109" spans="1:92">
      <c r="D109" s="295"/>
      <c r="E109" s="278"/>
      <c r="F109" s="53"/>
      <c r="G109" s="53"/>
      <c r="H109" s="53"/>
      <c r="I109" s="53"/>
      <c r="J109" s="53"/>
      <c r="K109" s="53"/>
      <c r="L109" s="53"/>
      <c r="M109" s="53"/>
      <c r="N109" s="53"/>
      <c r="O109" s="53"/>
      <c r="P109" s="520"/>
      <c r="Q109" s="529"/>
      <c r="R109" s="53"/>
      <c r="S109" s="53"/>
      <c r="T109" s="53"/>
      <c r="U109" s="53"/>
      <c r="V109" s="53"/>
      <c r="W109" s="53"/>
      <c r="X109" s="53"/>
      <c r="Y109" s="53"/>
      <c r="Z109" s="53"/>
      <c r="AA109" s="53"/>
      <c r="AB109" s="54"/>
      <c r="AC109" s="53"/>
      <c r="AD109" s="53"/>
      <c r="AE109" s="53"/>
      <c r="AF109" s="53"/>
      <c r="AG109" s="53"/>
      <c r="AH109" s="53"/>
      <c r="AI109" s="53"/>
      <c r="AJ109" s="53"/>
      <c r="AK109" s="53"/>
      <c r="AL109" s="53"/>
      <c r="AM109" s="53"/>
      <c r="AN109" s="53"/>
      <c r="AO109" s="49"/>
      <c r="AP109" s="49"/>
      <c r="AQ109" s="49"/>
      <c r="AR109" s="49"/>
      <c r="AS109" s="49"/>
      <c r="AT109" s="49"/>
      <c r="AU109" s="49"/>
      <c r="AV109" s="49"/>
      <c r="AW109" s="49"/>
      <c r="AX109" s="49"/>
      <c r="AY109" s="49"/>
      <c r="AZ109" s="49"/>
      <c r="BA109" s="49"/>
      <c r="BB109" s="49"/>
      <c r="BC109" s="49"/>
      <c r="BD109" s="49"/>
      <c r="BE109" s="49"/>
      <c r="BF109" s="49"/>
      <c r="BG109" s="49"/>
      <c r="BH109" s="49"/>
      <c r="BI109" s="49"/>
      <c r="BJ109" s="49"/>
      <c r="BK109" s="49"/>
      <c r="BL109" s="49"/>
      <c r="BM109" s="49"/>
      <c r="BN109" s="49"/>
      <c r="BO109" s="49"/>
      <c r="BP109" s="49"/>
      <c r="BQ109" s="49"/>
      <c r="BR109" s="49"/>
      <c r="BS109" s="49"/>
      <c r="BT109" s="49"/>
      <c r="BU109" s="49"/>
      <c r="BV109" s="49"/>
      <c r="BW109" s="49"/>
      <c r="BX109" s="49"/>
      <c r="BY109" s="49"/>
      <c r="BZ109" s="49"/>
      <c r="CA109" s="49"/>
      <c r="CB109" s="49"/>
      <c r="CC109" s="49"/>
      <c r="CD109" s="49"/>
      <c r="CE109" s="49"/>
      <c r="CF109" s="49"/>
      <c r="CG109" s="49"/>
      <c r="CH109" s="49"/>
      <c r="CI109" s="49"/>
      <c r="CJ109" s="49"/>
      <c r="CK109" s="49"/>
      <c r="CL109" s="49"/>
      <c r="CM109" s="49"/>
      <c r="CN109" s="49"/>
    </row>
    <row r="110" spans="1:92">
      <c r="D110" s="295"/>
      <c r="E110" s="278"/>
      <c r="F110" s="53"/>
      <c r="G110" s="53"/>
      <c r="H110" s="53"/>
      <c r="I110" s="53"/>
      <c r="J110" s="53"/>
      <c r="K110" s="53"/>
      <c r="L110" s="53"/>
      <c r="M110" s="53"/>
      <c r="N110" s="53"/>
      <c r="O110" s="53"/>
      <c r="P110" s="520"/>
      <c r="Q110" s="529"/>
      <c r="R110" s="53"/>
      <c r="S110" s="53"/>
      <c r="T110" s="53"/>
      <c r="U110" s="53"/>
      <c r="V110" s="53"/>
      <c r="W110" s="53"/>
      <c r="X110" s="53"/>
      <c r="Y110" s="53"/>
      <c r="Z110" s="53"/>
      <c r="AA110" s="53"/>
      <c r="AB110" s="54"/>
      <c r="AC110" s="53"/>
      <c r="AD110" s="53"/>
      <c r="AE110" s="53"/>
      <c r="AF110" s="53"/>
      <c r="AG110" s="53"/>
      <c r="AH110" s="53"/>
      <c r="AI110" s="53"/>
      <c r="AJ110" s="53"/>
      <c r="AK110" s="53"/>
      <c r="AL110" s="53"/>
      <c r="AM110" s="53"/>
      <c r="AN110" s="53"/>
      <c r="AO110" s="49"/>
      <c r="AP110" s="49"/>
      <c r="AQ110" s="49"/>
      <c r="AR110" s="49"/>
      <c r="AS110" s="49"/>
      <c r="AT110" s="49"/>
      <c r="AU110" s="49"/>
      <c r="AV110" s="49"/>
      <c r="AW110" s="49"/>
      <c r="AX110" s="49"/>
      <c r="AY110" s="49"/>
      <c r="AZ110" s="49"/>
      <c r="BA110" s="49"/>
      <c r="BB110" s="49"/>
      <c r="BC110" s="49"/>
      <c r="BD110" s="49"/>
      <c r="BE110" s="49"/>
      <c r="BF110" s="49"/>
      <c r="BG110" s="49"/>
      <c r="BH110" s="49"/>
      <c r="BI110" s="49"/>
      <c r="BJ110" s="49"/>
      <c r="BK110" s="49"/>
      <c r="BL110" s="49"/>
      <c r="BM110" s="49"/>
      <c r="BN110" s="49"/>
      <c r="BO110" s="49"/>
      <c r="BP110" s="49"/>
      <c r="BQ110" s="49"/>
      <c r="BR110" s="49"/>
      <c r="BS110" s="49"/>
      <c r="BT110" s="49"/>
      <c r="BU110" s="49"/>
      <c r="BV110" s="49"/>
      <c r="BW110" s="49"/>
      <c r="BX110" s="49"/>
      <c r="BY110" s="49"/>
      <c r="BZ110" s="49"/>
      <c r="CA110" s="49"/>
      <c r="CB110" s="49"/>
      <c r="CC110" s="49"/>
      <c r="CD110" s="49"/>
      <c r="CE110" s="49"/>
      <c r="CF110" s="49"/>
      <c r="CG110" s="49"/>
      <c r="CH110" s="49"/>
      <c r="CI110" s="49"/>
      <c r="CJ110" s="49"/>
      <c r="CK110" s="49"/>
      <c r="CL110" s="49"/>
      <c r="CM110" s="49"/>
      <c r="CN110" s="49"/>
    </row>
    <row r="111" spans="1:92" s="574" customFormat="1" ht="25.8">
      <c r="B111" s="883" t="s">
        <v>237</v>
      </c>
      <c r="C111" s="781"/>
      <c r="D111" s="575" t="s">
        <v>285</v>
      </c>
      <c r="E111" s="588">
        <f>E64+E104</f>
        <v>25772</v>
      </c>
      <c r="F111" s="588">
        <f t="shared" ref="F111:AN111" si="279">F64+F104</f>
        <v>29558</v>
      </c>
      <c r="G111" s="588">
        <f t="shared" si="279"/>
        <v>36270</v>
      </c>
      <c r="H111" s="588">
        <f t="shared" si="279"/>
        <v>38164</v>
      </c>
      <c r="I111" s="588">
        <f t="shared" si="279"/>
        <v>44750</v>
      </c>
      <c r="J111" s="588">
        <f t="shared" si="279"/>
        <v>49478</v>
      </c>
      <c r="K111" s="588">
        <f t="shared" si="279"/>
        <v>55242</v>
      </c>
      <c r="L111" s="588">
        <f t="shared" si="279"/>
        <v>56729.5</v>
      </c>
      <c r="M111" s="588">
        <f t="shared" si="279"/>
        <v>59838</v>
      </c>
      <c r="N111" s="588">
        <f t="shared" si="279"/>
        <v>64550</v>
      </c>
      <c r="O111" s="588">
        <f t="shared" si="279"/>
        <v>70110.600000000006</v>
      </c>
      <c r="P111" s="588">
        <f t="shared" si="279"/>
        <v>76762</v>
      </c>
      <c r="Q111" s="589">
        <f t="shared" si="279"/>
        <v>103556.8</v>
      </c>
      <c r="R111" s="588">
        <f t="shared" si="279"/>
        <v>130173.9</v>
      </c>
      <c r="S111" s="588">
        <f t="shared" si="279"/>
        <v>166319</v>
      </c>
      <c r="T111" s="588">
        <f t="shared" si="279"/>
        <v>198640.1</v>
      </c>
      <c r="U111" s="588">
        <f t="shared" si="279"/>
        <v>214395.2</v>
      </c>
      <c r="V111" s="588">
        <f t="shared" si="279"/>
        <v>231713.3</v>
      </c>
      <c r="W111" s="588">
        <f t="shared" si="279"/>
        <v>248305.4</v>
      </c>
      <c r="X111" s="588">
        <f t="shared" si="279"/>
        <v>249238.39999999999</v>
      </c>
      <c r="Y111" s="588">
        <f t="shared" si="279"/>
        <v>277291.40000000002</v>
      </c>
      <c r="Z111" s="588">
        <f t="shared" si="279"/>
        <v>298631.5</v>
      </c>
      <c r="AA111" s="588">
        <f t="shared" si="279"/>
        <v>321593.59999999998</v>
      </c>
      <c r="AB111" s="590">
        <f t="shared" si="279"/>
        <v>319906.3</v>
      </c>
      <c r="AC111" s="588">
        <f t="shared" si="279"/>
        <v>371883.06000000006</v>
      </c>
      <c r="AD111" s="588">
        <f t="shared" si="279"/>
        <v>408846.47200000001</v>
      </c>
      <c r="AE111" s="588">
        <f t="shared" si="279"/>
        <v>470213.03200000001</v>
      </c>
      <c r="AF111" s="588">
        <f t="shared" si="279"/>
        <v>491213.56000000006</v>
      </c>
      <c r="AG111" s="588">
        <f t="shared" si="279"/>
        <v>541685.05800000008</v>
      </c>
      <c r="AH111" s="588">
        <f t="shared" si="279"/>
        <v>620685.64599999995</v>
      </c>
      <c r="AI111" s="588">
        <f t="shared" si="279"/>
        <v>676897.45640000002</v>
      </c>
      <c r="AJ111" s="588">
        <f t="shared" si="279"/>
        <v>703046.02399999998</v>
      </c>
      <c r="AK111" s="588">
        <f t="shared" si="279"/>
        <v>723274.90599999996</v>
      </c>
      <c r="AL111" s="588">
        <f t="shared" si="279"/>
        <v>796548.652</v>
      </c>
      <c r="AM111" s="588">
        <f t="shared" si="279"/>
        <v>848725.21363999997</v>
      </c>
      <c r="AN111" s="588">
        <f t="shared" si="279"/>
        <v>900255.60379999992</v>
      </c>
      <c r="AO111" s="48"/>
      <c r="AP111" s="48"/>
      <c r="AQ111" s="48"/>
      <c r="AR111" s="48"/>
      <c r="AS111" s="48"/>
      <c r="AT111" s="48"/>
      <c r="AU111" s="48"/>
      <c r="AV111" s="48"/>
      <c r="AW111" s="48"/>
      <c r="AX111" s="48"/>
      <c r="AY111" s="48"/>
      <c r="AZ111" s="48"/>
      <c r="BA111" s="48"/>
      <c r="BB111" s="48"/>
      <c r="BC111" s="48"/>
      <c r="BD111" s="48"/>
      <c r="BE111" s="48"/>
      <c r="BF111" s="48"/>
      <c r="BG111" s="48"/>
      <c r="BH111" s="48"/>
      <c r="BI111" s="48"/>
      <c r="BJ111" s="48"/>
      <c r="BK111" s="48"/>
      <c r="BL111" s="48"/>
      <c r="BM111" s="48"/>
      <c r="BN111" s="48"/>
      <c r="BO111" s="48"/>
      <c r="BP111" s="48"/>
      <c r="BQ111" s="48"/>
      <c r="BR111" s="48"/>
      <c r="BS111" s="48"/>
      <c r="BT111" s="48"/>
      <c r="BU111" s="48"/>
      <c r="BV111" s="48"/>
      <c r="BW111" s="48"/>
      <c r="BX111" s="48"/>
      <c r="BY111" s="48"/>
      <c r="BZ111" s="48"/>
      <c r="CA111" s="48"/>
      <c r="CB111" s="48"/>
      <c r="CC111" s="48"/>
      <c r="CD111" s="48"/>
      <c r="CE111" s="48"/>
      <c r="CF111" s="48"/>
      <c r="CG111" s="48"/>
      <c r="CH111" s="48"/>
      <c r="CI111" s="48"/>
      <c r="CJ111" s="48"/>
      <c r="CK111" s="48"/>
      <c r="CL111" s="576"/>
      <c r="CM111" s="576"/>
      <c r="CN111" s="576"/>
    </row>
    <row r="112" spans="1:92" s="574" customFormat="1">
      <c r="B112" s="782" t="s">
        <v>289</v>
      </c>
      <c r="C112" s="781"/>
      <c r="D112" s="575" t="s">
        <v>286</v>
      </c>
      <c r="E112" s="588">
        <f t="shared" ref="E112:AN112" si="280">E65+E105</f>
        <v>16798</v>
      </c>
      <c r="F112" s="588">
        <f t="shared" si="280"/>
        <v>18702</v>
      </c>
      <c r="G112" s="588">
        <f t="shared" si="280"/>
        <v>22158.199999999997</v>
      </c>
      <c r="H112" s="588">
        <f t="shared" si="280"/>
        <v>23840.400000000001</v>
      </c>
      <c r="I112" s="588">
        <f t="shared" si="280"/>
        <v>27344</v>
      </c>
      <c r="J112" s="588">
        <f t="shared" si="280"/>
        <v>30174.1</v>
      </c>
      <c r="K112" s="588">
        <f t="shared" si="280"/>
        <v>33639</v>
      </c>
      <c r="L112" s="588">
        <f t="shared" si="280"/>
        <v>33574.815000000002</v>
      </c>
      <c r="M112" s="588">
        <f t="shared" si="280"/>
        <v>35352.5</v>
      </c>
      <c r="N112" s="588">
        <f t="shared" si="280"/>
        <v>38428.899999999994</v>
      </c>
      <c r="O112" s="588">
        <f t="shared" si="280"/>
        <v>41117.531999999999</v>
      </c>
      <c r="P112" s="588">
        <f t="shared" si="280"/>
        <v>44580.794999999998</v>
      </c>
      <c r="Q112" s="589">
        <f t="shared" si="280"/>
        <v>56405.267999999996</v>
      </c>
      <c r="R112" s="588">
        <f t="shared" si="280"/>
        <v>68198.120999999999</v>
      </c>
      <c r="S112" s="588">
        <f t="shared" si="280"/>
        <v>83827.845000000001</v>
      </c>
      <c r="T112" s="588">
        <f t="shared" si="280"/>
        <v>98247.94</v>
      </c>
      <c r="U112" s="588">
        <f t="shared" si="280"/>
        <v>106721.863</v>
      </c>
      <c r="V112" s="588">
        <f t="shared" si="280"/>
        <v>116288.761</v>
      </c>
      <c r="W112" s="588">
        <f t="shared" si="280"/>
        <v>126055.901</v>
      </c>
      <c r="X112" s="588">
        <f t="shared" si="280"/>
        <v>123883.6093</v>
      </c>
      <c r="Y112" s="588">
        <f t="shared" si="280"/>
        <v>141689.321</v>
      </c>
      <c r="Z112" s="588">
        <f t="shared" si="280"/>
        <v>154472.27299999999</v>
      </c>
      <c r="AA112" s="588">
        <f t="shared" si="280"/>
        <v>168606.33799999999</v>
      </c>
      <c r="AB112" s="590">
        <f t="shared" si="280"/>
        <v>167708.57020000002</v>
      </c>
      <c r="AC112" s="588">
        <f t="shared" si="280"/>
        <v>196712.22234000001</v>
      </c>
      <c r="AD112" s="588">
        <f t="shared" si="280"/>
        <v>219006.92968</v>
      </c>
      <c r="AE112" s="588">
        <f t="shared" si="280"/>
        <v>259516.74623999998</v>
      </c>
      <c r="AF112" s="588">
        <f t="shared" si="280"/>
        <v>270140.82168000005</v>
      </c>
      <c r="AG112" s="588">
        <f t="shared" si="280"/>
        <v>302343.00873999996</v>
      </c>
      <c r="AH112" s="588">
        <f t="shared" si="280"/>
        <v>355910.85970000003</v>
      </c>
      <c r="AI112" s="588">
        <f t="shared" si="280"/>
        <v>393456.90638</v>
      </c>
      <c r="AJ112" s="588">
        <f t="shared" si="280"/>
        <v>410100.53933300002</v>
      </c>
      <c r="AK112" s="588">
        <f t="shared" si="280"/>
        <v>417895.50913999998</v>
      </c>
      <c r="AL112" s="588">
        <f t="shared" si="280"/>
        <v>467296.21328000003</v>
      </c>
      <c r="AM112" s="588">
        <f t="shared" si="280"/>
        <v>500846.42213760002</v>
      </c>
      <c r="AN112" s="588">
        <f t="shared" si="280"/>
        <v>531735.99901700008</v>
      </c>
      <c r="AO112" s="48"/>
      <c r="AP112" s="48"/>
      <c r="AQ112" s="48"/>
      <c r="AR112" s="48"/>
      <c r="AS112" s="48"/>
      <c r="AT112" s="48"/>
      <c r="AU112" s="48"/>
      <c r="AV112" s="48"/>
      <c r="AW112" s="48"/>
      <c r="AX112" s="48"/>
      <c r="AY112" s="48"/>
      <c r="AZ112" s="48"/>
      <c r="BA112" s="48"/>
      <c r="BB112" s="48"/>
      <c r="BC112" s="48"/>
      <c r="BD112" s="48"/>
      <c r="BE112" s="48"/>
      <c r="BF112" s="48"/>
      <c r="BG112" s="48"/>
      <c r="BH112" s="48"/>
      <c r="BI112" s="48"/>
      <c r="BJ112" s="48"/>
      <c r="BK112" s="48"/>
      <c r="BL112" s="48"/>
      <c r="BM112" s="48"/>
      <c r="BN112" s="48"/>
      <c r="BO112" s="48"/>
      <c r="BP112" s="48"/>
      <c r="BQ112" s="48"/>
      <c r="BR112" s="48"/>
      <c r="BS112" s="48"/>
      <c r="BT112" s="48"/>
      <c r="BU112" s="48"/>
      <c r="BV112" s="48"/>
      <c r="BW112" s="48"/>
      <c r="BX112" s="48"/>
      <c r="BY112" s="48"/>
      <c r="BZ112" s="48"/>
      <c r="CA112" s="48"/>
      <c r="CB112" s="48"/>
      <c r="CC112" s="48"/>
      <c r="CD112" s="48"/>
      <c r="CE112" s="48"/>
      <c r="CF112" s="48"/>
      <c r="CG112" s="48"/>
      <c r="CH112" s="48"/>
      <c r="CI112" s="48"/>
      <c r="CJ112" s="48"/>
      <c r="CK112" s="48"/>
      <c r="CL112" s="576"/>
      <c r="CM112" s="576"/>
      <c r="CN112" s="576"/>
    </row>
    <row r="113" spans="1:92" s="25" customFormat="1">
      <c r="A113" s="874"/>
      <c r="B113" s="874"/>
      <c r="C113" s="874"/>
      <c r="D113" s="781" t="s">
        <v>238</v>
      </c>
      <c r="E113" s="875">
        <f>E112/E111</f>
        <v>0.65179264317864349</v>
      </c>
      <c r="F113" s="875">
        <f t="shared" ref="F113:AN113" si="281">F112/F111</f>
        <v>0.6327221056905068</v>
      </c>
      <c r="G113" s="875">
        <f t="shared" si="281"/>
        <v>0.61092362834298308</v>
      </c>
      <c r="H113" s="875">
        <f t="shared" si="281"/>
        <v>0.62468294728015938</v>
      </c>
      <c r="I113" s="875">
        <f t="shared" si="281"/>
        <v>0.61103910614525137</v>
      </c>
      <c r="J113" s="875">
        <f t="shared" si="281"/>
        <v>0.60984882169853261</v>
      </c>
      <c r="K113" s="875">
        <f t="shared" si="281"/>
        <v>0.60893885087433475</v>
      </c>
      <c r="L113" s="875">
        <f t="shared" si="281"/>
        <v>0.59184048863466099</v>
      </c>
      <c r="M113" s="875">
        <f t="shared" si="281"/>
        <v>0.59080350279086868</v>
      </c>
      <c r="N113" s="875">
        <f t="shared" si="281"/>
        <v>0.59533539891556919</v>
      </c>
      <c r="O113" s="875">
        <f t="shared" si="281"/>
        <v>0.58646669690460496</v>
      </c>
      <c r="P113" s="876">
        <f t="shared" si="281"/>
        <v>0.58076645996717124</v>
      </c>
      <c r="Q113" s="877">
        <f t="shared" si="281"/>
        <v>0.54467951887273458</v>
      </c>
      <c r="R113" s="875">
        <f t="shared" si="281"/>
        <v>0.52390011361724587</v>
      </c>
      <c r="S113" s="875">
        <f t="shared" si="281"/>
        <v>0.50401845249189814</v>
      </c>
      <c r="T113" s="875">
        <f t="shared" si="281"/>
        <v>0.49460275140820004</v>
      </c>
      <c r="U113" s="875">
        <f t="shared" si="281"/>
        <v>0.49778102774688981</v>
      </c>
      <c r="V113" s="875">
        <f t="shared" si="281"/>
        <v>0.50186485195282271</v>
      </c>
      <c r="W113" s="875">
        <f t="shared" si="281"/>
        <v>0.5076647588010571</v>
      </c>
      <c r="X113" s="875">
        <f t="shared" si="281"/>
        <v>0.49704864619577077</v>
      </c>
      <c r="Y113" s="875">
        <f t="shared" si="281"/>
        <v>0.51097625458272411</v>
      </c>
      <c r="Z113" s="875">
        <f t="shared" si="281"/>
        <v>0.51726717710623293</v>
      </c>
      <c r="AA113" s="875">
        <f t="shared" si="281"/>
        <v>0.52428387256462816</v>
      </c>
      <c r="AB113" s="878">
        <f t="shared" si="281"/>
        <v>0.52424278671598534</v>
      </c>
      <c r="AC113" s="875">
        <f t="shared" si="281"/>
        <v>0.52896257855896955</v>
      </c>
      <c r="AD113" s="875">
        <f t="shared" si="281"/>
        <v>0.53567034248494139</v>
      </c>
      <c r="AE113" s="875">
        <f t="shared" si="281"/>
        <v>0.55191312996191044</v>
      </c>
      <c r="AF113" s="875">
        <f t="shared" si="281"/>
        <v>0.54994577446111226</v>
      </c>
      <c r="AG113" s="875">
        <f t="shared" si="281"/>
        <v>0.55815275735370184</v>
      </c>
      <c r="AH113" s="875">
        <f t="shared" si="281"/>
        <v>0.573415644446851</v>
      </c>
      <c r="AI113" s="875">
        <f t="shared" si="281"/>
        <v>0.58126515716657368</v>
      </c>
      <c r="AJ113" s="875">
        <f t="shared" si="281"/>
        <v>0.58331961967400303</v>
      </c>
      <c r="AK113" s="875">
        <f t="shared" si="281"/>
        <v>0.5777823973613706</v>
      </c>
      <c r="AL113" s="875">
        <f t="shared" si="281"/>
        <v>0.58665118835704211</v>
      </c>
      <c r="AM113" s="875">
        <f t="shared" si="281"/>
        <v>0.59011611071335723</v>
      </c>
      <c r="AN113" s="875">
        <f t="shared" si="281"/>
        <v>0.59065002958329837</v>
      </c>
      <c r="AO113" s="41"/>
      <c r="AP113" s="41"/>
      <c r="AQ113" s="41"/>
      <c r="AR113" s="41"/>
      <c r="AS113" s="41"/>
      <c r="AT113" s="41"/>
      <c r="AU113" s="41"/>
      <c r="AV113" s="41"/>
      <c r="AW113" s="41"/>
      <c r="AX113" s="41"/>
      <c r="AY113" s="41"/>
      <c r="AZ113" s="41"/>
      <c r="BA113" s="41"/>
      <c r="BB113" s="41"/>
      <c r="BC113" s="41"/>
      <c r="BD113" s="41"/>
      <c r="BE113" s="41"/>
      <c r="BF113" s="41"/>
      <c r="BG113" s="41"/>
      <c r="BH113" s="41"/>
      <c r="BI113" s="41"/>
      <c r="BJ113" s="41"/>
      <c r="BK113" s="41"/>
      <c r="BL113" s="41"/>
      <c r="BM113" s="41"/>
      <c r="BN113" s="41"/>
      <c r="BO113" s="41"/>
      <c r="BP113" s="41"/>
      <c r="BQ113" s="41"/>
      <c r="BR113" s="41"/>
      <c r="BS113" s="41"/>
      <c r="BT113" s="41"/>
      <c r="BU113" s="41"/>
      <c r="BV113" s="41"/>
      <c r="BW113" s="41"/>
      <c r="BX113" s="41"/>
      <c r="BY113" s="41"/>
      <c r="BZ113" s="41"/>
      <c r="CA113" s="41"/>
      <c r="CB113" s="41"/>
      <c r="CC113" s="41"/>
      <c r="CD113" s="41"/>
      <c r="CE113" s="41"/>
      <c r="CF113" s="41"/>
      <c r="CG113" s="41"/>
      <c r="CH113" s="41"/>
      <c r="CI113" s="41"/>
      <c r="CJ113" s="41"/>
      <c r="CK113" s="41"/>
    </row>
    <row r="114" spans="1:92">
      <c r="E114" s="278"/>
      <c r="F114" s="53"/>
      <c r="G114" s="53"/>
      <c r="H114" s="53"/>
      <c r="I114" s="53"/>
      <c r="J114" s="53"/>
      <c r="K114" s="53"/>
      <c r="L114" s="53"/>
      <c r="M114" s="53"/>
      <c r="N114" s="53"/>
      <c r="O114" s="53"/>
      <c r="P114" s="520"/>
      <c r="Q114" s="529"/>
      <c r="R114" s="53"/>
      <c r="S114" s="53"/>
      <c r="T114" s="53"/>
      <c r="U114" s="53"/>
      <c r="V114" s="53"/>
      <c r="W114" s="53"/>
      <c r="X114" s="53"/>
      <c r="Y114" s="53"/>
      <c r="Z114" s="53"/>
      <c r="AA114" s="53"/>
      <c r="AB114" s="54"/>
      <c r="AC114" s="53"/>
      <c r="AD114" s="53"/>
      <c r="AE114" s="53"/>
      <c r="AF114" s="53"/>
      <c r="AG114" s="53"/>
      <c r="AH114" s="53"/>
      <c r="AI114" s="53"/>
      <c r="AJ114" s="53"/>
      <c r="AK114" s="53"/>
      <c r="AL114" s="53"/>
      <c r="AM114" s="53"/>
      <c r="AN114" s="53"/>
      <c r="AO114" s="49"/>
      <c r="AP114" s="49"/>
      <c r="AQ114" s="49"/>
      <c r="AR114" s="49"/>
      <c r="AS114" s="49"/>
      <c r="AT114" s="49"/>
      <c r="AU114" s="49"/>
      <c r="AV114" s="49"/>
      <c r="AW114" s="49"/>
      <c r="AX114" s="49"/>
      <c r="AY114" s="49"/>
      <c r="AZ114" s="49"/>
      <c r="BA114" s="49"/>
      <c r="BB114" s="49"/>
      <c r="BC114" s="49"/>
      <c r="BD114" s="49"/>
      <c r="BE114" s="49"/>
      <c r="BF114" s="49"/>
      <c r="BG114" s="49"/>
      <c r="BH114" s="49"/>
      <c r="BI114" s="49"/>
      <c r="BJ114" s="49"/>
      <c r="BK114" s="49"/>
      <c r="BL114" s="49"/>
      <c r="BM114" s="49"/>
      <c r="BN114" s="49"/>
      <c r="BO114" s="49"/>
      <c r="BP114" s="49"/>
      <c r="BQ114" s="49"/>
      <c r="BR114" s="49"/>
      <c r="BS114" s="49"/>
      <c r="BT114" s="49"/>
      <c r="BU114" s="49"/>
      <c r="BV114" s="49"/>
      <c r="BW114" s="49"/>
      <c r="BX114" s="49"/>
      <c r="BY114" s="49"/>
      <c r="BZ114" s="49"/>
      <c r="CA114" s="49"/>
      <c r="CB114" s="49"/>
      <c r="CC114" s="49"/>
      <c r="CD114" s="49"/>
      <c r="CE114" s="49"/>
      <c r="CF114" s="49"/>
      <c r="CG114" s="49"/>
      <c r="CH114" s="49"/>
      <c r="CI114" s="49"/>
      <c r="CJ114" s="49"/>
      <c r="CK114" s="49"/>
      <c r="CL114" s="49"/>
      <c r="CM114" s="49"/>
      <c r="CN114" s="49"/>
    </row>
    <row r="115" spans="1:92">
      <c r="E115" s="278"/>
      <c r="F115" s="53"/>
      <c r="G115" s="53"/>
      <c r="H115" s="53"/>
      <c r="I115" s="53"/>
      <c r="J115" s="53"/>
      <c r="K115" s="53"/>
      <c r="L115" s="53"/>
      <c r="M115" s="53"/>
      <c r="N115" s="53"/>
      <c r="O115" s="53"/>
      <c r="P115" s="520"/>
      <c r="Q115" s="529"/>
      <c r="R115" s="53"/>
      <c r="S115" s="53"/>
      <c r="T115" s="53"/>
      <c r="U115" s="53"/>
      <c r="V115" s="53"/>
      <c r="W115" s="53"/>
      <c r="X115" s="53"/>
      <c r="Y115" s="53"/>
      <c r="Z115" s="53"/>
      <c r="AA115" s="53"/>
      <c r="AB115" s="54"/>
      <c r="AC115" s="53"/>
      <c r="AD115" s="53"/>
      <c r="AE115" s="53"/>
      <c r="AF115" s="53"/>
      <c r="AG115" s="53"/>
      <c r="AH115" s="53"/>
      <c r="AI115" s="53"/>
      <c r="AJ115" s="53"/>
      <c r="AK115" s="53"/>
      <c r="AL115" s="53"/>
      <c r="AM115" s="53"/>
      <c r="AN115" s="53"/>
      <c r="AO115" s="49"/>
      <c r="AP115" s="49"/>
      <c r="AQ115" s="49"/>
      <c r="AR115" s="49"/>
      <c r="AS115" s="49"/>
      <c r="AT115" s="49"/>
      <c r="AU115" s="49"/>
      <c r="AV115" s="49"/>
      <c r="AW115" s="49"/>
      <c r="AX115" s="49"/>
      <c r="AY115" s="49"/>
      <c r="AZ115" s="49"/>
      <c r="BA115" s="49"/>
      <c r="BB115" s="49"/>
      <c r="BC115" s="49"/>
      <c r="BD115" s="49"/>
      <c r="BE115" s="49"/>
      <c r="BF115" s="49"/>
      <c r="BG115" s="49"/>
      <c r="BH115" s="49"/>
      <c r="BI115" s="49"/>
      <c r="BJ115" s="49"/>
      <c r="BK115" s="49"/>
      <c r="BL115" s="49"/>
      <c r="BM115" s="49"/>
      <c r="BN115" s="49"/>
      <c r="BO115" s="49"/>
      <c r="BP115" s="49"/>
      <c r="BQ115" s="49"/>
      <c r="BR115" s="49"/>
      <c r="BS115" s="49"/>
      <c r="BT115" s="49"/>
      <c r="BU115" s="49"/>
      <c r="BV115" s="49"/>
      <c r="BW115" s="49"/>
      <c r="BX115" s="49"/>
      <c r="BY115" s="49"/>
      <c r="BZ115" s="49"/>
      <c r="CA115" s="49"/>
      <c r="CB115" s="49"/>
      <c r="CC115" s="49"/>
      <c r="CD115" s="49"/>
      <c r="CE115" s="49"/>
      <c r="CF115" s="49"/>
      <c r="CG115" s="49"/>
      <c r="CH115" s="49"/>
      <c r="CI115" s="49"/>
      <c r="CJ115" s="49"/>
      <c r="CK115" s="49"/>
      <c r="CL115" s="49"/>
      <c r="CM115" s="49"/>
      <c r="CN115" s="49"/>
    </row>
    <row r="116" spans="1:92">
      <c r="E116" s="278"/>
      <c r="F116" s="53"/>
      <c r="G116" s="53"/>
      <c r="H116" s="53"/>
      <c r="I116" s="53"/>
      <c r="J116" s="53"/>
      <c r="K116" s="53"/>
      <c r="L116" s="53"/>
      <c r="M116" s="53"/>
      <c r="N116" s="53"/>
      <c r="O116" s="53"/>
      <c r="P116" s="520"/>
      <c r="Q116" s="529"/>
      <c r="R116" s="53"/>
      <c r="S116" s="53"/>
      <c r="T116" s="53"/>
      <c r="U116" s="53"/>
      <c r="V116" s="53"/>
      <c r="W116" s="53"/>
      <c r="X116" s="53"/>
      <c r="Y116" s="53"/>
      <c r="Z116" s="53"/>
      <c r="AA116" s="53"/>
      <c r="AB116" s="54"/>
      <c r="AC116" s="53"/>
      <c r="AD116" s="53"/>
      <c r="AE116" s="53"/>
      <c r="AF116" s="53"/>
      <c r="AG116" s="53"/>
      <c r="AH116" s="53"/>
      <c r="AI116" s="53"/>
      <c r="AJ116" s="53"/>
      <c r="AK116" s="53"/>
      <c r="AL116" s="53"/>
      <c r="AM116" s="53"/>
      <c r="AN116" s="53"/>
      <c r="AO116" s="49"/>
      <c r="AP116" s="49"/>
      <c r="AQ116" s="49"/>
      <c r="AR116" s="49"/>
      <c r="AS116" s="49"/>
      <c r="AT116" s="49"/>
      <c r="AU116" s="49"/>
      <c r="AV116" s="49"/>
      <c r="AW116" s="49"/>
      <c r="AX116" s="49"/>
      <c r="AY116" s="49"/>
      <c r="AZ116" s="49"/>
      <c r="BA116" s="49"/>
      <c r="BB116" s="49"/>
      <c r="BC116" s="49"/>
      <c r="BD116" s="49"/>
      <c r="BE116" s="49"/>
      <c r="BF116" s="49"/>
      <c r="BG116" s="49"/>
      <c r="BH116" s="49"/>
      <c r="BI116" s="49"/>
      <c r="BJ116" s="49"/>
      <c r="BK116" s="49"/>
      <c r="BL116" s="49"/>
      <c r="BM116" s="49"/>
      <c r="BN116" s="49"/>
      <c r="BO116" s="49"/>
      <c r="BP116" s="49"/>
      <c r="BQ116" s="49"/>
      <c r="BR116" s="49"/>
      <c r="BS116" s="49"/>
      <c r="BT116" s="49"/>
      <c r="BU116" s="49"/>
      <c r="BV116" s="49"/>
      <c r="BW116" s="49"/>
      <c r="BX116" s="49"/>
      <c r="BY116" s="49"/>
      <c r="BZ116" s="49"/>
      <c r="CA116" s="49"/>
      <c r="CB116" s="49"/>
      <c r="CC116" s="49"/>
      <c r="CD116" s="49"/>
      <c r="CE116" s="49"/>
      <c r="CF116" s="49"/>
      <c r="CG116" s="49"/>
      <c r="CH116" s="49"/>
      <c r="CI116" s="49"/>
      <c r="CJ116" s="49"/>
      <c r="CK116" s="49"/>
      <c r="CL116" s="49"/>
      <c r="CM116" s="49"/>
      <c r="CN116" s="49"/>
    </row>
    <row r="117" spans="1:92">
      <c r="E117" s="278"/>
      <c r="F117" s="53"/>
      <c r="G117" s="53"/>
      <c r="H117" s="53"/>
      <c r="I117" s="53"/>
      <c r="J117" s="53"/>
      <c r="K117" s="53"/>
      <c r="L117" s="53"/>
      <c r="M117" s="53"/>
      <c r="N117" s="53"/>
      <c r="O117" s="53"/>
      <c r="P117" s="520"/>
      <c r="Q117" s="529"/>
      <c r="R117" s="53"/>
      <c r="S117" s="53"/>
      <c r="T117" s="53"/>
      <c r="U117" s="53"/>
      <c r="V117" s="53"/>
      <c r="W117" s="53"/>
      <c r="X117" s="53"/>
      <c r="Y117" s="53"/>
      <c r="Z117" s="53"/>
      <c r="AA117" s="53"/>
      <c r="AB117" s="54"/>
      <c r="AC117" s="53"/>
      <c r="AD117" s="53"/>
      <c r="AE117" s="53"/>
      <c r="AF117" s="53"/>
      <c r="AG117" s="53"/>
      <c r="AH117" s="53"/>
      <c r="AI117" s="53"/>
      <c r="AJ117" s="53"/>
      <c r="AK117" s="53"/>
      <c r="AL117" s="53"/>
      <c r="AM117" s="53"/>
      <c r="AN117" s="53"/>
      <c r="AO117" s="49"/>
      <c r="AP117" s="49"/>
      <c r="AQ117" s="49"/>
      <c r="AR117" s="49"/>
      <c r="AS117" s="49"/>
      <c r="AT117" s="49"/>
      <c r="AU117" s="49"/>
      <c r="AV117" s="49"/>
      <c r="AW117" s="49"/>
      <c r="AX117" s="49"/>
      <c r="AY117" s="49"/>
      <c r="AZ117" s="49"/>
      <c r="BA117" s="49"/>
      <c r="BB117" s="49"/>
      <c r="BC117" s="49"/>
      <c r="BD117" s="49"/>
      <c r="BE117" s="49"/>
      <c r="BF117" s="49"/>
      <c r="BG117" s="49"/>
      <c r="BH117" s="49"/>
      <c r="BI117" s="49"/>
      <c r="BJ117" s="49"/>
      <c r="BK117" s="49"/>
      <c r="BL117" s="49"/>
      <c r="BM117" s="49"/>
      <c r="BN117" s="49"/>
      <c r="BO117" s="49"/>
      <c r="BP117" s="49"/>
      <c r="BQ117" s="49"/>
      <c r="BR117" s="49"/>
      <c r="BS117" s="49"/>
      <c r="BT117" s="49"/>
      <c r="BU117" s="49"/>
      <c r="BV117" s="49"/>
      <c r="BW117" s="49"/>
      <c r="BX117" s="49"/>
      <c r="BY117" s="49"/>
      <c r="BZ117" s="49"/>
      <c r="CA117" s="49"/>
      <c r="CB117" s="49"/>
      <c r="CC117" s="49"/>
      <c r="CD117" s="49"/>
      <c r="CE117" s="49"/>
      <c r="CF117" s="49"/>
      <c r="CG117" s="49"/>
      <c r="CH117" s="49"/>
      <c r="CI117" s="49"/>
      <c r="CJ117" s="49"/>
      <c r="CK117" s="49"/>
      <c r="CL117" s="49"/>
      <c r="CM117" s="49"/>
      <c r="CN117" s="49"/>
    </row>
    <row r="118" spans="1:92">
      <c r="C118" s="6"/>
      <c r="E118" s="49"/>
      <c r="F118" s="49"/>
      <c r="G118" s="49"/>
      <c r="H118" s="49"/>
      <c r="I118" s="49"/>
      <c r="J118" s="49"/>
      <c r="K118" s="49"/>
      <c r="L118" s="49"/>
      <c r="M118" s="49"/>
      <c r="N118" s="49"/>
      <c r="O118" s="49"/>
      <c r="P118" s="49"/>
      <c r="Q118" s="524"/>
      <c r="R118" s="49"/>
      <c r="S118" s="49"/>
      <c r="T118" s="49"/>
      <c r="U118" s="49"/>
      <c r="V118" s="49"/>
      <c r="W118" s="49"/>
      <c r="X118" s="49"/>
      <c r="Y118" s="49"/>
      <c r="Z118" s="49"/>
      <c r="AA118" s="49"/>
      <c r="AB118" s="51"/>
      <c r="AC118" s="49"/>
      <c r="AD118" s="49"/>
      <c r="AE118" s="49"/>
      <c r="AF118" s="49"/>
      <c r="AG118" s="49"/>
      <c r="AH118" s="49"/>
      <c r="AI118" s="49"/>
      <c r="AJ118" s="49"/>
      <c r="AK118" s="49"/>
      <c r="AL118" s="49"/>
      <c r="AM118" s="49"/>
      <c r="AN118" s="49"/>
      <c r="AO118" s="49"/>
      <c r="AP118" s="49"/>
      <c r="AQ118" s="49"/>
      <c r="AR118" s="49"/>
      <c r="AS118" s="49"/>
      <c r="AT118" s="49"/>
      <c r="AU118" s="49"/>
      <c r="AV118" s="49"/>
      <c r="AW118" s="49"/>
      <c r="AX118" s="49"/>
      <c r="AY118" s="49"/>
      <c r="AZ118" s="49"/>
      <c r="BA118" s="49"/>
      <c r="BB118" s="49"/>
      <c r="BC118" s="49"/>
      <c r="BD118" s="49"/>
      <c r="BE118" s="49"/>
      <c r="BF118" s="49"/>
      <c r="BG118" s="49"/>
      <c r="BH118" s="49"/>
      <c r="BI118" s="49"/>
      <c r="BJ118" s="49"/>
      <c r="BK118" s="49"/>
      <c r="BL118" s="49"/>
      <c r="BM118" s="49"/>
      <c r="BN118" s="49"/>
      <c r="BO118" s="49"/>
      <c r="BP118" s="49"/>
      <c r="BQ118" s="49"/>
      <c r="BR118" s="49"/>
      <c r="BS118" s="49"/>
      <c r="BT118" s="49"/>
      <c r="BU118" s="49"/>
      <c r="BV118" s="49"/>
      <c r="BW118" s="49"/>
      <c r="BX118" s="49"/>
      <c r="BY118" s="49"/>
      <c r="BZ118" s="49"/>
      <c r="CA118" s="49"/>
      <c r="CB118" s="49"/>
      <c r="CC118" s="49"/>
      <c r="CD118" s="49"/>
      <c r="CE118" s="49"/>
      <c r="CF118" s="49"/>
      <c r="CG118" s="49"/>
      <c r="CH118" s="49"/>
      <c r="CI118" s="49"/>
      <c r="CJ118" s="49"/>
      <c r="CK118" s="49"/>
      <c r="CL118" s="49"/>
      <c r="CM118" s="49"/>
      <c r="CN118" s="49"/>
    </row>
    <row r="119" spans="1:92">
      <c r="C119" s="6"/>
      <c r="E119" s="49"/>
      <c r="F119" s="49"/>
      <c r="G119" s="49"/>
      <c r="H119" s="49"/>
      <c r="I119" s="49"/>
      <c r="J119" s="49"/>
      <c r="K119" s="49"/>
      <c r="L119" s="49"/>
      <c r="M119" s="49"/>
      <c r="N119" s="49"/>
      <c r="O119" s="49"/>
      <c r="P119" s="49"/>
      <c r="Q119" s="524"/>
      <c r="R119" s="49"/>
      <c r="S119" s="49"/>
      <c r="T119" s="49"/>
      <c r="U119" s="49"/>
      <c r="V119" s="49"/>
      <c r="W119" s="49"/>
      <c r="X119" s="49"/>
      <c r="Y119" s="49"/>
      <c r="Z119" s="49"/>
      <c r="AA119" s="49"/>
      <c r="AB119" s="51"/>
      <c r="AC119" s="49"/>
      <c r="AD119" s="49"/>
      <c r="AE119" s="49"/>
      <c r="AF119" s="49"/>
      <c r="AG119" s="49"/>
      <c r="AH119" s="49"/>
      <c r="AI119" s="49"/>
      <c r="AJ119" s="49"/>
      <c r="AK119" s="49"/>
      <c r="AL119" s="49"/>
      <c r="AM119" s="49"/>
      <c r="AN119" s="49"/>
      <c r="AO119" s="49"/>
      <c r="AP119" s="49"/>
      <c r="AQ119" s="49"/>
      <c r="AR119" s="49"/>
      <c r="AS119" s="49"/>
      <c r="AT119" s="49"/>
      <c r="AU119" s="49"/>
      <c r="AV119" s="49"/>
      <c r="AW119" s="49"/>
      <c r="AX119" s="49"/>
      <c r="AY119" s="49"/>
      <c r="AZ119" s="49"/>
      <c r="BA119" s="49"/>
      <c r="BB119" s="49"/>
      <c r="BC119" s="49"/>
      <c r="BD119" s="49"/>
      <c r="BE119" s="49"/>
      <c r="BF119" s="49"/>
      <c r="BG119" s="49"/>
      <c r="BH119" s="49"/>
      <c r="BI119" s="49"/>
      <c r="BJ119" s="49"/>
      <c r="BK119" s="49"/>
      <c r="BL119" s="49"/>
      <c r="BM119" s="49"/>
      <c r="BN119" s="49"/>
      <c r="BO119" s="49"/>
      <c r="BP119" s="49"/>
      <c r="BQ119" s="49"/>
      <c r="BR119" s="49"/>
      <c r="BS119" s="49"/>
      <c r="BT119" s="49"/>
      <c r="BU119" s="49"/>
      <c r="BV119" s="49"/>
      <c r="BW119" s="49"/>
      <c r="BX119" s="49"/>
      <c r="BY119" s="49"/>
      <c r="BZ119" s="49"/>
      <c r="CA119" s="49"/>
      <c r="CB119" s="49"/>
      <c r="CC119" s="49"/>
      <c r="CD119" s="49"/>
      <c r="CE119" s="49"/>
      <c r="CF119" s="49"/>
      <c r="CG119" s="49"/>
      <c r="CH119" s="49"/>
      <c r="CI119" s="49"/>
      <c r="CJ119" s="49"/>
      <c r="CK119" s="49"/>
      <c r="CL119" s="49"/>
      <c r="CM119" s="49"/>
      <c r="CN119" s="49"/>
    </row>
    <row r="120" spans="1:92">
      <c r="C120" s="6"/>
      <c r="E120" s="49"/>
      <c r="F120" s="49"/>
      <c r="G120" s="49"/>
      <c r="H120" s="49"/>
      <c r="I120" s="49"/>
      <c r="J120" s="49"/>
      <c r="K120" s="49"/>
      <c r="L120" s="49"/>
      <c r="M120" s="49"/>
      <c r="N120" s="49"/>
      <c r="O120" s="49"/>
      <c r="P120" s="49"/>
      <c r="Q120" s="524"/>
      <c r="R120" s="49"/>
      <c r="S120" s="49"/>
      <c r="T120" s="49"/>
      <c r="U120" s="49"/>
      <c r="V120" s="49"/>
      <c r="W120" s="49"/>
      <c r="X120" s="49"/>
      <c r="Y120" s="49"/>
      <c r="Z120" s="49"/>
      <c r="AA120" s="49"/>
      <c r="AB120" s="51"/>
      <c r="AC120" s="49"/>
      <c r="AD120" s="49"/>
      <c r="AE120" s="49"/>
      <c r="AF120" s="49"/>
      <c r="AG120" s="49"/>
      <c r="AH120" s="49"/>
      <c r="AI120" s="49"/>
      <c r="AJ120" s="49"/>
      <c r="AK120" s="49"/>
      <c r="AL120" s="49"/>
      <c r="AM120" s="49"/>
      <c r="AN120" s="49"/>
      <c r="AO120" s="49"/>
      <c r="AP120" s="49"/>
      <c r="AQ120" s="49"/>
      <c r="AR120" s="49"/>
      <c r="AS120" s="49"/>
      <c r="AT120" s="49"/>
      <c r="AU120" s="49"/>
      <c r="AV120" s="49"/>
      <c r="AW120" s="49"/>
      <c r="AX120" s="49"/>
      <c r="AY120" s="49"/>
      <c r="AZ120" s="49"/>
      <c r="BA120" s="49"/>
      <c r="BB120" s="49"/>
      <c r="BC120" s="49"/>
      <c r="BD120" s="49"/>
      <c r="BE120" s="49"/>
      <c r="BF120" s="49"/>
      <c r="BG120" s="49"/>
      <c r="BH120" s="49"/>
      <c r="BI120" s="49"/>
      <c r="BJ120" s="49"/>
      <c r="BK120" s="49"/>
      <c r="BL120" s="49"/>
      <c r="BM120" s="49"/>
      <c r="BN120" s="49"/>
      <c r="BO120" s="49"/>
      <c r="BP120" s="49"/>
      <c r="BQ120" s="49"/>
      <c r="BR120" s="49"/>
      <c r="BS120" s="49"/>
      <c r="BT120" s="49"/>
      <c r="BU120" s="49"/>
      <c r="BV120" s="49"/>
      <c r="BW120" s="49"/>
      <c r="BX120" s="49"/>
      <c r="BY120" s="49"/>
      <c r="BZ120" s="49"/>
      <c r="CA120" s="49"/>
      <c r="CB120" s="49"/>
      <c r="CC120" s="49"/>
      <c r="CD120" s="49"/>
      <c r="CE120" s="49"/>
      <c r="CF120" s="49"/>
      <c r="CG120" s="49"/>
      <c r="CH120" s="49"/>
      <c r="CI120" s="49"/>
      <c r="CJ120" s="49"/>
      <c r="CK120" s="49"/>
      <c r="CL120" s="49"/>
      <c r="CM120" s="49"/>
      <c r="CN120" s="49"/>
    </row>
    <row r="121" spans="1:92">
      <c r="C121" s="6"/>
      <c r="E121" s="49"/>
      <c r="F121" s="49"/>
      <c r="G121" s="49"/>
      <c r="H121" s="49"/>
      <c r="I121" s="49"/>
      <c r="J121" s="49"/>
      <c r="K121" s="49"/>
      <c r="L121" s="49"/>
      <c r="M121" s="49"/>
      <c r="N121" s="49"/>
      <c r="O121" s="49"/>
      <c r="P121" s="49"/>
      <c r="Q121" s="524"/>
      <c r="R121" s="49"/>
      <c r="S121" s="49"/>
      <c r="T121" s="49"/>
      <c r="U121" s="49"/>
      <c r="V121" s="49"/>
      <c r="W121" s="49"/>
      <c r="X121" s="49"/>
      <c r="Y121" s="49"/>
      <c r="Z121" s="51"/>
      <c r="AA121" s="49"/>
      <c r="AB121" s="51"/>
      <c r="AC121" s="49"/>
      <c r="AD121" s="49"/>
      <c r="AE121" s="49"/>
      <c r="AF121" s="49"/>
      <c r="AG121" s="49"/>
      <c r="AH121" s="49"/>
      <c r="AI121" s="49"/>
      <c r="AJ121" s="49"/>
      <c r="AK121" s="49"/>
      <c r="AL121" s="49"/>
      <c r="AM121" s="49"/>
      <c r="AN121" s="49"/>
      <c r="AO121" s="49"/>
      <c r="AP121" s="49"/>
      <c r="AQ121" s="49"/>
      <c r="AR121" s="49"/>
      <c r="AS121" s="49"/>
      <c r="AT121" s="49"/>
      <c r="AU121" s="49"/>
      <c r="AV121" s="49"/>
      <c r="AW121" s="49"/>
      <c r="AX121" s="49"/>
      <c r="AY121" s="49"/>
      <c r="AZ121" s="49"/>
      <c r="BA121" s="49"/>
      <c r="BB121" s="49"/>
      <c r="BC121" s="49"/>
      <c r="BD121" s="49"/>
      <c r="BE121" s="49"/>
      <c r="BF121" s="49"/>
      <c r="BG121" s="49"/>
      <c r="BH121" s="49"/>
      <c r="BI121" s="49"/>
      <c r="BJ121" s="49"/>
      <c r="BK121" s="49"/>
      <c r="BL121" s="49"/>
      <c r="BM121" s="49"/>
      <c r="BN121" s="49"/>
      <c r="BO121" s="49"/>
      <c r="BP121" s="49"/>
      <c r="BQ121" s="49"/>
      <c r="BR121" s="49"/>
      <c r="BS121" s="49"/>
      <c r="BT121" s="49"/>
      <c r="BU121" s="49"/>
      <c r="BV121" s="49"/>
      <c r="BW121" s="49"/>
      <c r="BX121" s="49"/>
      <c r="BY121" s="49"/>
      <c r="BZ121" s="49"/>
      <c r="CA121" s="49"/>
      <c r="CB121" s="49"/>
      <c r="CC121" s="49"/>
      <c r="CD121" s="49"/>
      <c r="CE121" s="49"/>
      <c r="CF121" s="49"/>
      <c r="CG121" s="49"/>
      <c r="CH121" s="49"/>
      <c r="CI121" s="49"/>
      <c r="CJ121" s="49"/>
      <c r="CK121" s="49"/>
      <c r="CL121" s="49"/>
      <c r="CM121" s="49"/>
      <c r="CN121" s="49"/>
    </row>
    <row r="122" spans="1:92">
      <c r="C122" s="6"/>
      <c r="E122" s="49"/>
      <c r="F122" s="49"/>
      <c r="G122" s="49"/>
      <c r="H122" s="49"/>
      <c r="I122" s="49"/>
      <c r="J122" s="49"/>
      <c r="K122" s="49"/>
      <c r="L122" s="49"/>
      <c r="M122" s="49"/>
      <c r="N122" s="49"/>
      <c r="O122" s="49"/>
      <c r="P122" s="49"/>
      <c r="Q122" s="524"/>
      <c r="R122" s="49"/>
      <c r="S122" s="49"/>
      <c r="T122" s="49"/>
      <c r="U122" s="49"/>
      <c r="V122" s="49"/>
      <c r="W122" s="49"/>
      <c r="X122" s="49"/>
      <c r="Y122" s="49"/>
      <c r="Z122" s="49"/>
      <c r="AA122" s="49"/>
      <c r="AB122" s="51"/>
      <c r="AC122" s="49"/>
      <c r="AD122" s="49"/>
      <c r="AE122" s="49"/>
      <c r="AF122" s="49"/>
      <c r="AG122" s="49"/>
      <c r="AH122" s="49"/>
      <c r="AI122" s="49"/>
      <c r="AJ122" s="49"/>
      <c r="AK122" s="49"/>
      <c r="AL122" s="49"/>
      <c r="AM122" s="49"/>
      <c r="AN122" s="49"/>
      <c r="AO122" s="49"/>
      <c r="AP122" s="49"/>
      <c r="AQ122" s="49"/>
      <c r="AR122" s="49"/>
      <c r="AS122" s="49"/>
      <c r="AT122" s="49"/>
      <c r="AU122" s="49"/>
      <c r="AV122" s="49"/>
      <c r="AW122" s="49"/>
      <c r="AX122" s="49"/>
      <c r="AY122" s="49"/>
      <c r="AZ122" s="49"/>
      <c r="BA122" s="49"/>
      <c r="BB122" s="49"/>
      <c r="BC122" s="49"/>
      <c r="BD122" s="49"/>
      <c r="BE122" s="49"/>
      <c r="BF122" s="49"/>
      <c r="BG122" s="49"/>
      <c r="BH122" s="49"/>
      <c r="BI122" s="49"/>
      <c r="BJ122" s="49"/>
      <c r="BK122" s="49"/>
      <c r="BL122" s="49"/>
      <c r="BM122" s="49"/>
      <c r="BN122" s="49"/>
      <c r="BO122" s="49"/>
      <c r="BP122" s="49"/>
      <c r="BQ122" s="49"/>
      <c r="BR122" s="49"/>
      <c r="BS122" s="49"/>
      <c r="BT122" s="49"/>
      <c r="BU122" s="49"/>
      <c r="BV122" s="49"/>
      <c r="BW122" s="49"/>
      <c r="BX122" s="49"/>
      <c r="BY122" s="49"/>
      <c r="BZ122" s="49"/>
      <c r="CA122" s="49"/>
      <c r="CB122" s="49"/>
      <c r="CC122" s="49"/>
      <c r="CD122" s="49"/>
      <c r="CE122" s="49"/>
      <c r="CF122" s="49"/>
      <c r="CG122" s="49"/>
      <c r="CH122" s="49"/>
      <c r="CI122" s="49"/>
      <c r="CJ122" s="49"/>
      <c r="CK122" s="49"/>
      <c r="CL122" s="49"/>
      <c r="CM122" s="49"/>
      <c r="CN122" s="49"/>
    </row>
    <row r="123" spans="1:92">
      <c r="C123" s="6"/>
      <c r="E123" s="49"/>
      <c r="F123" s="49"/>
      <c r="G123" s="49"/>
      <c r="H123" s="49"/>
      <c r="I123" s="49"/>
      <c r="J123" s="49"/>
      <c r="K123" s="49"/>
      <c r="L123" s="49"/>
      <c r="M123" s="49"/>
      <c r="N123" s="49"/>
      <c r="O123" s="49"/>
      <c r="P123" s="49"/>
      <c r="Q123" s="524"/>
      <c r="R123" s="49"/>
      <c r="S123" s="49"/>
      <c r="T123" s="49"/>
      <c r="U123" s="49"/>
      <c r="V123" s="49"/>
      <c r="W123" s="49"/>
      <c r="X123" s="49"/>
      <c r="Y123" s="49"/>
      <c r="Z123" s="49"/>
      <c r="AA123" s="49"/>
      <c r="AB123" s="51"/>
      <c r="AC123" s="49"/>
      <c r="AD123" s="49"/>
      <c r="AE123" s="49"/>
      <c r="AF123" s="49"/>
      <c r="AG123" s="49"/>
      <c r="AH123" s="49"/>
      <c r="AI123" s="49"/>
      <c r="AJ123" s="49"/>
      <c r="AK123" s="49"/>
      <c r="AL123" s="49"/>
      <c r="AM123" s="49"/>
      <c r="AN123" s="49"/>
      <c r="AO123" s="49"/>
      <c r="AP123" s="49"/>
      <c r="AQ123" s="49"/>
      <c r="AR123" s="49"/>
      <c r="AS123" s="49"/>
      <c r="AT123" s="49"/>
      <c r="AU123" s="49"/>
      <c r="AV123" s="49"/>
      <c r="AW123" s="49"/>
      <c r="AX123" s="49"/>
      <c r="AY123" s="49"/>
      <c r="AZ123" s="49"/>
      <c r="BA123" s="49"/>
      <c r="BB123" s="49"/>
      <c r="BC123" s="49"/>
      <c r="BD123" s="49"/>
      <c r="BE123" s="49"/>
      <c r="BF123" s="49"/>
      <c r="BG123" s="49"/>
      <c r="BH123" s="49"/>
      <c r="BI123" s="49"/>
      <c r="BJ123" s="49"/>
      <c r="BK123" s="49"/>
      <c r="BL123" s="49"/>
      <c r="BM123" s="49"/>
      <c r="BN123" s="49"/>
      <c r="BO123" s="49"/>
      <c r="BP123" s="49"/>
      <c r="BQ123" s="49"/>
      <c r="BR123" s="49"/>
      <c r="BS123" s="49"/>
      <c r="BT123" s="49"/>
      <c r="BU123" s="49"/>
      <c r="BV123" s="49"/>
      <c r="BW123" s="49"/>
      <c r="BX123" s="49"/>
      <c r="BY123" s="49"/>
      <c r="BZ123" s="49"/>
      <c r="CA123" s="49"/>
      <c r="CB123" s="49"/>
      <c r="CC123" s="49"/>
      <c r="CD123" s="49"/>
      <c r="CE123" s="49"/>
      <c r="CF123" s="49"/>
      <c r="CG123" s="49"/>
      <c r="CH123" s="49"/>
      <c r="CI123" s="49"/>
      <c r="CJ123" s="49"/>
      <c r="CK123" s="49"/>
      <c r="CL123" s="49"/>
      <c r="CM123" s="49"/>
      <c r="CN123" s="49"/>
    </row>
    <row r="124" spans="1:92">
      <c r="C124" s="6"/>
      <c r="E124" s="49"/>
      <c r="F124" s="49"/>
      <c r="G124" s="49"/>
      <c r="H124" s="49"/>
      <c r="I124" s="49"/>
      <c r="J124" s="49"/>
      <c r="K124" s="49"/>
      <c r="L124" s="49"/>
      <c r="M124" s="49"/>
      <c r="N124" s="49"/>
      <c r="O124" s="49"/>
      <c r="P124" s="49"/>
      <c r="Q124" s="524"/>
      <c r="R124" s="49"/>
      <c r="S124" s="49"/>
      <c r="T124" s="49"/>
      <c r="U124" s="49"/>
      <c r="V124" s="49"/>
      <c r="W124" s="49"/>
      <c r="X124" s="49"/>
      <c r="Y124" s="49"/>
      <c r="Z124" s="49"/>
      <c r="AA124" s="49"/>
      <c r="AB124" s="51"/>
      <c r="AC124" s="49"/>
      <c r="AD124" s="49"/>
      <c r="AE124" s="49"/>
      <c r="AF124" s="49"/>
      <c r="AG124" s="49"/>
      <c r="AH124" s="49"/>
      <c r="AI124" s="49"/>
      <c r="AJ124" s="49"/>
      <c r="AK124" s="49"/>
      <c r="AL124" s="49"/>
      <c r="AM124" s="49"/>
      <c r="AN124" s="49"/>
      <c r="AO124" s="49"/>
      <c r="AP124" s="49"/>
      <c r="AQ124" s="49"/>
      <c r="AR124" s="49"/>
      <c r="AS124" s="49"/>
      <c r="AT124" s="49"/>
      <c r="AU124" s="49"/>
      <c r="AV124" s="49"/>
      <c r="AW124" s="49"/>
      <c r="AX124" s="49"/>
      <c r="AY124" s="49"/>
      <c r="AZ124" s="49"/>
      <c r="BA124" s="49"/>
      <c r="BB124" s="49"/>
      <c r="BC124" s="49"/>
      <c r="BD124" s="49"/>
      <c r="BE124" s="49"/>
      <c r="BF124" s="49"/>
      <c r="BG124" s="49"/>
      <c r="BH124" s="49"/>
      <c r="BI124" s="49"/>
      <c r="BJ124" s="49"/>
      <c r="BK124" s="49"/>
      <c r="BL124" s="49"/>
      <c r="BM124" s="49"/>
      <c r="BN124" s="49"/>
      <c r="BO124" s="49"/>
      <c r="BP124" s="49"/>
      <c r="BQ124" s="49"/>
      <c r="BR124" s="49"/>
      <c r="BS124" s="49"/>
      <c r="BT124" s="49"/>
      <c r="BU124" s="49"/>
      <c r="BV124" s="49"/>
      <c r="BW124" s="49"/>
      <c r="BX124" s="49"/>
      <c r="BY124" s="49"/>
      <c r="BZ124" s="49"/>
      <c r="CA124" s="49"/>
      <c r="CB124" s="49"/>
      <c r="CC124" s="49"/>
      <c r="CD124" s="49"/>
      <c r="CE124" s="49"/>
      <c r="CF124" s="49"/>
      <c r="CG124" s="49"/>
      <c r="CH124" s="49"/>
      <c r="CI124" s="49"/>
      <c r="CJ124" s="49"/>
      <c r="CK124" s="49"/>
      <c r="CL124" s="49"/>
      <c r="CM124" s="49"/>
      <c r="CN124" s="49"/>
    </row>
    <row r="125" spans="1:92">
      <c r="C125" s="6"/>
      <c r="E125" s="49"/>
      <c r="F125" s="49"/>
      <c r="G125" s="49"/>
      <c r="H125" s="49"/>
      <c r="I125" s="49"/>
      <c r="J125" s="49"/>
      <c r="K125" s="49"/>
      <c r="L125" s="49"/>
      <c r="M125" s="49"/>
      <c r="N125" s="49"/>
      <c r="O125" s="49"/>
      <c r="P125" s="49"/>
      <c r="Q125" s="524"/>
      <c r="R125" s="49"/>
      <c r="S125" s="49"/>
      <c r="T125" s="49"/>
      <c r="U125" s="49"/>
      <c r="V125" s="49"/>
      <c r="W125" s="49"/>
      <c r="X125" s="49"/>
      <c r="Y125" s="49"/>
      <c r="Z125" s="49"/>
      <c r="AA125" s="49"/>
      <c r="AB125" s="51"/>
      <c r="AC125" s="49"/>
      <c r="AD125" s="49"/>
      <c r="AE125" s="49"/>
      <c r="AF125" s="49"/>
      <c r="AG125" s="49"/>
      <c r="AH125" s="49"/>
      <c r="AI125" s="49"/>
      <c r="AJ125" s="49"/>
      <c r="AK125" s="49"/>
      <c r="AL125" s="49"/>
      <c r="AM125" s="49"/>
      <c r="AN125" s="49"/>
      <c r="AO125" s="49"/>
      <c r="AP125" s="49"/>
      <c r="AQ125" s="49"/>
      <c r="AR125" s="49"/>
      <c r="AS125" s="49"/>
      <c r="AT125" s="49"/>
      <c r="AU125" s="49"/>
      <c r="AV125" s="49"/>
      <c r="AW125" s="49"/>
      <c r="AX125" s="49"/>
      <c r="AY125" s="49"/>
      <c r="AZ125" s="49"/>
      <c r="BA125" s="49"/>
      <c r="BB125" s="49"/>
      <c r="BC125" s="49"/>
      <c r="BD125" s="49"/>
      <c r="BE125" s="49"/>
      <c r="BF125" s="49"/>
      <c r="BG125" s="49"/>
      <c r="BH125" s="49"/>
      <c r="BI125" s="49"/>
      <c r="BJ125" s="49"/>
      <c r="BK125" s="49"/>
      <c r="BL125" s="49"/>
      <c r="BM125" s="49"/>
      <c r="BN125" s="49"/>
      <c r="BO125" s="49"/>
      <c r="BP125" s="49"/>
      <c r="BQ125" s="49"/>
      <c r="BR125" s="49"/>
      <c r="BS125" s="49"/>
      <c r="BT125" s="49"/>
      <c r="BU125" s="49"/>
      <c r="BV125" s="49"/>
      <c r="BW125" s="49"/>
      <c r="BX125" s="49"/>
      <c r="BY125" s="49"/>
      <c r="BZ125" s="49"/>
      <c r="CA125" s="49"/>
      <c r="CB125" s="49"/>
      <c r="CC125" s="49"/>
      <c r="CD125" s="49"/>
      <c r="CE125" s="49"/>
      <c r="CF125" s="49"/>
      <c r="CG125" s="49"/>
      <c r="CH125" s="49"/>
      <c r="CI125" s="49"/>
      <c r="CJ125" s="49"/>
      <c r="CK125" s="49"/>
      <c r="CL125" s="49"/>
      <c r="CM125" s="49"/>
      <c r="CN125" s="49"/>
    </row>
    <row r="126" spans="1:92">
      <c r="C126" s="6"/>
      <c r="E126" s="49"/>
      <c r="F126" s="49"/>
      <c r="G126" s="49"/>
      <c r="H126" s="49"/>
      <c r="I126" s="49"/>
      <c r="J126" s="49"/>
      <c r="K126" s="49"/>
      <c r="L126" s="49"/>
      <c r="M126" s="49"/>
      <c r="N126" s="49"/>
      <c r="O126" s="49"/>
      <c r="P126" s="49"/>
      <c r="Q126" s="524"/>
      <c r="R126" s="49"/>
      <c r="S126" s="49"/>
      <c r="T126" s="49"/>
      <c r="U126" s="49"/>
      <c r="V126" s="49"/>
      <c r="W126" s="49"/>
      <c r="X126" s="49"/>
      <c r="Y126" s="49"/>
      <c r="Z126" s="49"/>
      <c r="AA126" s="49"/>
      <c r="AB126" s="51"/>
      <c r="AC126" s="49"/>
      <c r="AD126" s="49"/>
      <c r="AE126" s="49"/>
      <c r="AF126" s="49"/>
      <c r="AG126" s="49"/>
      <c r="AH126" s="49"/>
      <c r="AI126" s="49"/>
      <c r="AJ126" s="49"/>
      <c r="AK126" s="49"/>
      <c r="AL126" s="49"/>
      <c r="AM126" s="49"/>
      <c r="AN126" s="49"/>
      <c r="AO126" s="49"/>
      <c r="AP126" s="49"/>
      <c r="AQ126" s="49"/>
      <c r="AR126" s="49"/>
      <c r="AS126" s="49"/>
      <c r="AT126" s="49"/>
      <c r="AU126" s="49"/>
      <c r="AV126" s="49"/>
      <c r="AW126" s="49"/>
      <c r="AX126" s="49"/>
      <c r="AY126" s="49"/>
      <c r="AZ126" s="49"/>
      <c r="BA126" s="49"/>
      <c r="BB126" s="49"/>
      <c r="BC126" s="49"/>
      <c r="BD126" s="49"/>
      <c r="BE126" s="49"/>
      <c r="BF126" s="49"/>
      <c r="BG126" s="49"/>
      <c r="BH126" s="49"/>
      <c r="BI126" s="49"/>
      <c r="BJ126" s="49"/>
      <c r="BK126" s="49"/>
      <c r="BL126" s="49"/>
      <c r="BM126" s="49"/>
      <c r="BN126" s="49"/>
      <c r="BO126" s="49"/>
      <c r="BP126" s="49"/>
      <c r="BQ126" s="49"/>
      <c r="BR126" s="49"/>
      <c r="BS126" s="49"/>
      <c r="BT126" s="49"/>
      <c r="BU126" s="49"/>
      <c r="BV126" s="49"/>
      <c r="BW126" s="49"/>
      <c r="BX126" s="49"/>
      <c r="BY126" s="49"/>
      <c r="BZ126" s="49"/>
      <c r="CA126" s="49"/>
      <c r="CB126" s="49"/>
      <c r="CC126" s="49"/>
      <c r="CD126" s="49"/>
      <c r="CE126" s="49"/>
      <c r="CF126" s="49"/>
      <c r="CG126" s="49"/>
      <c r="CH126" s="49"/>
      <c r="CI126" s="49"/>
      <c r="CJ126" s="49"/>
      <c r="CK126" s="49"/>
      <c r="CL126" s="49"/>
      <c r="CM126" s="49"/>
      <c r="CN126" s="49"/>
    </row>
    <row r="127" spans="1:92">
      <c r="C127" s="6"/>
      <c r="E127" s="49"/>
      <c r="F127" s="49"/>
      <c r="G127" s="49"/>
      <c r="H127" s="49"/>
      <c r="I127" s="49"/>
      <c r="J127" s="49"/>
      <c r="K127" s="49"/>
      <c r="L127" s="49"/>
      <c r="M127" s="49"/>
      <c r="N127" s="49"/>
      <c r="O127" s="49"/>
      <c r="P127" s="49"/>
      <c r="Q127" s="524"/>
      <c r="R127" s="49"/>
      <c r="S127" s="49"/>
      <c r="T127" s="49"/>
      <c r="U127" s="49"/>
      <c r="V127" s="49"/>
      <c r="W127" s="49"/>
      <c r="X127" s="49"/>
      <c r="Y127" s="49"/>
      <c r="Z127" s="49"/>
      <c r="AA127" s="49"/>
      <c r="AB127" s="51"/>
      <c r="AC127" s="49"/>
      <c r="AD127" s="49"/>
      <c r="AE127" s="49"/>
      <c r="AF127" s="49"/>
      <c r="AG127" s="49"/>
      <c r="AH127" s="49"/>
      <c r="AI127" s="49"/>
      <c r="AJ127" s="49"/>
      <c r="AK127" s="49"/>
      <c r="AL127" s="49"/>
      <c r="AM127" s="49"/>
      <c r="AN127" s="49"/>
      <c r="AO127" s="49"/>
      <c r="AP127" s="49"/>
      <c r="AQ127" s="49"/>
      <c r="AR127" s="49"/>
      <c r="AS127" s="49"/>
      <c r="AT127" s="49"/>
      <c r="AU127" s="49"/>
      <c r="AV127" s="49"/>
      <c r="AW127" s="49"/>
      <c r="AX127" s="49"/>
      <c r="AY127" s="49"/>
      <c r="AZ127" s="49"/>
      <c r="BA127" s="49"/>
      <c r="BB127" s="49"/>
      <c r="BC127" s="49"/>
      <c r="BD127" s="49"/>
      <c r="BE127" s="49"/>
      <c r="BF127" s="49"/>
      <c r="BG127" s="49"/>
      <c r="BH127" s="49"/>
      <c r="BI127" s="49"/>
      <c r="BJ127" s="49"/>
      <c r="BK127" s="49"/>
      <c r="BL127" s="49"/>
      <c r="BM127" s="49"/>
      <c r="BN127" s="49"/>
      <c r="BO127" s="49"/>
      <c r="BP127" s="49"/>
      <c r="BQ127" s="49"/>
      <c r="BR127" s="49"/>
      <c r="BS127" s="49"/>
      <c r="BT127" s="49"/>
      <c r="BU127" s="49"/>
      <c r="BV127" s="49"/>
      <c r="BW127" s="49"/>
      <c r="BX127" s="49"/>
      <c r="BY127" s="49"/>
      <c r="BZ127" s="49"/>
      <c r="CA127" s="49"/>
      <c r="CB127" s="49"/>
      <c r="CC127" s="49"/>
      <c r="CD127" s="49"/>
      <c r="CE127" s="49"/>
      <c r="CF127" s="49"/>
      <c r="CG127" s="49"/>
      <c r="CH127" s="49"/>
      <c r="CI127" s="49"/>
      <c r="CJ127" s="49"/>
      <c r="CK127" s="49"/>
      <c r="CL127" s="49"/>
      <c r="CM127" s="49"/>
      <c r="CN127" s="49"/>
    </row>
    <row r="128" spans="1:92">
      <c r="C128" s="6"/>
      <c r="E128" s="49"/>
      <c r="F128" s="49"/>
      <c r="G128" s="49"/>
      <c r="H128" s="49"/>
      <c r="I128" s="49"/>
      <c r="J128" s="49"/>
      <c r="K128" s="49"/>
      <c r="L128" s="49"/>
      <c r="M128" s="49"/>
      <c r="N128" s="49"/>
      <c r="O128" s="49"/>
      <c r="P128" s="49"/>
      <c r="Q128" s="524"/>
      <c r="R128" s="49"/>
      <c r="S128" s="49"/>
      <c r="T128" s="49"/>
      <c r="U128" s="49"/>
      <c r="V128" s="49"/>
      <c r="W128" s="49"/>
      <c r="X128" s="49"/>
      <c r="Y128" s="49"/>
      <c r="Z128" s="49"/>
      <c r="AA128" s="49"/>
      <c r="AB128" s="51"/>
      <c r="AC128" s="49"/>
      <c r="AD128" s="49"/>
      <c r="AE128" s="49"/>
      <c r="AF128" s="49"/>
      <c r="AG128" s="49"/>
      <c r="AH128" s="49"/>
      <c r="AI128" s="49"/>
      <c r="AJ128" s="49"/>
      <c r="AK128" s="49"/>
      <c r="AL128" s="49"/>
      <c r="AM128" s="49"/>
      <c r="AN128" s="49"/>
      <c r="AO128" s="49"/>
      <c r="AP128" s="49"/>
      <c r="AQ128" s="49"/>
      <c r="AR128" s="49"/>
      <c r="AS128" s="49"/>
      <c r="AT128" s="49"/>
      <c r="AU128" s="49"/>
      <c r="AV128" s="49"/>
      <c r="AW128" s="49"/>
      <c r="AX128" s="49"/>
      <c r="AY128" s="49"/>
      <c r="AZ128" s="49"/>
      <c r="BA128" s="49"/>
      <c r="BB128" s="49"/>
      <c r="BC128" s="49"/>
      <c r="BD128" s="49"/>
      <c r="BE128" s="49"/>
      <c r="BF128" s="49"/>
      <c r="BG128" s="49"/>
      <c r="BH128" s="49"/>
      <c r="BI128" s="49"/>
      <c r="BJ128" s="49"/>
      <c r="BK128" s="49"/>
      <c r="BL128" s="49"/>
      <c r="BM128" s="49"/>
      <c r="BN128" s="49"/>
      <c r="BO128" s="49"/>
      <c r="BP128" s="49"/>
      <c r="BQ128" s="49"/>
      <c r="BR128" s="49"/>
      <c r="BS128" s="49"/>
      <c r="BT128" s="49"/>
      <c r="BU128" s="49"/>
      <c r="BV128" s="49"/>
      <c r="BW128" s="49"/>
      <c r="BX128" s="49"/>
      <c r="BY128" s="49"/>
      <c r="BZ128" s="49"/>
      <c r="CA128" s="49"/>
      <c r="CB128" s="49"/>
      <c r="CC128" s="49"/>
      <c r="CD128" s="49"/>
      <c r="CE128" s="49"/>
      <c r="CF128" s="49"/>
      <c r="CG128" s="49"/>
      <c r="CH128" s="49"/>
      <c r="CI128" s="49"/>
      <c r="CJ128" s="49"/>
      <c r="CK128" s="49"/>
      <c r="CL128" s="49"/>
      <c r="CM128" s="49"/>
      <c r="CN128" s="49"/>
    </row>
    <row r="129" spans="3:92">
      <c r="C129" s="6"/>
      <c r="E129" s="49"/>
      <c r="F129" s="49"/>
      <c r="G129" s="49"/>
      <c r="H129" s="49"/>
      <c r="I129" s="49"/>
      <c r="J129" s="49"/>
      <c r="K129" s="49"/>
      <c r="L129" s="49"/>
      <c r="M129" s="49"/>
      <c r="N129" s="49"/>
      <c r="O129" s="49"/>
      <c r="P129" s="49"/>
      <c r="Q129" s="524"/>
      <c r="R129" s="49"/>
      <c r="S129" s="49"/>
      <c r="T129" s="49"/>
      <c r="U129" s="49"/>
      <c r="V129" s="49"/>
      <c r="W129" s="49"/>
      <c r="X129" s="49"/>
      <c r="Y129" s="49"/>
      <c r="Z129" s="49"/>
      <c r="AA129" s="49"/>
      <c r="AB129" s="51"/>
      <c r="AC129" s="49"/>
      <c r="AD129" s="49"/>
      <c r="AE129" s="49"/>
      <c r="AF129" s="49"/>
      <c r="AG129" s="49"/>
      <c r="AH129" s="49"/>
      <c r="AI129" s="49"/>
      <c r="AJ129" s="49"/>
      <c r="AK129" s="49"/>
      <c r="AL129" s="49"/>
      <c r="AM129" s="49"/>
      <c r="AN129" s="49"/>
      <c r="AO129" s="49"/>
      <c r="AP129" s="49"/>
      <c r="AQ129" s="49"/>
      <c r="AR129" s="49"/>
      <c r="AS129" s="49"/>
      <c r="AT129" s="49"/>
      <c r="AU129" s="49"/>
      <c r="AV129" s="49"/>
      <c r="AW129" s="49"/>
      <c r="AX129" s="49"/>
      <c r="AY129" s="49"/>
      <c r="AZ129" s="49"/>
      <c r="BA129" s="49"/>
      <c r="BB129" s="49"/>
      <c r="BC129" s="49"/>
      <c r="BD129" s="49"/>
      <c r="BE129" s="49"/>
      <c r="BF129" s="49"/>
      <c r="BG129" s="49"/>
      <c r="BH129" s="49"/>
      <c r="BI129" s="49"/>
      <c r="BJ129" s="49"/>
      <c r="BK129" s="49"/>
      <c r="BL129" s="49"/>
      <c r="BM129" s="49"/>
      <c r="BN129" s="49"/>
      <c r="BO129" s="49"/>
      <c r="BP129" s="49"/>
      <c r="BQ129" s="49"/>
      <c r="BR129" s="49"/>
      <c r="BS129" s="49"/>
      <c r="BT129" s="49"/>
      <c r="BU129" s="49"/>
      <c r="BV129" s="49"/>
      <c r="BW129" s="49"/>
      <c r="BX129" s="49"/>
      <c r="BY129" s="49"/>
      <c r="BZ129" s="49"/>
      <c r="CA129" s="49"/>
      <c r="CB129" s="49"/>
      <c r="CC129" s="49"/>
      <c r="CD129" s="49"/>
      <c r="CE129" s="49"/>
      <c r="CF129" s="49"/>
      <c r="CG129" s="49"/>
      <c r="CH129" s="49"/>
      <c r="CI129" s="49"/>
      <c r="CJ129" s="49"/>
      <c r="CK129" s="49"/>
      <c r="CL129" s="49"/>
      <c r="CM129" s="49"/>
      <c r="CN129" s="49"/>
    </row>
    <row r="130" spans="3:92">
      <c r="C130" s="6"/>
      <c r="E130" s="49"/>
      <c r="F130" s="49"/>
      <c r="G130" s="49"/>
      <c r="H130" s="49"/>
      <c r="I130" s="49"/>
      <c r="J130" s="49"/>
      <c r="K130" s="49"/>
      <c r="L130" s="49"/>
      <c r="M130" s="49"/>
      <c r="N130" s="49"/>
      <c r="O130" s="49"/>
      <c r="P130" s="49"/>
      <c r="Q130" s="524"/>
      <c r="R130" s="49"/>
      <c r="S130" s="49"/>
      <c r="T130" s="49"/>
      <c r="U130" s="49"/>
      <c r="V130" s="49"/>
      <c r="W130" s="49"/>
      <c r="X130" s="49"/>
      <c r="Y130" s="49"/>
      <c r="Z130" s="49"/>
      <c r="AA130" s="49"/>
      <c r="AB130" s="51"/>
      <c r="AC130" s="49"/>
      <c r="AD130" s="49"/>
      <c r="AE130" s="49"/>
      <c r="AF130" s="49"/>
      <c r="AG130" s="49"/>
      <c r="AH130" s="49"/>
      <c r="AI130" s="49"/>
      <c r="AJ130" s="49"/>
      <c r="AK130" s="49"/>
      <c r="AL130" s="49"/>
      <c r="AM130" s="49"/>
      <c r="AN130" s="49"/>
      <c r="AO130" s="49"/>
      <c r="AP130" s="49"/>
      <c r="AQ130" s="49"/>
      <c r="AR130" s="49"/>
      <c r="AS130" s="49"/>
      <c r="AT130" s="49"/>
      <c r="AU130" s="49"/>
      <c r="AV130" s="49"/>
      <c r="AW130" s="49"/>
      <c r="AX130" s="49"/>
      <c r="AY130" s="49"/>
      <c r="AZ130" s="49"/>
      <c r="BA130" s="49"/>
      <c r="BB130" s="49"/>
      <c r="BC130" s="49"/>
      <c r="BD130" s="49"/>
      <c r="BE130" s="49"/>
      <c r="BF130" s="49"/>
      <c r="BG130" s="49"/>
      <c r="BH130" s="49"/>
      <c r="BI130" s="49"/>
      <c r="BJ130" s="49"/>
      <c r="BK130" s="49"/>
      <c r="BL130" s="49"/>
      <c r="BM130" s="49"/>
      <c r="BN130" s="49"/>
      <c r="BO130" s="49"/>
      <c r="BP130" s="49"/>
      <c r="BQ130" s="49"/>
      <c r="BR130" s="49"/>
      <c r="BS130" s="49"/>
      <c r="BT130" s="49"/>
      <c r="BU130" s="49"/>
      <c r="BV130" s="49"/>
      <c r="BW130" s="49"/>
      <c r="BX130" s="49"/>
      <c r="BY130" s="49"/>
      <c r="BZ130" s="49"/>
      <c r="CA130" s="49"/>
      <c r="CB130" s="49"/>
      <c r="CC130" s="49"/>
      <c r="CD130" s="49"/>
      <c r="CE130" s="49"/>
      <c r="CF130" s="49"/>
      <c r="CG130" s="49"/>
      <c r="CH130" s="49"/>
      <c r="CI130" s="49"/>
      <c r="CJ130" s="49"/>
      <c r="CK130" s="49"/>
      <c r="CL130" s="49"/>
      <c r="CM130" s="49"/>
      <c r="CN130" s="49"/>
    </row>
    <row r="131" spans="3:92">
      <c r="C131" s="6"/>
      <c r="E131" s="49"/>
      <c r="F131" s="49"/>
      <c r="G131" s="49"/>
      <c r="H131" s="49"/>
      <c r="I131" s="49"/>
      <c r="J131" s="49"/>
      <c r="K131" s="49"/>
      <c r="L131" s="49"/>
      <c r="M131" s="49"/>
      <c r="N131" s="49"/>
      <c r="O131" s="49"/>
      <c r="P131" s="49"/>
      <c r="Q131" s="524"/>
      <c r="R131" s="49"/>
      <c r="S131" s="49"/>
      <c r="T131" s="49"/>
      <c r="U131" s="49"/>
      <c r="V131" s="49"/>
      <c r="W131" s="49"/>
      <c r="X131" s="49"/>
      <c r="Y131" s="49"/>
      <c r="Z131" s="49"/>
      <c r="AA131" s="49"/>
      <c r="AB131" s="51"/>
      <c r="AC131" s="49"/>
      <c r="AD131" s="49"/>
      <c r="AE131" s="49"/>
      <c r="AF131" s="49"/>
      <c r="AG131" s="49"/>
      <c r="AH131" s="49"/>
      <c r="AI131" s="49"/>
      <c r="AJ131" s="49"/>
      <c r="AK131" s="49"/>
      <c r="AL131" s="49"/>
      <c r="AM131" s="49"/>
      <c r="AN131" s="49"/>
      <c r="AO131" s="49"/>
      <c r="AP131" s="49"/>
      <c r="AQ131" s="49"/>
      <c r="AR131" s="49"/>
      <c r="AS131" s="49"/>
      <c r="AT131" s="49"/>
      <c r="AU131" s="49"/>
      <c r="AV131" s="49"/>
      <c r="AW131" s="49"/>
      <c r="AX131" s="49"/>
      <c r="AY131" s="49"/>
      <c r="AZ131" s="49"/>
      <c r="BA131" s="49"/>
      <c r="BB131" s="49"/>
      <c r="BC131" s="49"/>
      <c r="BD131" s="49"/>
      <c r="BE131" s="49"/>
      <c r="BF131" s="49"/>
      <c r="BG131" s="49"/>
      <c r="BH131" s="49"/>
      <c r="BI131" s="49"/>
      <c r="BJ131" s="49"/>
      <c r="BK131" s="49"/>
      <c r="BL131" s="49"/>
      <c r="BM131" s="49"/>
      <c r="BN131" s="49"/>
      <c r="BO131" s="49"/>
      <c r="BP131" s="49"/>
      <c r="BQ131" s="49"/>
      <c r="BR131" s="49"/>
      <c r="BS131" s="49"/>
      <c r="BT131" s="49"/>
      <c r="BU131" s="49"/>
      <c r="BV131" s="49"/>
      <c r="BW131" s="49"/>
      <c r="BX131" s="49"/>
      <c r="BY131" s="49"/>
      <c r="BZ131" s="49"/>
      <c r="CA131" s="49"/>
      <c r="CB131" s="49"/>
      <c r="CC131" s="49"/>
      <c r="CD131" s="49"/>
      <c r="CE131" s="49"/>
      <c r="CF131" s="49"/>
      <c r="CG131" s="49"/>
      <c r="CH131" s="49"/>
      <c r="CI131" s="49"/>
      <c r="CJ131" s="49"/>
      <c r="CK131" s="49"/>
      <c r="CL131" s="49"/>
      <c r="CM131" s="49"/>
      <c r="CN131" s="49"/>
    </row>
    <row r="132" spans="3:92">
      <c r="C132" s="6"/>
      <c r="E132" s="49"/>
      <c r="F132" s="49"/>
      <c r="G132" s="49"/>
      <c r="H132" s="49"/>
      <c r="I132" s="49"/>
      <c r="J132" s="49"/>
      <c r="K132" s="49"/>
      <c r="L132" s="49"/>
      <c r="M132" s="49"/>
      <c r="N132" s="49"/>
      <c r="O132" s="49"/>
      <c r="P132" s="49"/>
      <c r="Q132" s="524"/>
      <c r="R132" s="49"/>
      <c r="S132" s="49"/>
      <c r="T132" s="49"/>
      <c r="U132" s="49"/>
      <c r="V132" s="49"/>
      <c r="W132" s="49"/>
      <c r="X132" s="49"/>
      <c r="Y132" s="49"/>
      <c r="Z132" s="49"/>
      <c r="AA132" s="49"/>
      <c r="AB132" s="51"/>
      <c r="AC132" s="49"/>
      <c r="AD132" s="49"/>
      <c r="AE132" s="49"/>
      <c r="AF132" s="49"/>
      <c r="AG132" s="49"/>
      <c r="AH132" s="49"/>
      <c r="AI132" s="49"/>
      <c r="AJ132" s="49"/>
      <c r="AK132" s="49"/>
      <c r="AL132" s="49"/>
      <c r="AM132" s="49"/>
      <c r="AN132" s="49"/>
      <c r="AO132" s="49"/>
      <c r="AP132" s="49"/>
      <c r="AQ132" s="49"/>
      <c r="AR132" s="49"/>
      <c r="AS132" s="49"/>
      <c r="AT132" s="49"/>
      <c r="AU132" s="49"/>
      <c r="AV132" s="49"/>
      <c r="AW132" s="49"/>
      <c r="AX132" s="49"/>
      <c r="AY132" s="49"/>
      <c r="AZ132" s="49"/>
      <c r="BA132" s="49"/>
      <c r="BB132" s="49"/>
      <c r="BC132" s="49"/>
      <c r="BD132" s="49"/>
      <c r="BE132" s="49"/>
      <c r="BF132" s="49"/>
      <c r="BG132" s="49"/>
      <c r="BH132" s="49"/>
      <c r="BI132" s="49"/>
      <c r="BJ132" s="49"/>
      <c r="BK132" s="49"/>
      <c r="BL132" s="49"/>
      <c r="BM132" s="49"/>
      <c r="BN132" s="49"/>
      <c r="BO132" s="49"/>
      <c r="BP132" s="49"/>
      <c r="BQ132" s="49"/>
      <c r="BR132" s="49"/>
      <c r="BS132" s="49"/>
      <c r="BT132" s="49"/>
      <c r="BU132" s="49"/>
      <c r="BV132" s="49"/>
      <c r="BW132" s="49"/>
      <c r="BX132" s="49"/>
      <c r="BY132" s="49"/>
      <c r="BZ132" s="49"/>
      <c r="CA132" s="49"/>
      <c r="CB132" s="49"/>
      <c r="CC132" s="49"/>
      <c r="CD132" s="49"/>
      <c r="CE132" s="49"/>
      <c r="CF132" s="49"/>
      <c r="CG132" s="49"/>
      <c r="CH132" s="49"/>
      <c r="CI132" s="49"/>
      <c r="CJ132" s="49"/>
      <c r="CK132" s="49"/>
      <c r="CL132" s="49"/>
      <c r="CM132" s="49"/>
      <c r="CN132" s="49"/>
    </row>
    <row r="133" spans="3:92">
      <c r="C133" s="6"/>
      <c r="E133" s="49"/>
      <c r="F133" s="49"/>
      <c r="G133" s="49"/>
      <c r="H133" s="49"/>
      <c r="I133" s="49"/>
      <c r="J133" s="49"/>
      <c r="K133" s="49"/>
      <c r="L133" s="49"/>
      <c r="M133" s="49"/>
      <c r="N133" s="49"/>
      <c r="O133" s="49"/>
      <c r="P133" s="49"/>
      <c r="Q133" s="524"/>
      <c r="R133" s="49"/>
      <c r="S133" s="49"/>
      <c r="T133" s="49"/>
      <c r="U133" s="49"/>
      <c r="V133" s="49"/>
      <c r="W133" s="49"/>
      <c r="X133" s="49"/>
      <c r="Y133" s="49"/>
      <c r="Z133" s="49"/>
      <c r="AA133" s="49"/>
      <c r="AB133" s="51"/>
      <c r="AC133" s="49"/>
      <c r="AD133" s="49"/>
      <c r="AE133" s="49"/>
      <c r="AF133" s="49"/>
      <c r="AG133" s="49"/>
      <c r="AH133" s="49"/>
      <c r="AI133" s="49"/>
      <c r="AJ133" s="49"/>
      <c r="AK133" s="49"/>
      <c r="AL133" s="49"/>
      <c r="AM133" s="49"/>
      <c r="AN133" s="49"/>
      <c r="AO133" s="49"/>
      <c r="AP133" s="49"/>
      <c r="AQ133" s="49"/>
      <c r="AR133" s="49"/>
      <c r="AS133" s="49"/>
      <c r="AT133" s="49"/>
      <c r="AU133" s="49"/>
      <c r="AV133" s="49"/>
      <c r="AW133" s="49"/>
      <c r="AX133" s="49"/>
      <c r="AY133" s="49"/>
      <c r="AZ133" s="49"/>
      <c r="BA133" s="49"/>
      <c r="BB133" s="49"/>
      <c r="BC133" s="49"/>
      <c r="BD133" s="49"/>
      <c r="BE133" s="49"/>
      <c r="BF133" s="49"/>
      <c r="BG133" s="49"/>
      <c r="BH133" s="49"/>
      <c r="BI133" s="49"/>
      <c r="BJ133" s="49"/>
      <c r="BK133" s="49"/>
      <c r="BL133" s="49"/>
      <c r="BM133" s="49"/>
      <c r="BN133" s="49"/>
      <c r="BO133" s="49"/>
      <c r="BP133" s="49"/>
      <c r="BQ133" s="49"/>
      <c r="BR133" s="49"/>
      <c r="BS133" s="49"/>
      <c r="BT133" s="49"/>
      <c r="BU133" s="49"/>
      <c r="BV133" s="49"/>
      <c r="BW133" s="49"/>
      <c r="BX133" s="49"/>
      <c r="BY133" s="49"/>
      <c r="BZ133" s="49"/>
      <c r="CA133" s="49"/>
      <c r="CB133" s="49"/>
      <c r="CC133" s="49"/>
      <c r="CD133" s="49"/>
      <c r="CE133" s="49"/>
      <c r="CF133" s="49"/>
      <c r="CG133" s="49"/>
      <c r="CH133" s="49"/>
      <c r="CI133" s="49"/>
      <c r="CJ133" s="49"/>
      <c r="CK133" s="49"/>
      <c r="CL133" s="49"/>
      <c r="CM133" s="49"/>
      <c r="CN133" s="49"/>
    </row>
    <row r="134" spans="3:92">
      <c r="C134" s="6"/>
      <c r="E134" s="49"/>
      <c r="F134" s="49"/>
      <c r="G134" s="49"/>
      <c r="H134" s="49"/>
      <c r="I134" s="49"/>
      <c r="J134" s="49"/>
      <c r="K134" s="49"/>
      <c r="L134" s="49"/>
      <c r="M134" s="49"/>
      <c r="N134" s="49"/>
      <c r="O134" s="49"/>
      <c r="P134" s="49"/>
      <c r="Q134" s="524"/>
      <c r="R134" s="49"/>
      <c r="S134" s="49"/>
      <c r="T134" s="49"/>
      <c r="U134" s="49"/>
      <c r="V134" s="49"/>
      <c r="W134" s="49"/>
      <c r="X134" s="49"/>
      <c r="Y134" s="49"/>
      <c r="Z134" s="49"/>
      <c r="AA134" s="49"/>
      <c r="AB134" s="51"/>
      <c r="AC134" s="49"/>
      <c r="AD134" s="49"/>
      <c r="AE134" s="49"/>
      <c r="AF134" s="49"/>
      <c r="AG134" s="49"/>
      <c r="AH134" s="49"/>
      <c r="AI134" s="49"/>
      <c r="AJ134" s="49"/>
      <c r="AK134" s="49"/>
      <c r="AL134" s="49"/>
      <c r="AM134" s="49"/>
      <c r="AN134" s="49"/>
      <c r="AO134" s="49"/>
      <c r="AP134" s="49"/>
      <c r="AQ134" s="49"/>
      <c r="AR134" s="49"/>
      <c r="AS134" s="49"/>
      <c r="AT134" s="49"/>
      <c r="AU134" s="49"/>
      <c r="AV134" s="49"/>
      <c r="AW134" s="49"/>
      <c r="AX134" s="49"/>
      <c r="AY134" s="49"/>
      <c r="AZ134" s="49"/>
      <c r="BA134" s="49"/>
      <c r="BB134" s="49"/>
      <c r="BC134" s="49"/>
      <c r="BD134" s="49"/>
      <c r="BE134" s="49"/>
      <c r="BF134" s="49"/>
      <c r="BG134" s="49"/>
      <c r="BH134" s="49"/>
      <c r="BI134" s="49"/>
      <c r="BJ134" s="49"/>
      <c r="BK134" s="49"/>
      <c r="BL134" s="49"/>
      <c r="BM134" s="49"/>
      <c r="BN134" s="49"/>
      <c r="BO134" s="49"/>
      <c r="BP134" s="49"/>
      <c r="BQ134" s="49"/>
      <c r="BR134" s="49"/>
      <c r="BS134" s="49"/>
      <c r="BT134" s="49"/>
      <c r="BU134" s="49"/>
      <c r="BV134" s="49"/>
      <c r="BW134" s="49"/>
      <c r="BX134" s="49"/>
      <c r="BY134" s="49"/>
      <c r="BZ134" s="49"/>
      <c r="CA134" s="49"/>
      <c r="CB134" s="49"/>
      <c r="CC134" s="49"/>
      <c r="CD134" s="49"/>
      <c r="CE134" s="49"/>
      <c r="CF134" s="49"/>
      <c r="CG134" s="49"/>
      <c r="CH134" s="49"/>
      <c r="CI134" s="49"/>
      <c r="CJ134" s="49"/>
      <c r="CK134" s="49"/>
      <c r="CL134" s="49"/>
      <c r="CM134" s="49"/>
      <c r="CN134" s="49"/>
    </row>
    <row r="135" spans="3:92">
      <c r="C135" s="6"/>
      <c r="E135" s="49"/>
      <c r="F135" s="49"/>
      <c r="G135" s="49"/>
      <c r="H135" s="49"/>
      <c r="I135" s="49"/>
      <c r="J135" s="49"/>
      <c r="K135" s="49"/>
      <c r="L135" s="49"/>
      <c r="M135" s="49"/>
      <c r="N135" s="49"/>
      <c r="O135" s="49"/>
      <c r="P135" s="49"/>
      <c r="Q135" s="524"/>
      <c r="R135" s="49"/>
      <c r="S135" s="49"/>
      <c r="T135" s="49"/>
      <c r="U135" s="49"/>
      <c r="V135" s="49"/>
      <c r="W135" s="49"/>
      <c r="X135" s="49"/>
      <c r="Y135" s="49"/>
      <c r="Z135" s="49"/>
      <c r="AA135" s="49"/>
      <c r="AB135" s="51"/>
      <c r="AC135" s="49"/>
      <c r="AD135" s="49"/>
      <c r="AE135" s="49"/>
      <c r="AF135" s="49"/>
      <c r="AG135" s="49"/>
      <c r="AH135" s="49"/>
      <c r="AI135" s="49"/>
      <c r="AJ135" s="49"/>
      <c r="AK135" s="49"/>
      <c r="AL135" s="49"/>
      <c r="AM135" s="49"/>
      <c r="AN135" s="49"/>
      <c r="AO135" s="49"/>
      <c r="AP135" s="49"/>
      <c r="AQ135" s="49"/>
      <c r="AR135" s="49"/>
      <c r="AS135" s="49"/>
      <c r="AT135" s="49"/>
      <c r="AU135" s="49"/>
      <c r="AV135" s="49"/>
      <c r="AW135" s="49"/>
      <c r="AX135" s="49"/>
      <c r="AY135" s="49"/>
      <c r="AZ135" s="49"/>
      <c r="BA135" s="49"/>
      <c r="BB135" s="49"/>
      <c r="BC135" s="49"/>
      <c r="BD135" s="49"/>
      <c r="BE135" s="49"/>
      <c r="BF135" s="49"/>
      <c r="BG135" s="49"/>
      <c r="BH135" s="49"/>
      <c r="BI135" s="49"/>
      <c r="BJ135" s="49"/>
      <c r="BK135" s="49"/>
      <c r="BL135" s="49"/>
      <c r="BM135" s="49"/>
      <c r="BN135" s="49"/>
      <c r="BO135" s="49"/>
      <c r="BP135" s="49"/>
      <c r="BQ135" s="49"/>
      <c r="BR135" s="49"/>
      <c r="BS135" s="49"/>
      <c r="BT135" s="49"/>
      <c r="BU135" s="49"/>
      <c r="BV135" s="49"/>
      <c r="BW135" s="49"/>
      <c r="BX135" s="49"/>
      <c r="BY135" s="49"/>
      <c r="BZ135" s="49"/>
      <c r="CA135" s="49"/>
      <c r="CB135" s="49"/>
      <c r="CC135" s="49"/>
      <c r="CD135" s="49"/>
      <c r="CE135" s="49"/>
      <c r="CF135" s="49"/>
      <c r="CG135" s="49"/>
      <c r="CH135" s="49"/>
      <c r="CI135" s="49"/>
      <c r="CJ135" s="49"/>
      <c r="CK135" s="49"/>
      <c r="CL135" s="49"/>
      <c r="CM135" s="49"/>
      <c r="CN135" s="49"/>
    </row>
    <row r="136" spans="3:92">
      <c r="C136" s="6"/>
      <c r="E136" s="49"/>
      <c r="F136" s="49"/>
      <c r="G136" s="49"/>
      <c r="H136" s="49"/>
      <c r="I136" s="49"/>
      <c r="J136" s="49"/>
      <c r="K136" s="49"/>
      <c r="L136" s="49"/>
      <c r="M136" s="49"/>
      <c r="N136" s="49"/>
      <c r="O136" s="49"/>
      <c r="P136" s="49"/>
      <c r="Q136" s="524"/>
      <c r="R136" s="49"/>
      <c r="S136" s="49"/>
      <c r="T136" s="49"/>
      <c r="U136" s="49"/>
      <c r="V136" s="49"/>
      <c r="W136" s="49"/>
      <c r="X136" s="49"/>
      <c r="Y136" s="49"/>
      <c r="Z136" s="49"/>
      <c r="AA136" s="49"/>
      <c r="AB136" s="51"/>
      <c r="AC136" s="49"/>
      <c r="AD136" s="49"/>
      <c r="AE136" s="49"/>
      <c r="AF136" s="49"/>
      <c r="AG136" s="49"/>
      <c r="AH136" s="49"/>
      <c r="AI136" s="49"/>
      <c r="AJ136" s="49"/>
      <c r="AK136" s="49"/>
      <c r="AL136" s="49"/>
      <c r="AM136" s="49"/>
      <c r="AN136" s="49"/>
      <c r="AO136" s="49"/>
      <c r="AP136" s="49"/>
      <c r="AQ136" s="49"/>
      <c r="AR136" s="49"/>
      <c r="AS136" s="49"/>
      <c r="AT136" s="49"/>
      <c r="AU136" s="49"/>
      <c r="AV136" s="49"/>
      <c r="AW136" s="49"/>
      <c r="AX136" s="49"/>
      <c r="AY136" s="49"/>
      <c r="AZ136" s="49"/>
      <c r="BA136" s="49"/>
      <c r="BB136" s="49"/>
      <c r="BC136" s="49"/>
      <c r="BD136" s="49"/>
      <c r="BE136" s="49"/>
      <c r="BF136" s="49"/>
      <c r="BG136" s="49"/>
      <c r="BH136" s="49"/>
      <c r="BI136" s="49"/>
      <c r="BJ136" s="49"/>
      <c r="BK136" s="49"/>
      <c r="BL136" s="49"/>
      <c r="BM136" s="49"/>
      <c r="BN136" s="49"/>
      <c r="BO136" s="49"/>
      <c r="BP136" s="49"/>
      <c r="BQ136" s="49"/>
      <c r="BR136" s="49"/>
      <c r="BS136" s="49"/>
      <c r="BT136" s="49"/>
      <c r="BU136" s="49"/>
      <c r="BV136" s="49"/>
      <c r="BW136" s="49"/>
      <c r="BX136" s="49"/>
      <c r="BY136" s="49"/>
      <c r="BZ136" s="49"/>
      <c r="CA136" s="49"/>
      <c r="CB136" s="49"/>
      <c r="CC136" s="49"/>
      <c r="CD136" s="49"/>
      <c r="CE136" s="49"/>
      <c r="CF136" s="49"/>
      <c r="CG136" s="49"/>
      <c r="CH136" s="49"/>
      <c r="CI136" s="49"/>
      <c r="CJ136" s="49"/>
      <c r="CK136" s="49"/>
      <c r="CL136" s="49"/>
      <c r="CM136" s="49"/>
      <c r="CN136" s="49"/>
    </row>
    <row r="137" spans="3:92">
      <c r="C137" s="6"/>
      <c r="E137" s="49"/>
      <c r="F137" s="49"/>
      <c r="G137" s="49"/>
      <c r="H137" s="49"/>
      <c r="I137" s="49"/>
      <c r="J137" s="49"/>
      <c r="K137" s="49"/>
      <c r="L137" s="49"/>
      <c r="M137" s="49"/>
      <c r="N137" s="49"/>
      <c r="O137" s="49"/>
      <c r="P137" s="49"/>
      <c r="Q137" s="524"/>
      <c r="R137" s="49"/>
      <c r="S137" s="49"/>
      <c r="T137" s="49"/>
      <c r="U137" s="49"/>
      <c r="V137" s="49"/>
      <c r="W137" s="49"/>
      <c r="X137" s="49"/>
      <c r="Y137" s="49"/>
      <c r="Z137" s="49"/>
      <c r="AA137" s="49"/>
      <c r="AB137" s="51"/>
      <c r="AC137" s="49"/>
      <c r="AD137" s="49"/>
      <c r="AE137" s="49"/>
      <c r="AF137" s="49"/>
      <c r="AG137" s="49"/>
      <c r="AH137" s="49"/>
      <c r="AI137" s="49"/>
      <c r="AJ137" s="49"/>
      <c r="AK137" s="49"/>
      <c r="AL137" s="49"/>
      <c r="AM137" s="49"/>
      <c r="AN137" s="49"/>
      <c r="AO137" s="49"/>
      <c r="AP137" s="49"/>
      <c r="AQ137" s="49"/>
      <c r="AR137" s="49"/>
      <c r="AS137" s="49"/>
      <c r="AT137" s="49"/>
      <c r="AU137" s="49"/>
      <c r="AV137" s="49"/>
      <c r="AW137" s="49"/>
      <c r="AX137" s="49"/>
      <c r="AY137" s="49"/>
      <c r="AZ137" s="49"/>
      <c r="BA137" s="49"/>
      <c r="BB137" s="49"/>
      <c r="BC137" s="49"/>
      <c r="BD137" s="49"/>
      <c r="BE137" s="49"/>
      <c r="BF137" s="49"/>
      <c r="BG137" s="49"/>
      <c r="BH137" s="49"/>
      <c r="BI137" s="49"/>
      <c r="BJ137" s="49"/>
      <c r="BK137" s="49"/>
      <c r="BL137" s="49"/>
      <c r="BM137" s="49"/>
      <c r="BN137" s="49"/>
      <c r="BO137" s="49"/>
      <c r="BP137" s="49"/>
      <c r="BQ137" s="49"/>
      <c r="BR137" s="49"/>
      <c r="BS137" s="49"/>
      <c r="BT137" s="49"/>
      <c r="BU137" s="49"/>
      <c r="BV137" s="49"/>
      <c r="BW137" s="49"/>
      <c r="BX137" s="49"/>
      <c r="BY137" s="49"/>
      <c r="BZ137" s="49"/>
      <c r="CA137" s="49"/>
      <c r="CB137" s="49"/>
      <c r="CC137" s="49"/>
      <c r="CD137" s="49"/>
      <c r="CE137" s="49"/>
      <c r="CF137" s="49"/>
      <c r="CG137" s="49"/>
      <c r="CH137" s="49"/>
      <c r="CI137" s="49"/>
      <c r="CJ137" s="49"/>
      <c r="CK137" s="49"/>
      <c r="CL137" s="49"/>
      <c r="CM137" s="49"/>
      <c r="CN137" s="49"/>
    </row>
    <row r="138" spans="3:92">
      <c r="C138" s="6"/>
      <c r="E138" s="49"/>
      <c r="F138" s="49"/>
      <c r="G138" s="49"/>
      <c r="H138" s="49"/>
      <c r="I138" s="49"/>
      <c r="J138" s="49"/>
      <c r="K138" s="49"/>
      <c r="L138" s="49"/>
      <c r="M138" s="49"/>
      <c r="N138" s="49"/>
      <c r="O138" s="49"/>
      <c r="P138" s="49"/>
      <c r="Q138" s="524"/>
      <c r="R138" s="49"/>
      <c r="S138" s="49"/>
      <c r="T138" s="49"/>
      <c r="U138" s="49"/>
      <c r="V138" s="49"/>
      <c r="W138" s="49"/>
      <c r="X138" s="49"/>
      <c r="Y138" s="49"/>
      <c r="Z138" s="49"/>
      <c r="AA138" s="49"/>
      <c r="AB138" s="51"/>
      <c r="AC138" s="49"/>
      <c r="AD138" s="49"/>
      <c r="AE138" s="49"/>
      <c r="AF138" s="49"/>
      <c r="AG138" s="49"/>
      <c r="AH138" s="49"/>
      <c r="AI138" s="49"/>
      <c r="AJ138" s="49"/>
      <c r="AK138" s="49"/>
      <c r="AL138" s="49"/>
      <c r="AM138" s="49"/>
      <c r="AN138" s="49"/>
      <c r="AO138" s="49"/>
      <c r="AP138" s="49"/>
      <c r="AQ138" s="49"/>
      <c r="AR138" s="49"/>
      <c r="AS138" s="49"/>
      <c r="AT138" s="49"/>
      <c r="AU138" s="49"/>
      <c r="AV138" s="49"/>
      <c r="AW138" s="49"/>
      <c r="AX138" s="49"/>
      <c r="AY138" s="49"/>
      <c r="AZ138" s="49"/>
      <c r="BA138" s="49"/>
      <c r="BB138" s="49"/>
      <c r="BC138" s="49"/>
      <c r="BD138" s="49"/>
      <c r="BE138" s="49"/>
      <c r="BF138" s="49"/>
      <c r="BG138" s="49"/>
      <c r="BH138" s="49"/>
      <c r="BI138" s="49"/>
      <c r="BJ138" s="49"/>
      <c r="BK138" s="49"/>
      <c r="BL138" s="49"/>
      <c r="BM138" s="49"/>
      <c r="BN138" s="49"/>
      <c r="BO138" s="49"/>
      <c r="BP138" s="49"/>
      <c r="BQ138" s="49"/>
      <c r="BR138" s="49"/>
      <c r="BS138" s="49"/>
      <c r="BT138" s="49"/>
      <c r="BU138" s="49"/>
      <c r="BV138" s="49"/>
      <c r="BW138" s="49"/>
      <c r="BX138" s="49"/>
      <c r="BY138" s="49"/>
      <c r="BZ138" s="49"/>
      <c r="CA138" s="49"/>
      <c r="CB138" s="49"/>
      <c r="CC138" s="49"/>
      <c r="CD138" s="49"/>
      <c r="CE138" s="49"/>
      <c r="CF138" s="49"/>
      <c r="CG138" s="49"/>
      <c r="CH138" s="49"/>
      <c r="CI138" s="49"/>
      <c r="CJ138" s="49"/>
      <c r="CK138" s="49"/>
      <c r="CL138" s="49"/>
      <c r="CM138" s="49"/>
      <c r="CN138" s="49"/>
    </row>
    <row r="139" spans="3:92">
      <c r="C139" s="6"/>
      <c r="E139" s="49"/>
      <c r="F139" s="49"/>
      <c r="G139" s="49"/>
      <c r="H139" s="49"/>
      <c r="I139" s="49"/>
      <c r="J139" s="49"/>
      <c r="K139" s="49"/>
      <c r="L139" s="49"/>
      <c r="M139" s="49"/>
      <c r="N139" s="49"/>
      <c r="O139" s="49"/>
      <c r="P139" s="49"/>
      <c r="Q139" s="524"/>
      <c r="R139" s="49"/>
      <c r="S139" s="49"/>
      <c r="T139" s="49"/>
      <c r="U139" s="49"/>
      <c r="V139" s="49"/>
      <c r="W139" s="49"/>
      <c r="X139" s="49"/>
      <c r="Y139" s="49"/>
      <c r="Z139" s="49"/>
      <c r="AA139" s="49"/>
      <c r="AB139" s="51"/>
      <c r="AC139" s="49"/>
      <c r="AD139" s="49"/>
      <c r="AE139" s="49"/>
      <c r="AF139" s="49"/>
      <c r="AG139" s="49"/>
      <c r="AH139" s="49"/>
      <c r="AI139" s="49"/>
      <c r="AJ139" s="49"/>
      <c r="AK139" s="49"/>
      <c r="AL139" s="49"/>
      <c r="AM139" s="49"/>
      <c r="AN139" s="49"/>
      <c r="AO139" s="49"/>
      <c r="AP139" s="49"/>
      <c r="AQ139" s="49"/>
      <c r="AR139" s="49"/>
      <c r="AS139" s="49"/>
      <c r="AT139" s="49"/>
      <c r="AU139" s="49"/>
      <c r="AV139" s="49"/>
      <c r="AW139" s="49"/>
      <c r="AX139" s="49"/>
      <c r="AY139" s="49"/>
      <c r="AZ139" s="49"/>
      <c r="BA139" s="49"/>
      <c r="BB139" s="49"/>
      <c r="BC139" s="49"/>
      <c r="BD139" s="49"/>
      <c r="BE139" s="49"/>
      <c r="BF139" s="49"/>
      <c r="BG139" s="49"/>
      <c r="BH139" s="49"/>
      <c r="BI139" s="49"/>
      <c r="BJ139" s="49"/>
      <c r="BK139" s="49"/>
      <c r="BL139" s="49"/>
      <c r="BM139" s="49"/>
      <c r="BN139" s="49"/>
      <c r="BO139" s="49"/>
      <c r="BP139" s="49"/>
      <c r="BQ139" s="49"/>
      <c r="BR139" s="49"/>
      <c r="BS139" s="49"/>
      <c r="BT139" s="49"/>
      <c r="BU139" s="49"/>
      <c r="BV139" s="49"/>
      <c r="BW139" s="49"/>
      <c r="BX139" s="49"/>
      <c r="BY139" s="49"/>
      <c r="BZ139" s="49"/>
      <c r="CA139" s="49"/>
      <c r="CB139" s="49"/>
      <c r="CC139" s="49"/>
      <c r="CD139" s="49"/>
      <c r="CE139" s="49"/>
      <c r="CF139" s="49"/>
      <c r="CG139" s="49"/>
      <c r="CH139" s="49"/>
      <c r="CI139" s="49"/>
      <c r="CJ139" s="49"/>
      <c r="CK139" s="49"/>
      <c r="CL139" s="49"/>
      <c r="CM139" s="49"/>
      <c r="CN139" s="49"/>
    </row>
    <row r="140" spans="3:92">
      <c r="C140" s="6"/>
      <c r="E140" s="49"/>
      <c r="F140" s="49"/>
      <c r="G140" s="49"/>
      <c r="H140" s="49"/>
      <c r="I140" s="49"/>
      <c r="J140" s="49"/>
      <c r="K140" s="49"/>
      <c r="L140" s="49"/>
      <c r="M140" s="49"/>
      <c r="N140" s="49"/>
      <c r="O140" s="49"/>
      <c r="P140" s="49"/>
      <c r="Q140" s="524"/>
      <c r="R140" s="49"/>
      <c r="S140" s="49"/>
      <c r="T140" s="49"/>
      <c r="U140" s="49"/>
      <c r="V140" s="49"/>
      <c r="W140" s="49"/>
      <c r="X140" s="49"/>
      <c r="Y140" s="49"/>
      <c r="Z140" s="49"/>
      <c r="AA140" s="49"/>
      <c r="AB140" s="51"/>
      <c r="AC140" s="49"/>
      <c r="AD140" s="49"/>
      <c r="AE140" s="49"/>
      <c r="AF140" s="49"/>
      <c r="AG140" s="49"/>
      <c r="AH140" s="49"/>
      <c r="AI140" s="49"/>
      <c r="AJ140" s="49"/>
      <c r="AK140" s="49"/>
      <c r="AL140" s="49"/>
      <c r="AM140" s="49"/>
      <c r="AN140" s="49"/>
      <c r="AO140" s="49"/>
      <c r="AP140" s="49"/>
      <c r="AQ140" s="49"/>
      <c r="AR140" s="49"/>
      <c r="AS140" s="49"/>
      <c r="AT140" s="49"/>
      <c r="AU140" s="49"/>
      <c r="AV140" s="49"/>
      <c r="AW140" s="49"/>
      <c r="AX140" s="49"/>
      <c r="AY140" s="49"/>
      <c r="AZ140" s="49"/>
      <c r="BA140" s="49"/>
      <c r="BB140" s="49"/>
      <c r="BC140" s="49"/>
      <c r="BD140" s="49"/>
      <c r="BE140" s="49"/>
      <c r="BF140" s="49"/>
      <c r="BG140" s="49"/>
      <c r="BH140" s="49"/>
      <c r="BI140" s="49"/>
      <c r="BJ140" s="49"/>
      <c r="BK140" s="49"/>
      <c r="BL140" s="49"/>
      <c r="BM140" s="49"/>
      <c r="BN140" s="49"/>
      <c r="BO140" s="49"/>
      <c r="BP140" s="49"/>
      <c r="BQ140" s="49"/>
      <c r="BR140" s="49"/>
      <c r="BS140" s="49"/>
      <c r="BT140" s="49"/>
      <c r="BU140" s="49"/>
      <c r="BV140" s="49"/>
      <c r="BW140" s="49"/>
      <c r="BX140" s="49"/>
      <c r="BY140" s="49"/>
      <c r="BZ140" s="49"/>
      <c r="CA140" s="49"/>
      <c r="CB140" s="49"/>
      <c r="CC140" s="49"/>
      <c r="CD140" s="49"/>
      <c r="CE140" s="49"/>
      <c r="CF140" s="49"/>
      <c r="CG140" s="49"/>
      <c r="CH140" s="49"/>
      <c r="CI140" s="49"/>
      <c r="CJ140" s="49"/>
      <c r="CK140" s="49"/>
      <c r="CL140" s="49"/>
      <c r="CM140" s="49"/>
      <c r="CN140" s="49"/>
    </row>
    <row r="141" spans="3:92">
      <c r="C141" s="6"/>
      <c r="E141" s="49"/>
      <c r="F141" s="49"/>
      <c r="G141" s="49"/>
      <c r="H141" s="49"/>
      <c r="I141" s="49"/>
      <c r="J141" s="49"/>
      <c r="K141" s="49"/>
      <c r="L141" s="49"/>
      <c r="M141" s="49"/>
      <c r="N141" s="49"/>
      <c r="O141" s="49"/>
      <c r="P141" s="49"/>
      <c r="Q141" s="524"/>
      <c r="R141" s="49"/>
      <c r="S141" s="49"/>
      <c r="T141" s="49"/>
      <c r="U141" s="49"/>
      <c r="V141" s="49"/>
      <c r="W141" s="49"/>
      <c r="X141" s="49"/>
      <c r="Y141" s="49"/>
      <c r="Z141" s="49"/>
      <c r="AA141" s="49"/>
      <c r="AB141" s="51"/>
      <c r="AC141" s="49"/>
      <c r="AD141" s="49"/>
      <c r="AE141" s="49"/>
      <c r="AF141" s="49"/>
      <c r="AG141" s="49"/>
      <c r="AH141" s="49"/>
      <c r="AI141" s="49"/>
      <c r="AJ141" s="49"/>
      <c r="AK141" s="49"/>
      <c r="AL141" s="49"/>
      <c r="AM141" s="49"/>
      <c r="AN141" s="49"/>
      <c r="AO141" s="49"/>
      <c r="AP141" s="49"/>
      <c r="AQ141" s="49"/>
      <c r="AR141" s="49"/>
      <c r="AS141" s="49"/>
      <c r="AT141" s="49"/>
      <c r="AU141" s="49"/>
      <c r="AV141" s="49"/>
      <c r="AW141" s="49"/>
      <c r="AX141" s="49"/>
      <c r="AY141" s="49"/>
      <c r="AZ141" s="49"/>
      <c r="BA141" s="49"/>
      <c r="BB141" s="49"/>
      <c r="BC141" s="49"/>
      <c r="BD141" s="49"/>
      <c r="BE141" s="49"/>
      <c r="BF141" s="49"/>
      <c r="BG141" s="49"/>
      <c r="BH141" s="49"/>
      <c r="BI141" s="49"/>
      <c r="BJ141" s="49"/>
      <c r="BK141" s="49"/>
      <c r="BL141" s="49"/>
      <c r="BM141" s="49"/>
      <c r="BN141" s="49"/>
      <c r="BO141" s="49"/>
      <c r="BP141" s="49"/>
      <c r="BQ141" s="49"/>
      <c r="BR141" s="49"/>
      <c r="BS141" s="49"/>
      <c r="BT141" s="49"/>
      <c r="BU141" s="49"/>
      <c r="BV141" s="49"/>
      <c r="BW141" s="49"/>
      <c r="BX141" s="49"/>
      <c r="BY141" s="49"/>
      <c r="BZ141" s="49"/>
      <c r="CA141" s="49"/>
      <c r="CB141" s="49"/>
      <c r="CC141" s="49"/>
      <c r="CD141" s="49"/>
      <c r="CE141" s="49"/>
      <c r="CF141" s="49"/>
      <c r="CG141" s="49"/>
      <c r="CH141" s="49"/>
      <c r="CI141" s="49"/>
      <c r="CJ141" s="49"/>
      <c r="CK141" s="49"/>
      <c r="CL141" s="49"/>
      <c r="CM141" s="49"/>
      <c r="CN141" s="49"/>
    </row>
    <row r="142" spans="3:92">
      <c r="C142" s="6"/>
      <c r="E142" s="49"/>
      <c r="F142" s="49"/>
      <c r="G142" s="49"/>
      <c r="H142" s="49"/>
      <c r="I142" s="49"/>
      <c r="J142" s="49"/>
      <c r="K142" s="49"/>
      <c r="L142" s="49"/>
      <c r="M142" s="49"/>
      <c r="N142" s="49"/>
      <c r="O142" s="49"/>
      <c r="P142" s="49"/>
      <c r="Q142" s="524"/>
      <c r="R142" s="49"/>
      <c r="S142" s="49"/>
      <c r="T142" s="49"/>
      <c r="U142" s="49"/>
      <c r="V142" s="49"/>
      <c r="W142" s="49"/>
      <c r="X142" s="49"/>
      <c r="Y142" s="49"/>
      <c r="Z142" s="49"/>
      <c r="AA142" s="49"/>
      <c r="AB142" s="51"/>
      <c r="AC142" s="49"/>
      <c r="AD142" s="49"/>
      <c r="AE142" s="49"/>
      <c r="AF142" s="49"/>
      <c r="AG142" s="49"/>
      <c r="AH142" s="49"/>
      <c r="AI142" s="49"/>
      <c r="AJ142" s="49"/>
      <c r="AK142" s="49"/>
      <c r="AL142" s="49"/>
      <c r="AM142" s="49"/>
      <c r="AN142" s="49"/>
      <c r="AO142" s="49"/>
      <c r="AP142" s="49"/>
      <c r="AQ142" s="49"/>
      <c r="AR142" s="49"/>
      <c r="AS142" s="49"/>
      <c r="AT142" s="49"/>
      <c r="AU142" s="49"/>
      <c r="AV142" s="49"/>
      <c r="AW142" s="49"/>
      <c r="AX142" s="49"/>
      <c r="AY142" s="49"/>
      <c r="AZ142" s="49"/>
      <c r="BA142" s="49"/>
      <c r="BB142" s="49"/>
      <c r="BC142" s="49"/>
      <c r="BD142" s="49"/>
      <c r="BE142" s="49"/>
      <c r="BF142" s="49"/>
      <c r="BG142" s="49"/>
      <c r="BH142" s="49"/>
      <c r="BI142" s="49"/>
      <c r="BJ142" s="49"/>
      <c r="BK142" s="49"/>
      <c r="BL142" s="49"/>
      <c r="BM142" s="49"/>
      <c r="BN142" s="49"/>
      <c r="BO142" s="49"/>
      <c r="BP142" s="49"/>
      <c r="BQ142" s="49"/>
      <c r="BR142" s="49"/>
      <c r="BS142" s="49"/>
      <c r="BT142" s="49"/>
      <c r="BU142" s="49"/>
      <c r="BV142" s="49"/>
      <c r="BW142" s="49"/>
      <c r="BX142" s="49"/>
      <c r="BY142" s="49"/>
      <c r="BZ142" s="49"/>
      <c r="CA142" s="49"/>
      <c r="CB142" s="49"/>
      <c r="CC142" s="49"/>
      <c r="CD142" s="49"/>
      <c r="CE142" s="49"/>
      <c r="CF142" s="49"/>
      <c r="CG142" s="49"/>
      <c r="CH142" s="49"/>
      <c r="CI142" s="49"/>
      <c r="CJ142" s="49"/>
      <c r="CK142" s="49"/>
      <c r="CL142" s="49"/>
      <c r="CM142" s="49"/>
      <c r="CN142" s="49"/>
    </row>
    <row r="143" spans="3:92">
      <c r="C143" s="6"/>
      <c r="E143" s="49"/>
      <c r="F143" s="49"/>
      <c r="G143" s="49"/>
      <c r="H143" s="49"/>
      <c r="I143" s="49"/>
      <c r="J143" s="49"/>
      <c r="K143" s="49"/>
      <c r="L143" s="49"/>
      <c r="M143" s="49"/>
      <c r="N143" s="49"/>
      <c r="O143" s="49"/>
      <c r="P143" s="49"/>
      <c r="Q143" s="524"/>
      <c r="R143" s="49"/>
      <c r="S143" s="49"/>
      <c r="T143" s="49"/>
      <c r="U143" s="49"/>
      <c r="V143" s="49"/>
      <c r="W143" s="49"/>
      <c r="X143" s="49"/>
      <c r="Y143" s="49"/>
      <c r="Z143" s="49"/>
      <c r="AA143" s="49"/>
      <c r="AB143" s="51"/>
      <c r="AC143" s="49"/>
      <c r="AD143" s="49"/>
      <c r="AE143" s="49"/>
      <c r="AF143" s="49"/>
      <c r="AG143" s="49"/>
      <c r="AH143" s="49"/>
      <c r="AI143" s="49"/>
      <c r="AJ143" s="49"/>
      <c r="AK143" s="49"/>
      <c r="AL143" s="49"/>
      <c r="AM143" s="49"/>
      <c r="AN143" s="49"/>
      <c r="AO143" s="49"/>
      <c r="AP143" s="49"/>
      <c r="AQ143" s="49"/>
      <c r="AR143" s="49"/>
      <c r="AS143" s="49"/>
      <c r="AT143" s="49"/>
      <c r="AU143" s="49"/>
      <c r="AV143" s="49"/>
      <c r="AW143" s="49"/>
      <c r="AX143" s="49"/>
      <c r="AY143" s="49"/>
      <c r="AZ143" s="49"/>
      <c r="BA143" s="49"/>
      <c r="BB143" s="49"/>
      <c r="BC143" s="49"/>
      <c r="BD143" s="49"/>
      <c r="BE143" s="49"/>
      <c r="BF143" s="49"/>
      <c r="BG143" s="49"/>
      <c r="BH143" s="49"/>
      <c r="BI143" s="49"/>
      <c r="BJ143" s="49"/>
      <c r="BK143" s="49"/>
      <c r="BL143" s="49"/>
      <c r="BM143" s="49"/>
      <c r="BN143" s="49"/>
      <c r="BO143" s="49"/>
      <c r="BP143" s="49"/>
      <c r="BQ143" s="49"/>
      <c r="BR143" s="49"/>
      <c r="BS143" s="49"/>
      <c r="BT143" s="49"/>
      <c r="BU143" s="49"/>
      <c r="BV143" s="49"/>
      <c r="BW143" s="49"/>
      <c r="BX143" s="49"/>
      <c r="BY143" s="49"/>
      <c r="BZ143" s="49"/>
      <c r="CA143" s="49"/>
      <c r="CB143" s="49"/>
      <c r="CC143" s="49"/>
      <c r="CD143" s="49"/>
      <c r="CE143" s="49"/>
      <c r="CF143" s="49"/>
      <c r="CG143" s="49"/>
      <c r="CH143" s="49"/>
      <c r="CI143" s="49"/>
      <c r="CJ143" s="49"/>
      <c r="CK143" s="49"/>
      <c r="CL143" s="49"/>
      <c r="CM143" s="49"/>
      <c r="CN143" s="49"/>
    </row>
    <row r="144" spans="3:92">
      <c r="C144" s="6"/>
      <c r="E144" s="49"/>
      <c r="F144" s="49"/>
      <c r="G144" s="49"/>
      <c r="H144" s="49"/>
      <c r="I144" s="49"/>
      <c r="J144" s="49"/>
      <c r="K144" s="49"/>
      <c r="L144" s="49"/>
      <c r="M144" s="49"/>
      <c r="N144" s="49"/>
      <c r="O144" s="49"/>
      <c r="P144" s="49"/>
      <c r="Q144" s="524"/>
      <c r="R144" s="49"/>
      <c r="S144" s="49"/>
      <c r="T144" s="49"/>
      <c r="U144" s="49"/>
      <c r="V144" s="49"/>
      <c r="W144" s="49"/>
      <c r="X144" s="49"/>
      <c r="Y144" s="49"/>
      <c r="Z144" s="49"/>
      <c r="AA144" s="49"/>
      <c r="AB144" s="51"/>
      <c r="AC144" s="49"/>
      <c r="AD144" s="49"/>
      <c r="AE144" s="49"/>
      <c r="AF144" s="49"/>
      <c r="AG144" s="49"/>
      <c r="AH144" s="49"/>
      <c r="AI144" s="49"/>
      <c r="AJ144" s="49"/>
      <c r="AK144" s="49"/>
      <c r="AL144" s="49"/>
      <c r="AM144" s="49"/>
      <c r="AN144" s="49"/>
      <c r="AO144" s="49"/>
      <c r="AP144" s="49"/>
      <c r="AQ144" s="49"/>
      <c r="AR144" s="49"/>
      <c r="AS144" s="49"/>
      <c r="AT144" s="49"/>
      <c r="AU144" s="49"/>
      <c r="AV144" s="49"/>
      <c r="AW144" s="49"/>
      <c r="AX144" s="49"/>
      <c r="AY144" s="49"/>
      <c r="AZ144" s="49"/>
      <c r="BA144" s="49"/>
      <c r="BB144" s="49"/>
      <c r="BC144" s="49"/>
      <c r="BD144" s="49"/>
      <c r="BE144" s="49"/>
      <c r="BF144" s="49"/>
      <c r="BG144" s="49"/>
      <c r="BH144" s="49"/>
      <c r="BI144" s="49"/>
      <c r="BJ144" s="49"/>
      <c r="BK144" s="49"/>
      <c r="BL144" s="49"/>
      <c r="BM144" s="49"/>
      <c r="BN144" s="49"/>
      <c r="BO144" s="49"/>
      <c r="BP144" s="49"/>
      <c r="BQ144" s="49"/>
      <c r="BR144" s="49"/>
      <c r="BS144" s="49"/>
      <c r="BT144" s="49"/>
      <c r="BU144" s="49"/>
      <c r="BV144" s="49"/>
      <c r="BW144" s="49"/>
      <c r="BX144" s="49"/>
      <c r="BY144" s="49"/>
      <c r="BZ144" s="49"/>
      <c r="CA144" s="49"/>
      <c r="CB144" s="49"/>
      <c r="CC144" s="49"/>
      <c r="CD144" s="49"/>
      <c r="CE144" s="49"/>
      <c r="CF144" s="49"/>
      <c r="CG144" s="49"/>
      <c r="CH144" s="49"/>
      <c r="CI144" s="49"/>
      <c r="CJ144" s="49"/>
      <c r="CK144" s="49"/>
      <c r="CL144" s="49"/>
      <c r="CM144" s="49"/>
      <c r="CN144" s="49"/>
    </row>
    <row r="145" spans="3:92">
      <c r="C145" s="6"/>
      <c r="E145" s="49"/>
      <c r="F145" s="49"/>
      <c r="G145" s="49"/>
      <c r="H145" s="49"/>
      <c r="I145" s="49"/>
      <c r="J145" s="49"/>
      <c r="K145" s="49"/>
      <c r="L145" s="49"/>
      <c r="M145" s="49"/>
      <c r="N145" s="49"/>
      <c r="O145" s="49"/>
      <c r="P145" s="49"/>
      <c r="Q145" s="524"/>
      <c r="R145" s="49"/>
      <c r="S145" s="49"/>
      <c r="T145" s="49"/>
      <c r="U145" s="49"/>
      <c r="V145" s="49"/>
      <c r="W145" s="49"/>
      <c r="X145" s="49"/>
      <c r="Y145" s="49"/>
      <c r="Z145" s="49"/>
      <c r="AA145" s="49"/>
      <c r="AB145" s="51"/>
      <c r="AC145" s="49"/>
      <c r="AD145" s="49"/>
      <c r="AE145" s="49"/>
      <c r="AF145" s="49"/>
      <c r="AG145" s="49"/>
      <c r="AH145" s="49"/>
      <c r="AI145" s="49"/>
      <c r="AJ145" s="49"/>
      <c r="AK145" s="49"/>
      <c r="AL145" s="49"/>
      <c r="AM145" s="49"/>
      <c r="AN145" s="49"/>
      <c r="AO145" s="49"/>
      <c r="AP145" s="49"/>
      <c r="AQ145" s="49"/>
      <c r="AR145" s="49"/>
      <c r="AS145" s="49"/>
      <c r="AT145" s="49"/>
      <c r="AU145" s="49"/>
      <c r="AV145" s="49"/>
      <c r="AW145" s="49"/>
      <c r="AX145" s="49"/>
      <c r="AY145" s="49"/>
      <c r="AZ145" s="49"/>
      <c r="BA145" s="49"/>
      <c r="BB145" s="49"/>
      <c r="BC145" s="49"/>
      <c r="BD145" s="49"/>
      <c r="BE145" s="49"/>
      <c r="BF145" s="49"/>
      <c r="BG145" s="49"/>
      <c r="BH145" s="49"/>
      <c r="BI145" s="49"/>
      <c r="BJ145" s="49"/>
      <c r="BK145" s="49"/>
      <c r="BL145" s="49"/>
      <c r="BM145" s="49"/>
      <c r="BN145" s="49"/>
      <c r="BO145" s="49"/>
      <c r="BP145" s="49"/>
      <c r="BQ145" s="49"/>
      <c r="BR145" s="49"/>
      <c r="BS145" s="49"/>
      <c r="BT145" s="49"/>
      <c r="BU145" s="49"/>
      <c r="BV145" s="49"/>
      <c r="BW145" s="49"/>
      <c r="BX145" s="49"/>
      <c r="BY145" s="49"/>
      <c r="BZ145" s="49"/>
      <c r="CA145" s="49"/>
      <c r="CB145" s="49"/>
      <c r="CC145" s="49"/>
      <c r="CD145" s="49"/>
      <c r="CE145" s="49"/>
      <c r="CF145" s="49"/>
      <c r="CG145" s="49"/>
      <c r="CH145" s="49"/>
      <c r="CI145" s="49"/>
      <c r="CJ145" s="49"/>
      <c r="CK145" s="49"/>
      <c r="CL145" s="49"/>
      <c r="CM145" s="49"/>
      <c r="CN145" s="49"/>
    </row>
    <row r="146" spans="3:92">
      <c r="C146" s="6"/>
      <c r="E146" s="49"/>
      <c r="F146" s="49"/>
      <c r="G146" s="49"/>
      <c r="H146" s="49"/>
      <c r="I146" s="49"/>
      <c r="J146" s="49"/>
      <c r="K146" s="49"/>
      <c r="L146" s="49"/>
      <c r="M146" s="49"/>
      <c r="N146" s="49"/>
      <c r="O146" s="49"/>
      <c r="P146" s="49"/>
      <c r="Q146" s="524"/>
      <c r="R146" s="49"/>
      <c r="S146" s="49"/>
      <c r="T146" s="49"/>
      <c r="U146" s="49"/>
      <c r="V146" s="49"/>
      <c r="W146" s="49"/>
      <c r="X146" s="49"/>
      <c r="Y146" s="49"/>
      <c r="Z146" s="49"/>
      <c r="AA146" s="49"/>
      <c r="AB146" s="51"/>
      <c r="AC146" s="49"/>
      <c r="AD146" s="49"/>
      <c r="AE146" s="49"/>
      <c r="AF146" s="49"/>
      <c r="AG146" s="49"/>
      <c r="AH146" s="49"/>
      <c r="AI146" s="49"/>
      <c r="AJ146" s="49"/>
      <c r="AK146" s="49"/>
      <c r="AL146" s="49"/>
      <c r="AM146" s="49"/>
      <c r="AN146" s="49"/>
      <c r="AO146" s="49"/>
      <c r="AP146" s="49"/>
      <c r="AQ146" s="49"/>
      <c r="AR146" s="49"/>
      <c r="AS146" s="49"/>
      <c r="AT146" s="49"/>
      <c r="AU146" s="49"/>
      <c r="AV146" s="49"/>
      <c r="AW146" s="49"/>
      <c r="AX146" s="49"/>
      <c r="AY146" s="49"/>
      <c r="AZ146" s="49"/>
      <c r="BA146" s="49"/>
      <c r="BB146" s="49"/>
      <c r="BC146" s="49"/>
      <c r="BD146" s="49"/>
      <c r="BE146" s="49"/>
      <c r="BF146" s="49"/>
      <c r="BG146" s="49"/>
      <c r="BH146" s="49"/>
      <c r="BI146" s="49"/>
      <c r="BJ146" s="49"/>
      <c r="BK146" s="49"/>
      <c r="BL146" s="49"/>
      <c r="BM146" s="49"/>
      <c r="BN146" s="49"/>
      <c r="BO146" s="49"/>
      <c r="BP146" s="49"/>
      <c r="BQ146" s="49"/>
      <c r="BR146" s="49"/>
      <c r="BS146" s="49"/>
      <c r="BT146" s="49"/>
      <c r="BU146" s="49"/>
      <c r="BV146" s="49"/>
      <c r="BW146" s="49"/>
      <c r="BX146" s="49"/>
      <c r="BY146" s="49"/>
      <c r="BZ146" s="49"/>
      <c r="CA146" s="49"/>
      <c r="CB146" s="49"/>
      <c r="CC146" s="49"/>
      <c r="CD146" s="49"/>
      <c r="CE146" s="49"/>
      <c r="CF146" s="49"/>
      <c r="CG146" s="49"/>
      <c r="CH146" s="49"/>
      <c r="CI146" s="49"/>
      <c r="CJ146" s="49"/>
      <c r="CK146" s="49"/>
      <c r="CL146" s="49"/>
      <c r="CM146" s="49"/>
      <c r="CN146" s="49"/>
    </row>
    <row r="147" spans="3:92">
      <c r="C147" s="6"/>
      <c r="E147" s="49"/>
      <c r="F147" s="49"/>
      <c r="G147" s="49"/>
      <c r="H147" s="49"/>
      <c r="I147" s="49"/>
      <c r="J147" s="49"/>
      <c r="K147" s="49"/>
      <c r="L147" s="49"/>
      <c r="M147" s="49"/>
      <c r="N147" s="49"/>
      <c r="O147" s="49"/>
      <c r="P147" s="49"/>
      <c r="Q147" s="524"/>
      <c r="R147" s="49"/>
      <c r="S147" s="49"/>
      <c r="T147" s="49"/>
      <c r="U147" s="49"/>
      <c r="V147" s="49"/>
      <c r="W147" s="49"/>
      <c r="X147" s="49"/>
      <c r="Y147" s="49"/>
      <c r="Z147" s="49"/>
      <c r="AA147" s="49"/>
      <c r="AB147" s="51"/>
      <c r="AC147" s="49"/>
      <c r="AD147" s="49"/>
      <c r="AE147" s="49"/>
      <c r="AF147" s="49"/>
      <c r="AG147" s="49"/>
      <c r="AH147" s="49"/>
      <c r="AI147" s="49"/>
      <c r="AJ147" s="49"/>
      <c r="AK147" s="49"/>
      <c r="AL147" s="49"/>
      <c r="AM147" s="49"/>
      <c r="AN147" s="49"/>
      <c r="AO147" s="49"/>
      <c r="AP147" s="49"/>
      <c r="AQ147" s="49"/>
      <c r="AR147" s="49"/>
      <c r="AS147" s="49"/>
      <c r="AT147" s="49"/>
      <c r="AU147" s="49"/>
      <c r="AV147" s="49"/>
      <c r="AW147" s="49"/>
      <c r="AX147" s="49"/>
      <c r="AY147" s="49"/>
      <c r="AZ147" s="49"/>
      <c r="BA147" s="49"/>
      <c r="BB147" s="49"/>
      <c r="BC147" s="49"/>
      <c r="BD147" s="49"/>
      <c r="BE147" s="49"/>
      <c r="BF147" s="49"/>
      <c r="BG147" s="49"/>
      <c r="BH147" s="49"/>
      <c r="BI147" s="49"/>
      <c r="BJ147" s="49"/>
      <c r="BK147" s="49"/>
      <c r="BL147" s="49"/>
      <c r="BM147" s="49"/>
      <c r="BN147" s="49"/>
      <c r="BO147" s="49"/>
      <c r="BP147" s="49"/>
      <c r="BQ147" s="49"/>
      <c r="BR147" s="49"/>
      <c r="BS147" s="49"/>
      <c r="BT147" s="49"/>
      <c r="BU147" s="49"/>
      <c r="BV147" s="49"/>
      <c r="BW147" s="49"/>
      <c r="BX147" s="49"/>
      <c r="BY147" s="49"/>
      <c r="BZ147" s="49"/>
      <c r="CA147" s="49"/>
      <c r="CB147" s="49"/>
      <c r="CC147" s="49"/>
      <c r="CD147" s="49"/>
      <c r="CE147" s="49"/>
      <c r="CF147" s="49"/>
      <c r="CG147" s="49"/>
      <c r="CH147" s="49"/>
      <c r="CI147" s="49"/>
      <c r="CJ147" s="49"/>
      <c r="CK147" s="49"/>
      <c r="CL147" s="49"/>
      <c r="CM147" s="49"/>
      <c r="CN147" s="49"/>
    </row>
    <row r="148" spans="3:92">
      <c r="C148" s="6"/>
      <c r="E148" s="49"/>
      <c r="F148" s="49"/>
      <c r="G148" s="49"/>
      <c r="H148" s="49"/>
      <c r="I148" s="49"/>
      <c r="J148" s="49"/>
      <c r="K148" s="49"/>
      <c r="L148" s="49"/>
      <c r="M148" s="49"/>
      <c r="N148" s="49"/>
      <c r="O148" s="49"/>
      <c r="P148" s="49"/>
      <c r="Q148" s="524"/>
      <c r="R148" s="49"/>
      <c r="S148" s="49"/>
      <c r="T148" s="49"/>
      <c r="U148" s="49"/>
      <c r="V148" s="49"/>
      <c r="W148" s="49"/>
      <c r="X148" s="49"/>
      <c r="Y148" s="49"/>
      <c r="Z148" s="49"/>
      <c r="AA148" s="49"/>
      <c r="AB148" s="51"/>
      <c r="AC148" s="49"/>
      <c r="AD148" s="49"/>
      <c r="AE148" s="49"/>
      <c r="AF148" s="49"/>
      <c r="AG148" s="49"/>
      <c r="AH148" s="49"/>
      <c r="AI148" s="49"/>
      <c r="AJ148" s="49"/>
      <c r="AK148" s="49"/>
      <c r="AL148" s="49"/>
      <c r="AM148" s="49"/>
      <c r="AN148" s="49"/>
      <c r="AO148" s="49"/>
      <c r="AP148" s="49"/>
      <c r="AQ148" s="49"/>
      <c r="AR148" s="49"/>
      <c r="AS148" s="49"/>
      <c r="AT148" s="49"/>
      <c r="AU148" s="49"/>
      <c r="AV148" s="49"/>
      <c r="AW148" s="49"/>
      <c r="AX148" s="49"/>
      <c r="AY148" s="49"/>
      <c r="AZ148" s="49"/>
      <c r="BA148" s="49"/>
      <c r="BB148" s="49"/>
      <c r="BC148" s="49"/>
      <c r="BD148" s="49"/>
      <c r="BE148" s="49"/>
      <c r="BF148" s="49"/>
      <c r="BG148" s="49"/>
      <c r="BH148" s="49"/>
      <c r="BI148" s="49"/>
      <c r="BJ148" s="49"/>
      <c r="BK148" s="49"/>
      <c r="BL148" s="49"/>
      <c r="BM148" s="49"/>
      <c r="BN148" s="49"/>
      <c r="BO148" s="49"/>
      <c r="BP148" s="49"/>
      <c r="BQ148" s="49"/>
      <c r="BR148" s="49"/>
      <c r="BS148" s="49"/>
      <c r="BT148" s="49"/>
      <c r="BU148" s="49"/>
      <c r="BV148" s="49"/>
      <c r="BW148" s="49"/>
      <c r="BX148" s="49"/>
      <c r="BY148" s="49"/>
      <c r="BZ148" s="49"/>
      <c r="CA148" s="49"/>
      <c r="CB148" s="49"/>
      <c r="CC148" s="49"/>
      <c r="CD148" s="49"/>
      <c r="CE148" s="49"/>
      <c r="CF148" s="49"/>
      <c r="CG148" s="49"/>
      <c r="CH148" s="49"/>
      <c r="CI148" s="49"/>
      <c r="CJ148" s="49"/>
      <c r="CK148" s="49"/>
      <c r="CL148" s="49"/>
      <c r="CM148" s="49"/>
      <c r="CN148" s="49"/>
    </row>
    <row r="149" spans="3:92">
      <c r="C149" s="6"/>
      <c r="E149" s="49"/>
      <c r="F149" s="49"/>
      <c r="G149" s="49"/>
      <c r="H149" s="49"/>
      <c r="I149" s="49"/>
      <c r="J149" s="49"/>
      <c r="K149" s="49"/>
      <c r="L149" s="49"/>
      <c r="M149" s="49"/>
      <c r="N149" s="49"/>
      <c r="O149" s="49"/>
      <c r="P149" s="49"/>
      <c r="Q149" s="524"/>
      <c r="R149" s="49"/>
      <c r="S149" s="49"/>
      <c r="T149" s="49"/>
      <c r="U149" s="49"/>
      <c r="V149" s="49"/>
      <c r="W149" s="49"/>
      <c r="X149" s="49"/>
      <c r="Y149" s="49"/>
      <c r="Z149" s="49"/>
      <c r="AA149" s="49"/>
      <c r="AB149" s="51"/>
      <c r="AC149" s="49"/>
      <c r="AD149" s="49"/>
      <c r="AE149" s="49"/>
      <c r="AF149" s="49"/>
      <c r="AG149" s="49"/>
      <c r="AH149" s="49"/>
      <c r="AI149" s="49"/>
      <c r="AJ149" s="49"/>
      <c r="AK149" s="49"/>
      <c r="AL149" s="49"/>
      <c r="AM149" s="49"/>
      <c r="AN149" s="49"/>
      <c r="AO149" s="49"/>
      <c r="AP149" s="49"/>
      <c r="AQ149" s="49"/>
      <c r="AR149" s="49"/>
      <c r="AS149" s="49"/>
      <c r="AT149" s="49"/>
      <c r="AU149" s="49"/>
      <c r="AV149" s="49"/>
      <c r="AW149" s="49"/>
      <c r="AX149" s="49"/>
      <c r="AY149" s="49"/>
      <c r="AZ149" s="49"/>
      <c r="BA149" s="49"/>
      <c r="BB149" s="49"/>
      <c r="BC149" s="49"/>
      <c r="BD149" s="49"/>
      <c r="BE149" s="49"/>
      <c r="BF149" s="49"/>
      <c r="BG149" s="49"/>
      <c r="BH149" s="49"/>
      <c r="BI149" s="49"/>
      <c r="BJ149" s="49"/>
      <c r="BK149" s="49"/>
      <c r="BL149" s="49"/>
      <c r="BM149" s="49"/>
      <c r="BN149" s="49"/>
      <c r="BO149" s="49"/>
      <c r="BP149" s="49"/>
      <c r="BQ149" s="49"/>
      <c r="BR149" s="49"/>
      <c r="BS149" s="49"/>
      <c r="BT149" s="49"/>
      <c r="BU149" s="49"/>
      <c r="BV149" s="49"/>
      <c r="BW149" s="49"/>
      <c r="BX149" s="49"/>
      <c r="BY149" s="49"/>
      <c r="BZ149" s="49"/>
      <c r="CA149" s="49"/>
      <c r="CB149" s="49"/>
      <c r="CC149" s="49"/>
      <c r="CD149" s="49"/>
      <c r="CE149" s="49"/>
      <c r="CF149" s="49"/>
      <c r="CG149" s="49"/>
      <c r="CH149" s="49"/>
      <c r="CI149" s="49"/>
      <c r="CJ149" s="49"/>
      <c r="CK149" s="49"/>
      <c r="CL149" s="49"/>
      <c r="CM149" s="49"/>
      <c r="CN149" s="49"/>
    </row>
    <row r="150" spans="3:92">
      <c r="C150" s="6"/>
      <c r="E150" s="49"/>
      <c r="F150" s="49"/>
      <c r="G150" s="49"/>
      <c r="H150" s="49"/>
      <c r="I150" s="49"/>
      <c r="J150" s="49"/>
      <c r="K150" s="49"/>
      <c r="L150" s="49"/>
      <c r="M150" s="49"/>
      <c r="N150" s="49"/>
      <c r="O150" s="49"/>
      <c r="P150" s="49"/>
      <c r="Q150" s="524"/>
      <c r="R150" s="49"/>
      <c r="S150" s="49"/>
      <c r="T150" s="49"/>
      <c r="U150" s="49"/>
      <c r="V150" s="49"/>
      <c r="W150" s="49"/>
      <c r="X150" s="49"/>
      <c r="Y150" s="49"/>
      <c r="Z150" s="49"/>
      <c r="AA150" s="49"/>
      <c r="AB150" s="51"/>
      <c r="AC150" s="49"/>
      <c r="AD150" s="49"/>
      <c r="AE150" s="49"/>
      <c r="AF150" s="49"/>
      <c r="AG150" s="49"/>
      <c r="AH150" s="49"/>
      <c r="AI150" s="49"/>
      <c r="AJ150" s="49"/>
      <c r="AK150" s="49"/>
      <c r="AL150" s="49"/>
      <c r="AM150" s="49"/>
      <c r="AN150" s="49"/>
      <c r="AO150" s="49"/>
      <c r="AP150" s="49"/>
      <c r="AQ150" s="49"/>
      <c r="AR150" s="49"/>
      <c r="AS150" s="49"/>
      <c r="AT150" s="49"/>
      <c r="AU150" s="49"/>
      <c r="AV150" s="49"/>
      <c r="AW150" s="49"/>
      <c r="AX150" s="49"/>
      <c r="AY150" s="49"/>
      <c r="AZ150" s="49"/>
      <c r="BA150" s="49"/>
      <c r="BB150" s="49"/>
      <c r="BC150" s="49"/>
      <c r="BD150" s="49"/>
      <c r="BE150" s="49"/>
      <c r="BF150" s="49"/>
      <c r="BG150" s="49"/>
      <c r="BH150" s="49"/>
      <c r="BI150" s="49"/>
      <c r="BJ150" s="49"/>
      <c r="BK150" s="49"/>
      <c r="BL150" s="49"/>
      <c r="BM150" s="49"/>
      <c r="BN150" s="49"/>
      <c r="BO150" s="49"/>
      <c r="BP150" s="49"/>
      <c r="BQ150" s="49"/>
      <c r="BR150" s="49"/>
      <c r="BS150" s="49"/>
      <c r="BT150" s="49"/>
      <c r="BU150" s="49"/>
      <c r="BV150" s="49"/>
      <c r="BW150" s="49"/>
      <c r="BX150" s="49"/>
      <c r="BY150" s="49"/>
      <c r="BZ150" s="49"/>
      <c r="CA150" s="49"/>
      <c r="CB150" s="49"/>
      <c r="CC150" s="49"/>
      <c r="CD150" s="49"/>
      <c r="CE150" s="49"/>
      <c r="CF150" s="49"/>
      <c r="CG150" s="49"/>
      <c r="CH150" s="49"/>
      <c r="CI150" s="49"/>
      <c r="CJ150" s="49"/>
      <c r="CK150" s="49"/>
      <c r="CL150" s="49"/>
      <c r="CM150" s="49"/>
      <c r="CN150" s="49"/>
    </row>
    <row r="151" spans="3:92">
      <c r="C151" s="6"/>
      <c r="E151" s="49"/>
      <c r="F151" s="49"/>
      <c r="G151" s="49"/>
      <c r="H151" s="49"/>
      <c r="I151" s="49"/>
      <c r="J151" s="49"/>
      <c r="K151" s="49"/>
      <c r="L151" s="49"/>
      <c r="M151" s="49"/>
      <c r="N151" s="49"/>
      <c r="O151" s="49"/>
      <c r="P151" s="49"/>
      <c r="Q151" s="524"/>
      <c r="R151" s="49"/>
      <c r="S151" s="49"/>
      <c r="T151" s="49"/>
      <c r="U151" s="49"/>
      <c r="V151" s="49"/>
      <c r="W151" s="49"/>
      <c r="X151" s="49"/>
      <c r="Y151" s="49"/>
      <c r="Z151" s="49"/>
      <c r="AA151" s="49"/>
      <c r="AB151" s="51"/>
      <c r="AC151" s="49"/>
      <c r="AD151" s="49"/>
      <c r="AE151" s="49"/>
      <c r="AF151" s="49"/>
      <c r="AG151" s="49"/>
      <c r="AH151" s="49"/>
      <c r="AI151" s="49"/>
      <c r="AJ151" s="49"/>
      <c r="AK151" s="49"/>
      <c r="AL151" s="49"/>
      <c r="AM151" s="49"/>
      <c r="AN151" s="49"/>
      <c r="AO151" s="49"/>
      <c r="AP151" s="49"/>
      <c r="AQ151" s="49"/>
      <c r="AR151" s="49"/>
      <c r="AS151" s="49"/>
      <c r="AT151" s="49"/>
      <c r="AU151" s="49"/>
      <c r="AV151" s="49"/>
      <c r="AW151" s="49"/>
      <c r="AX151" s="49"/>
      <c r="AY151" s="49"/>
      <c r="AZ151" s="49"/>
      <c r="BA151" s="49"/>
      <c r="BB151" s="49"/>
      <c r="BC151" s="49"/>
      <c r="BD151" s="49"/>
      <c r="BE151" s="49"/>
      <c r="BF151" s="49"/>
      <c r="BG151" s="49"/>
      <c r="BH151" s="49"/>
      <c r="BI151" s="49"/>
      <c r="BJ151" s="49"/>
      <c r="BK151" s="49"/>
      <c r="BL151" s="49"/>
      <c r="BM151" s="49"/>
      <c r="BN151" s="49"/>
      <c r="BO151" s="49"/>
      <c r="BP151" s="49"/>
      <c r="BQ151" s="49"/>
      <c r="BR151" s="49"/>
      <c r="BS151" s="49"/>
      <c r="BT151" s="49"/>
      <c r="BU151" s="49"/>
      <c r="BV151" s="49"/>
      <c r="BW151" s="49"/>
      <c r="BX151" s="49"/>
      <c r="BY151" s="49"/>
      <c r="BZ151" s="49"/>
      <c r="CA151" s="49"/>
      <c r="CB151" s="49"/>
      <c r="CC151" s="49"/>
      <c r="CD151" s="49"/>
      <c r="CE151" s="49"/>
      <c r="CF151" s="49"/>
      <c r="CG151" s="49"/>
      <c r="CH151" s="49"/>
      <c r="CI151" s="49"/>
      <c r="CJ151" s="49"/>
      <c r="CK151" s="49"/>
      <c r="CL151" s="49"/>
      <c r="CM151" s="49"/>
      <c r="CN151" s="49"/>
    </row>
    <row r="152" spans="3:92">
      <c r="C152" s="6"/>
      <c r="E152" s="49"/>
      <c r="F152" s="49"/>
      <c r="G152" s="49"/>
      <c r="H152" s="49"/>
      <c r="I152" s="49"/>
      <c r="J152" s="49"/>
      <c r="K152" s="49"/>
      <c r="L152" s="49"/>
      <c r="M152" s="49"/>
      <c r="N152" s="49"/>
      <c r="O152" s="49"/>
      <c r="P152" s="49"/>
      <c r="Q152" s="524"/>
      <c r="R152" s="49"/>
      <c r="S152" s="49"/>
      <c r="T152" s="49"/>
      <c r="U152" s="49"/>
      <c r="V152" s="49"/>
      <c r="W152" s="49"/>
      <c r="X152" s="49"/>
      <c r="Y152" s="49"/>
      <c r="Z152" s="49"/>
      <c r="AA152" s="49"/>
      <c r="AB152" s="51"/>
      <c r="AC152" s="49"/>
      <c r="AD152" s="49"/>
      <c r="AE152" s="49"/>
      <c r="AF152" s="49"/>
      <c r="AG152" s="49"/>
      <c r="AH152" s="49"/>
      <c r="AI152" s="49"/>
      <c r="AJ152" s="49"/>
      <c r="AK152" s="49"/>
      <c r="AL152" s="49"/>
      <c r="AM152" s="49"/>
      <c r="AN152" s="49"/>
      <c r="AO152" s="49"/>
      <c r="AP152" s="49"/>
      <c r="AQ152" s="49"/>
      <c r="AR152" s="49"/>
      <c r="AS152" s="49"/>
      <c r="AT152" s="49"/>
      <c r="AU152" s="49"/>
      <c r="AV152" s="49"/>
      <c r="AW152" s="49"/>
      <c r="AX152" s="49"/>
      <c r="AY152" s="49"/>
      <c r="AZ152" s="49"/>
      <c r="BA152" s="49"/>
      <c r="BB152" s="49"/>
      <c r="BC152" s="49"/>
      <c r="BD152" s="49"/>
      <c r="BE152" s="49"/>
      <c r="BF152" s="49"/>
      <c r="BG152" s="49"/>
      <c r="BH152" s="49"/>
      <c r="BI152" s="49"/>
      <c r="BJ152" s="49"/>
      <c r="BK152" s="49"/>
      <c r="BL152" s="49"/>
      <c r="BM152" s="49"/>
      <c r="BN152" s="49"/>
      <c r="BO152" s="49"/>
      <c r="BP152" s="49"/>
      <c r="BQ152" s="49"/>
      <c r="BR152" s="49"/>
      <c r="BS152" s="49"/>
      <c r="BT152" s="49"/>
      <c r="BU152" s="49"/>
      <c r="BV152" s="49"/>
      <c r="BW152" s="49"/>
      <c r="BX152" s="49"/>
      <c r="BY152" s="49"/>
      <c r="BZ152" s="49"/>
      <c r="CA152" s="49"/>
      <c r="CB152" s="49"/>
      <c r="CC152" s="49"/>
      <c r="CD152" s="49"/>
      <c r="CE152" s="49"/>
      <c r="CF152" s="49"/>
      <c r="CG152" s="49"/>
      <c r="CH152" s="49"/>
      <c r="CI152" s="49"/>
      <c r="CJ152" s="49"/>
      <c r="CK152" s="49"/>
      <c r="CL152" s="49"/>
      <c r="CM152" s="49"/>
      <c r="CN152" s="49"/>
    </row>
    <row r="153" spans="3:92">
      <c r="C153" s="6"/>
      <c r="E153" s="49"/>
      <c r="F153" s="49"/>
      <c r="G153" s="49"/>
      <c r="H153" s="49"/>
      <c r="I153" s="49"/>
      <c r="J153" s="49"/>
      <c r="K153" s="49"/>
      <c r="L153" s="49"/>
      <c r="M153" s="49"/>
      <c r="N153" s="49"/>
      <c r="O153" s="49"/>
      <c r="P153" s="49"/>
      <c r="Q153" s="524"/>
      <c r="R153" s="49"/>
      <c r="S153" s="49"/>
      <c r="T153" s="49"/>
      <c r="U153" s="49"/>
      <c r="V153" s="49"/>
      <c r="W153" s="49"/>
      <c r="X153" s="49"/>
      <c r="Y153" s="49"/>
      <c r="Z153" s="49"/>
      <c r="AA153" s="49"/>
      <c r="AB153" s="51"/>
      <c r="AC153" s="49"/>
      <c r="AD153" s="49"/>
      <c r="AE153" s="49"/>
      <c r="AF153" s="49"/>
      <c r="AG153" s="49"/>
      <c r="AH153" s="49"/>
      <c r="AI153" s="49"/>
      <c r="AJ153" s="49"/>
      <c r="AK153" s="49"/>
      <c r="AL153" s="49"/>
      <c r="AM153" s="49"/>
      <c r="AN153" s="49"/>
      <c r="AO153" s="49"/>
      <c r="AP153" s="49"/>
      <c r="AQ153" s="49"/>
      <c r="AR153" s="49"/>
      <c r="AS153" s="49"/>
      <c r="AT153" s="49"/>
      <c r="AU153" s="49"/>
      <c r="AV153" s="49"/>
      <c r="AW153" s="49"/>
      <c r="AX153" s="49"/>
      <c r="AY153" s="49"/>
      <c r="AZ153" s="49"/>
      <c r="BA153" s="49"/>
      <c r="BB153" s="49"/>
      <c r="BC153" s="49"/>
      <c r="BD153" s="49"/>
      <c r="BE153" s="49"/>
      <c r="BF153" s="49"/>
      <c r="BG153" s="49"/>
      <c r="BH153" s="49"/>
      <c r="BI153" s="49"/>
      <c r="BJ153" s="49"/>
      <c r="BK153" s="49"/>
      <c r="BL153" s="49"/>
      <c r="BM153" s="49"/>
      <c r="BN153" s="49"/>
      <c r="BO153" s="49"/>
      <c r="BP153" s="49"/>
      <c r="BQ153" s="49"/>
      <c r="BR153" s="49"/>
      <c r="BS153" s="49"/>
      <c r="BT153" s="49"/>
      <c r="BU153" s="49"/>
      <c r="BV153" s="49"/>
      <c r="BW153" s="49"/>
      <c r="BX153" s="49"/>
      <c r="BY153" s="49"/>
      <c r="BZ153" s="49"/>
      <c r="CA153" s="49"/>
      <c r="CB153" s="49"/>
      <c r="CC153" s="49"/>
      <c r="CD153" s="49"/>
      <c r="CE153" s="49"/>
      <c r="CF153" s="49"/>
      <c r="CG153" s="49"/>
      <c r="CH153" s="49"/>
      <c r="CI153" s="49"/>
      <c r="CJ153" s="49"/>
      <c r="CK153" s="49"/>
      <c r="CL153" s="49"/>
      <c r="CM153" s="49"/>
      <c r="CN153" s="49"/>
    </row>
    <row r="154" spans="3:92">
      <c r="C154" s="6"/>
      <c r="E154" s="49"/>
      <c r="F154" s="49"/>
      <c r="G154" s="49"/>
      <c r="H154" s="49"/>
      <c r="I154" s="49"/>
      <c r="J154" s="49"/>
      <c r="K154" s="49"/>
      <c r="L154" s="49"/>
      <c r="M154" s="49"/>
      <c r="N154" s="49"/>
      <c r="O154" s="49"/>
      <c r="P154" s="49"/>
      <c r="Q154" s="524"/>
      <c r="R154" s="49"/>
      <c r="S154" s="49"/>
      <c r="T154" s="49"/>
      <c r="U154" s="49"/>
      <c r="V154" s="49"/>
      <c r="W154" s="49"/>
      <c r="X154" s="49"/>
      <c r="Y154" s="49"/>
      <c r="Z154" s="49"/>
      <c r="AA154" s="49"/>
      <c r="AB154" s="51"/>
      <c r="AC154" s="49"/>
      <c r="AD154" s="49"/>
      <c r="AE154" s="49"/>
      <c r="AF154" s="49"/>
      <c r="AG154" s="49"/>
      <c r="AH154" s="49"/>
      <c r="AI154" s="49"/>
      <c r="AJ154" s="49"/>
      <c r="AK154" s="49"/>
      <c r="AL154" s="49"/>
      <c r="AM154" s="49"/>
      <c r="AN154" s="49"/>
      <c r="AO154" s="49"/>
      <c r="AP154" s="49"/>
      <c r="AQ154" s="49"/>
      <c r="AR154" s="49"/>
      <c r="AS154" s="49"/>
      <c r="AT154" s="49"/>
      <c r="AU154" s="49"/>
      <c r="AV154" s="49"/>
      <c r="AW154" s="49"/>
      <c r="AX154" s="49"/>
      <c r="AY154" s="49"/>
      <c r="AZ154" s="49"/>
      <c r="BA154" s="49"/>
      <c r="BB154" s="49"/>
      <c r="BC154" s="49"/>
      <c r="BD154" s="49"/>
      <c r="BE154" s="49"/>
      <c r="BF154" s="49"/>
      <c r="BG154" s="49"/>
      <c r="BH154" s="49"/>
      <c r="BI154" s="49"/>
      <c r="BJ154" s="49"/>
      <c r="BK154" s="49"/>
      <c r="BL154" s="49"/>
      <c r="BM154" s="49"/>
      <c r="BN154" s="49"/>
      <c r="BO154" s="49"/>
      <c r="BP154" s="49"/>
      <c r="BQ154" s="49"/>
      <c r="BR154" s="49"/>
      <c r="BS154" s="49"/>
      <c r="BT154" s="49"/>
      <c r="BU154" s="49"/>
      <c r="BV154" s="49"/>
      <c r="BW154" s="49"/>
      <c r="BX154" s="49"/>
      <c r="BY154" s="49"/>
      <c r="BZ154" s="49"/>
      <c r="CA154" s="49"/>
      <c r="CB154" s="49"/>
      <c r="CC154" s="49"/>
      <c r="CD154" s="49"/>
      <c r="CE154" s="49"/>
      <c r="CF154" s="49"/>
      <c r="CG154" s="49"/>
      <c r="CH154" s="49"/>
      <c r="CI154" s="49"/>
      <c r="CJ154" s="49"/>
      <c r="CK154" s="49"/>
      <c r="CL154" s="49"/>
      <c r="CM154" s="49"/>
      <c r="CN154" s="49"/>
    </row>
    <row r="155" spans="3:92">
      <c r="C155" s="6"/>
      <c r="E155" s="49"/>
      <c r="F155" s="49"/>
      <c r="G155" s="49"/>
      <c r="H155" s="49"/>
      <c r="I155" s="49"/>
      <c r="J155" s="49"/>
      <c r="K155" s="49"/>
      <c r="L155" s="49"/>
      <c r="M155" s="49"/>
      <c r="N155" s="49"/>
      <c r="O155" s="49"/>
      <c r="P155" s="49"/>
      <c r="Q155" s="524"/>
      <c r="R155" s="49"/>
      <c r="S155" s="49"/>
      <c r="T155" s="49"/>
      <c r="U155" s="49"/>
      <c r="V155" s="49"/>
      <c r="W155" s="49"/>
      <c r="X155" s="49"/>
      <c r="Y155" s="49"/>
      <c r="Z155" s="49"/>
      <c r="AA155" s="49"/>
      <c r="AB155" s="51"/>
      <c r="AC155" s="49"/>
      <c r="AD155" s="49"/>
      <c r="AE155" s="49"/>
      <c r="AF155" s="49"/>
      <c r="AG155" s="49"/>
      <c r="AH155" s="49"/>
      <c r="AI155" s="49"/>
      <c r="AJ155" s="49"/>
      <c r="AK155" s="49"/>
      <c r="AL155" s="49"/>
      <c r="AM155" s="49"/>
      <c r="AN155" s="49"/>
      <c r="AO155" s="49"/>
      <c r="AP155" s="49"/>
      <c r="AQ155" s="49"/>
      <c r="AR155" s="49"/>
      <c r="AS155" s="49"/>
      <c r="AT155" s="49"/>
      <c r="AU155" s="49"/>
      <c r="AV155" s="49"/>
      <c r="AW155" s="49"/>
      <c r="AX155" s="49"/>
      <c r="AY155" s="49"/>
      <c r="AZ155" s="49"/>
      <c r="BA155" s="49"/>
      <c r="BB155" s="49"/>
      <c r="BC155" s="49"/>
      <c r="BD155" s="49"/>
      <c r="BE155" s="49"/>
      <c r="BF155" s="49"/>
      <c r="BG155" s="49"/>
      <c r="BH155" s="49"/>
      <c r="BI155" s="49"/>
      <c r="BJ155" s="49"/>
      <c r="BK155" s="49"/>
      <c r="BL155" s="49"/>
      <c r="BM155" s="49"/>
      <c r="BN155" s="49"/>
      <c r="BO155" s="49"/>
      <c r="BP155" s="49"/>
      <c r="BQ155" s="49"/>
      <c r="BR155" s="49"/>
      <c r="BS155" s="49"/>
      <c r="BT155" s="49"/>
      <c r="BU155" s="49"/>
      <c r="BV155" s="49"/>
      <c r="BW155" s="49"/>
      <c r="BX155" s="49"/>
      <c r="BY155" s="49"/>
      <c r="BZ155" s="49"/>
      <c r="CA155" s="49"/>
      <c r="CB155" s="49"/>
      <c r="CC155" s="49"/>
      <c r="CD155" s="49"/>
      <c r="CE155" s="49"/>
      <c r="CF155" s="49"/>
      <c r="CG155" s="49"/>
      <c r="CH155" s="49"/>
      <c r="CI155" s="49"/>
      <c r="CJ155" s="49"/>
      <c r="CK155" s="49"/>
      <c r="CL155" s="49"/>
      <c r="CM155" s="49"/>
      <c r="CN155" s="49"/>
    </row>
    <row r="156" spans="3:92">
      <c r="C156" s="6"/>
      <c r="E156" s="49"/>
      <c r="F156" s="49"/>
      <c r="G156" s="49"/>
      <c r="H156" s="49"/>
      <c r="I156" s="49"/>
      <c r="J156" s="49"/>
      <c r="K156" s="49"/>
      <c r="L156" s="49"/>
      <c r="M156" s="49"/>
      <c r="N156" s="49"/>
      <c r="O156" s="49"/>
      <c r="P156" s="49"/>
      <c r="Q156" s="524"/>
      <c r="R156" s="49"/>
      <c r="S156" s="49"/>
      <c r="T156" s="49"/>
      <c r="U156" s="49"/>
      <c r="V156" s="49"/>
      <c r="W156" s="49"/>
      <c r="X156" s="49"/>
      <c r="Y156" s="49"/>
      <c r="Z156" s="49"/>
      <c r="AA156" s="49"/>
      <c r="AB156" s="51"/>
      <c r="AC156" s="49"/>
      <c r="AD156" s="49"/>
      <c r="AE156" s="49"/>
      <c r="AF156" s="49"/>
      <c r="AG156" s="49"/>
      <c r="AH156" s="49"/>
      <c r="AI156" s="49"/>
      <c r="AJ156" s="49"/>
      <c r="AK156" s="49"/>
      <c r="AL156" s="49"/>
      <c r="AM156" s="49"/>
      <c r="AN156" s="49"/>
      <c r="AO156" s="49"/>
      <c r="AP156" s="49"/>
      <c r="AQ156" s="49"/>
      <c r="AR156" s="49"/>
      <c r="AS156" s="49"/>
      <c r="AT156" s="49"/>
      <c r="AU156" s="49"/>
      <c r="AV156" s="49"/>
      <c r="AW156" s="49"/>
      <c r="AX156" s="49"/>
      <c r="AY156" s="49"/>
      <c r="AZ156" s="49"/>
      <c r="BA156" s="49"/>
      <c r="BB156" s="49"/>
      <c r="BC156" s="49"/>
      <c r="BD156" s="49"/>
      <c r="BE156" s="49"/>
      <c r="BF156" s="49"/>
      <c r="BG156" s="49"/>
      <c r="BH156" s="49"/>
      <c r="BI156" s="49"/>
      <c r="BJ156" s="49"/>
      <c r="BK156" s="49"/>
      <c r="BL156" s="49"/>
      <c r="BM156" s="49"/>
      <c r="BN156" s="49"/>
      <c r="BO156" s="49"/>
      <c r="BP156" s="49"/>
      <c r="BQ156" s="49"/>
      <c r="BR156" s="49"/>
      <c r="BS156" s="49"/>
      <c r="BT156" s="49"/>
      <c r="BU156" s="49"/>
      <c r="BV156" s="49"/>
      <c r="BW156" s="49"/>
      <c r="BX156" s="49"/>
      <c r="BY156" s="49"/>
      <c r="BZ156" s="49"/>
      <c r="CA156" s="49"/>
      <c r="CB156" s="49"/>
      <c r="CC156" s="49"/>
      <c r="CD156" s="49"/>
      <c r="CE156" s="49"/>
      <c r="CF156" s="49"/>
      <c r="CG156" s="49"/>
      <c r="CH156" s="49"/>
      <c r="CI156" s="49"/>
      <c r="CJ156" s="49"/>
      <c r="CK156" s="49"/>
      <c r="CL156" s="49"/>
      <c r="CM156" s="49"/>
      <c r="CN156" s="49"/>
    </row>
    <row r="157" spans="3:92">
      <c r="C157" s="6"/>
      <c r="E157" s="49"/>
      <c r="F157" s="49"/>
      <c r="G157" s="49"/>
      <c r="H157" s="49"/>
      <c r="I157" s="49"/>
      <c r="J157" s="49"/>
      <c r="K157" s="49"/>
      <c r="L157" s="49"/>
      <c r="M157" s="49"/>
      <c r="N157" s="49"/>
      <c r="O157" s="49"/>
      <c r="P157" s="49"/>
      <c r="Q157" s="524"/>
      <c r="R157" s="49"/>
      <c r="S157" s="49"/>
      <c r="T157" s="49"/>
      <c r="U157" s="49"/>
      <c r="V157" s="49"/>
      <c r="W157" s="49"/>
      <c r="X157" s="49"/>
      <c r="Y157" s="49"/>
      <c r="Z157" s="49"/>
      <c r="AA157" s="49"/>
      <c r="AB157" s="51"/>
      <c r="AC157" s="49"/>
      <c r="AD157" s="49"/>
      <c r="AE157" s="49"/>
      <c r="AF157" s="49"/>
      <c r="AG157" s="49"/>
      <c r="AH157" s="49"/>
      <c r="AI157" s="49"/>
      <c r="AJ157" s="49"/>
      <c r="AK157" s="49"/>
      <c r="AL157" s="49"/>
      <c r="AM157" s="49"/>
      <c r="AN157" s="49"/>
      <c r="AO157" s="49"/>
      <c r="AP157" s="49"/>
      <c r="AQ157" s="49"/>
      <c r="AR157" s="49"/>
      <c r="AS157" s="49"/>
      <c r="AT157" s="49"/>
      <c r="AU157" s="49"/>
      <c r="AV157" s="49"/>
      <c r="AW157" s="49"/>
      <c r="AX157" s="49"/>
      <c r="AY157" s="49"/>
      <c r="AZ157" s="49"/>
      <c r="BA157" s="49"/>
      <c r="BB157" s="49"/>
      <c r="BC157" s="49"/>
      <c r="BD157" s="49"/>
      <c r="BE157" s="49"/>
      <c r="BF157" s="49"/>
      <c r="BG157" s="49"/>
      <c r="BH157" s="49"/>
      <c r="BI157" s="49"/>
      <c r="BJ157" s="49"/>
      <c r="BK157" s="49"/>
      <c r="BL157" s="49"/>
      <c r="BM157" s="49"/>
      <c r="BN157" s="49"/>
      <c r="BO157" s="49"/>
      <c r="BP157" s="49"/>
      <c r="BQ157" s="49"/>
      <c r="BR157" s="49"/>
      <c r="BS157" s="49"/>
      <c r="BT157" s="49"/>
      <c r="BU157" s="49"/>
      <c r="BV157" s="49"/>
      <c r="BW157" s="49"/>
      <c r="BX157" s="49"/>
      <c r="BY157" s="49"/>
      <c r="BZ157" s="49"/>
      <c r="CA157" s="49"/>
      <c r="CB157" s="49"/>
      <c r="CC157" s="49"/>
      <c r="CD157" s="49"/>
      <c r="CE157" s="49"/>
      <c r="CF157" s="49"/>
      <c r="CG157" s="49"/>
      <c r="CH157" s="49"/>
      <c r="CI157" s="49"/>
      <c r="CJ157" s="49"/>
      <c r="CK157" s="49"/>
      <c r="CL157" s="49"/>
      <c r="CM157" s="49"/>
      <c r="CN157" s="49"/>
    </row>
    <row r="158" spans="3:92">
      <c r="C158" s="6"/>
      <c r="E158" s="49"/>
      <c r="F158" s="49"/>
      <c r="G158" s="49"/>
      <c r="H158" s="49"/>
      <c r="I158" s="49"/>
      <c r="J158" s="49"/>
      <c r="K158" s="49"/>
      <c r="L158" s="49"/>
      <c r="M158" s="49"/>
      <c r="N158" s="49"/>
      <c r="O158" s="49"/>
      <c r="P158" s="49"/>
      <c r="Q158" s="524"/>
      <c r="R158" s="49"/>
      <c r="S158" s="49"/>
      <c r="T158" s="49"/>
      <c r="U158" s="49"/>
      <c r="V158" s="49"/>
      <c r="W158" s="49"/>
      <c r="X158" s="49"/>
      <c r="Y158" s="49"/>
      <c r="Z158" s="49"/>
      <c r="AA158" s="49"/>
      <c r="AB158" s="51"/>
      <c r="AC158" s="49"/>
      <c r="AD158" s="49"/>
      <c r="AE158" s="49"/>
      <c r="AF158" s="49"/>
      <c r="AG158" s="49"/>
      <c r="AH158" s="49"/>
      <c r="AI158" s="49"/>
      <c r="AJ158" s="49"/>
      <c r="AK158" s="49"/>
      <c r="AL158" s="49"/>
      <c r="AM158" s="49"/>
      <c r="AN158" s="49"/>
      <c r="AO158" s="49"/>
      <c r="AP158" s="49"/>
      <c r="AQ158" s="49"/>
      <c r="AR158" s="49"/>
      <c r="AS158" s="49"/>
      <c r="AT158" s="49"/>
      <c r="AU158" s="49"/>
      <c r="AV158" s="49"/>
      <c r="AW158" s="49"/>
      <c r="AX158" s="49"/>
      <c r="AY158" s="49"/>
      <c r="AZ158" s="49"/>
      <c r="BA158" s="49"/>
      <c r="BB158" s="49"/>
      <c r="BC158" s="49"/>
      <c r="BD158" s="49"/>
      <c r="BE158" s="49"/>
      <c r="BF158" s="49"/>
      <c r="BG158" s="49"/>
      <c r="BH158" s="49"/>
      <c r="BI158" s="49"/>
      <c r="BJ158" s="49"/>
      <c r="BK158" s="49"/>
      <c r="BL158" s="49"/>
      <c r="BM158" s="49"/>
      <c r="BN158" s="49"/>
      <c r="BO158" s="49"/>
      <c r="BP158" s="49"/>
      <c r="BQ158" s="49"/>
      <c r="BR158" s="49"/>
      <c r="BS158" s="49"/>
      <c r="BT158" s="49"/>
      <c r="BU158" s="49"/>
      <c r="BV158" s="49"/>
      <c r="BW158" s="49"/>
      <c r="BX158" s="49"/>
      <c r="BY158" s="49"/>
      <c r="BZ158" s="49"/>
      <c r="CA158" s="49"/>
      <c r="CB158" s="49"/>
      <c r="CC158" s="49"/>
      <c r="CD158" s="49"/>
      <c r="CE158" s="49"/>
      <c r="CF158" s="49"/>
      <c r="CG158" s="49"/>
      <c r="CH158" s="49"/>
      <c r="CI158" s="49"/>
      <c r="CJ158" s="49"/>
      <c r="CK158" s="49"/>
      <c r="CL158" s="49"/>
      <c r="CM158" s="49"/>
      <c r="CN158" s="49"/>
    </row>
    <row r="159" spans="3:92">
      <c r="C159" s="6"/>
      <c r="E159" s="49"/>
      <c r="F159" s="49"/>
      <c r="G159" s="49"/>
      <c r="H159" s="49"/>
      <c r="I159" s="49"/>
      <c r="J159" s="49"/>
      <c r="K159" s="49"/>
      <c r="L159" s="49"/>
      <c r="M159" s="49"/>
      <c r="N159" s="49"/>
      <c r="O159" s="49"/>
      <c r="P159" s="49"/>
      <c r="Q159" s="524"/>
      <c r="R159" s="49"/>
      <c r="S159" s="49"/>
      <c r="T159" s="49"/>
      <c r="U159" s="49"/>
      <c r="V159" s="49"/>
      <c r="W159" s="49"/>
      <c r="X159" s="49"/>
      <c r="Y159" s="49"/>
      <c r="Z159" s="49"/>
      <c r="AA159" s="49"/>
      <c r="AB159" s="51"/>
      <c r="AC159" s="49"/>
      <c r="AD159" s="49"/>
      <c r="AE159" s="49"/>
      <c r="AF159" s="49"/>
      <c r="AG159" s="49"/>
      <c r="AH159" s="49"/>
      <c r="AI159" s="49"/>
      <c r="AJ159" s="49"/>
      <c r="AK159" s="49"/>
      <c r="AL159" s="49"/>
      <c r="AM159" s="49"/>
      <c r="AN159" s="49"/>
      <c r="AO159" s="49"/>
      <c r="AP159" s="49"/>
      <c r="AQ159" s="49"/>
      <c r="AR159" s="49"/>
      <c r="AS159" s="49"/>
      <c r="AT159" s="49"/>
      <c r="AU159" s="49"/>
      <c r="AV159" s="49"/>
      <c r="AW159" s="49"/>
      <c r="AX159" s="49"/>
      <c r="AY159" s="49"/>
      <c r="AZ159" s="49"/>
      <c r="BA159" s="49"/>
      <c r="BB159" s="49"/>
      <c r="BC159" s="49"/>
      <c r="BD159" s="49"/>
      <c r="BE159" s="49"/>
      <c r="BF159" s="49"/>
      <c r="BG159" s="49"/>
      <c r="BH159" s="49"/>
      <c r="BI159" s="49"/>
      <c r="BJ159" s="49"/>
      <c r="BK159" s="49"/>
      <c r="BL159" s="49"/>
      <c r="BM159" s="49"/>
      <c r="BN159" s="49"/>
      <c r="BO159" s="49"/>
      <c r="BP159" s="49"/>
      <c r="BQ159" s="49"/>
      <c r="BR159" s="49"/>
      <c r="BS159" s="49"/>
      <c r="BT159" s="49"/>
      <c r="BU159" s="49"/>
      <c r="BV159" s="49"/>
      <c r="BW159" s="49"/>
      <c r="BX159" s="49"/>
      <c r="BY159" s="49"/>
      <c r="BZ159" s="49"/>
      <c r="CA159" s="49"/>
      <c r="CB159" s="49"/>
      <c r="CC159" s="49"/>
      <c r="CD159" s="49"/>
      <c r="CE159" s="49"/>
      <c r="CF159" s="49"/>
      <c r="CG159" s="49"/>
      <c r="CH159" s="49"/>
      <c r="CI159" s="49"/>
      <c r="CJ159" s="49"/>
      <c r="CK159" s="49"/>
      <c r="CL159" s="49"/>
      <c r="CM159" s="49"/>
      <c r="CN159" s="49"/>
    </row>
    <row r="160" spans="3:92">
      <c r="C160" s="6"/>
      <c r="E160" s="49"/>
      <c r="F160" s="49"/>
      <c r="G160" s="49"/>
      <c r="H160" s="49"/>
      <c r="I160" s="49"/>
      <c r="J160" s="49"/>
      <c r="K160" s="49"/>
      <c r="L160" s="49"/>
      <c r="M160" s="49"/>
      <c r="N160" s="49"/>
      <c r="O160" s="49"/>
      <c r="P160" s="49"/>
      <c r="Q160" s="524"/>
      <c r="R160" s="49"/>
      <c r="S160" s="49"/>
      <c r="T160" s="49"/>
      <c r="U160" s="49"/>
      <c r="V160" s="49"/>
      <c r="W160" s="49"/>
      <c r="X160" s="49"/>
      <c r="Y160" s="49"/>
      <c r="Z160" s="49"/>
      <c r="AA160" s="49"/>
      <c r="AB160" s="51"/>
      <c r="AC160" s="49"/>
      <c r="AD160" s="49"/>
      <c r="AE160" s="49"/>
      <c r="AF160" s="49"/>
      <c r="AG160" s="49"/>
      <c r="AH160" s="49"/>
      <c r="AI160" s="49"/>
      <c r="AJ160" s="49"/>
      <c r="AK160" s="49"/>
      <c r="AL160" s="49"/>
      <c r="AM160" s="49"/>
      <c r="AN160" s="49"/>
      <c r="AO160" s="49"/>
      <c r="AP160" s="49"/>
      <c r="AQ160" s="49"/>
      <c r="AR160" s="49"/>
      <c r="AS160" s="49"/>
      <c r="AT160" s="49"/>
      <c r="AU160" s="49"/>
      <c r="AV160" s="49"/>
      <c r="AW160" s="49"/>
      <c r="AX160" s="49"/>
      <c r="AY160" s="49"/>
      <c r="AZ160" s="49"/>
      <c r="BA160" s="49"/>
      <c r="BB160" s="49"/>
      <c r="BC160" s="49"/>
      <c r="BD160" s="49"/>
      <c r="BE160" s="49"/>
      <c r="BF160" s="49"/>
      <c r="BG160" s="49"/>
      <c r="BH160" s="49"/>
      <c r="BI160" s="49"/>
      <c r="BJ160" s="49"/>
      <c r="BK160" s="49"/>
      <c r="BL160" s="49"/>
      <c r="BM160" s="49"/>
      <c r="BN160" s="49"/>
      <c r="BO160" s="49"/>
      <c r="BP160" s="49"/>
      <c r="BQ160" s="49"/>
      <c r="BR160" s="49"/>
      <c r="BS160" s="49"/>
      <c r="BT160" s="49"/>
      <c r="BU160" s="49"/>
      <c r="BV160" s="49"/>
      <c r="BW160" s="49"/>
      <c r="BX160" s="49"/>
      <c r="BY160" s="49"/>
      <c r="BZ160" s="49"/>
      <c r="CA160" s="49"/>
      <c r="CB160" s="49"/>
      <c r="CC160" s="49"/>
      <c r="CD160" s="49"/>
      <c r="CE160" s="49"/>
      <c r="CF160" s="49"/>
      <c r="CG160" s="49"/>
      <c r="CH160" s="49"/>
      <c r="CI160" s="49"/>
      <c r="CJ160" s="49"/>
      <c r="CK160" s="49"/>
      <c r="CL160" s="49"/>
      <c r="CM160" s="49"/>
      <c r="CN160" s="49"/>
    </row>
    <row r="161" spans="3:92">
      <c r="C161" s="6"/>
      <c r="E161" s="49"/>
      <c r="F161" s="49"/>
      <c r="G161" s="49"/>
      <c r="H161" s="49"/>
      <c r="I161" s="49"/>
      <c r="J161" s="49"/>
      <c r="K161" s="49"/>
      <c r="L161" s="49"/>
      <c r="M161" s="49"/>
      <c r="N161" s="49"/>
      <c r="O161" s="49"/>
      <c r="P161" s="49"/>
      <c r="Q161" s="524"/>
      <c r="R161" s="49"/>
      <c r="S161" s="49"/>
      <c r="T161" s="49"/>
      <c r="U161" s="49"/>
      <c r="V161" s="49"/>
      <c r="W161" s="49"/>
      <c r="X161" s="49"/>
      <c r="Y161" s="49"/>
      <c r="Z161" s="49"/>
      <c r="AA161" s="49"/>
      <c r="AB161" s="51"/>
      <c r="AC161" s="49"/>
      <c r="AD161" s="49"/>
      <c r="AE161" s="49"/>
      <c r="AF161" s="49"/>
      <c r="AG161" s="49"/>
      <c r="AH161" s="49"/>
      <c r="AI161" s="49"/>
      <c r="AJ161" s="49"/>
      <c r="AK161" s="49"/>
      <c r="AL161" s="49"/>
      <c r="AM161" s="49"/>
      <c r="AN161" s="49"/>
      <c r="AO161" s="49"/>
      <c r="AP161" s="49"/>
      <c r="AQ161" s="49"/>
      <c r="AR161" s="49"/>
      <c r="AS161" s="49"/>
      <c r="AT161" s="49"/>
      <c r="AU161" s="49"/>
      <c r="AV161" s="49"/>
      <c r="AW161" s="49"/>
      <c r="AX161" s="49"/>
      <c r="AY161" s="49"/>
      <c r="AZ161" s="49"/>
      <c r="BA161" s="49"/>
      <c r="BB161" s="49"/>
      <c r="BC161" s="49"/>
      <c r="BD161" s="49"/>
      <c r="BE161" s="49"/>
      <c r="BF161" s="49"/>
      <c r="BG161" s="49"/>
      <c r="BH161" s="49"/>
      <c r="BI161" s="49"/>
      <c r="BJ161" s="49"/>
      <c r="BK161" s="49"/>
      <c r="BL161" s="49"/>
      <c r="BM161" s="49"/>
      <c r="BN161" s="49"/>
      <c r="BO161" s="49"/>
      <c r="BP161" s="49"/>
      <c r="BQ161" s="49"/>
      <c r="BR161" s="49"/>
      <c r="BS161" s="49"/>
      <c r="BT161" s="49"/>
      <c r="BU161" s="49"/>
      <c r="BV161" s="49"/>
      <c r="BW161" s="49"/>
      <c r="BX161" s="49"/>
      <c r="BY161" s="49"/>
      <c r="BZ161" s="49"/>
      <c r="CA161" s="49"/>
      <c r="CB161" s="49"/>
      <c r="CC161" s="49"/>
      <c r="CD161" s="49"/>
      <c r="CE161" s="49"/>
      <c r="CF161" s="49"/>
      <c r="CG161" s="49"/>
      <c r="CH161" s="49"/>
      <c r="CI161" s="49"/>
      <c r="CJ161" s="49"/>
      <c r="CK161" s="49"/>
      <c r="CL161" s="49"/>
      <c r="CM161" s="49"/>
      <c r="CN161" s="49"/>
    </row>
    <row r="162" spans="3:92">
      <c r="C162" s="6"/>
      <c r="E162" s="49"/>
      <c r="F162" s="49"/>
      <c r="G162" s="49"/>
      <c r="H162" s="49"/>
      <c r="I162" s="49"/>
      <c r="J162" s="49"/>
      <c r="K162" s="49"/>
      <c r="L162" s="49"/>
      <c r="M162" s="49"/>
      <c r="N162" s="49"/>
      <c r="O162" s="49"/>
      <c r="P162" s="49"/>
      <c r="Q162" s="524"/>
      <c r="R162" s="49"/>
      <c r="S162" s="49"/>
      <c r="T162" s="49"/>
      <c r="U162" s="49"/>
      <c r="V162" s="49"/>
      <c r="W162" s="49"/>
      <c r="X162" s="49"/>
      <c r="Y162" s="49"/>
      <c r="Z162" s="49"/>
      <c r="AA162" s="49"/>
      <c r="AB162" s="51"/>
      <c r="AC162" s="49"/>
      <c r="AD162" s="49"/>
      <c r="AE162" s="49"/>
      <c r="AF162" s="49"/>
      <c r="AG162" s="49"/>
      <c r="AH162" s="49"/>
      <c r="AI162" s="49"/>
      <c r="AJ162" s="49"/>
      <c r="AK162" s="49"/>
      <c r="AL162" s="49"/>
      <c r="AM162" s="49"/>
      <c r="AN162" s="49"/>
      <c r="AO162" s="49"/>
      <c r="AP162" s="49"/>
      <c r="AQ162" s="49"/>
      <c r="AR162" s="49"/>
      <c r="AS162" s="49"/>
      <c r="AT162" s="49"/>
      <c r="AU162" s="49"/>
      <c r="AV162" s="49"/>
      <c r="AW162" s="49"/>
      <c r="AX162" s="49"/>
      <c r="AY162" s="49"/>
      <c r="AZ162" s="49"/>
      <c r="BA162" s="49"/>
      <c r="BB162" s="49"/>
      <c r="BC162" s="49"/>
      <c r="BD162" s="49"/>
      <c r="BE162" s="49"/>
      <c r="BF162" s="49"/>
      <c r="BG162" s="49"/>
      <c r="BH162" s="49"/>
      <c r="BI162" s="49"/>
      <c r="BJ162" s="49"/>
      <c r="BK162" s="49"/>
      <c r="BL162" s="49"/>
      <c r="BM162" s="49"/>
      <c r="BN162" s="49"/>
      <c r="BO162" s="49"/>
      <c r="BP162" s="49"/>
      <c r="BQ162" s="49"/>
      <c r="BR162" s="49"/>
      <c r="BS162" s="49"/>
      <c r="BT162" s="49"/>
      <c r="BU162" s="49"/>
      <c r="BV162" s="49"/>
      <c r="BW162" s="49"/>
      <c r="BX162" s="49"/>
      <c r="BY162" s="49"/>
      <c r="BZ162" s="49"/>
      <c r="CA162" s="49"/>
      <c r="CB162" s="49"/>
      <c r="CC162" s="49"/>
      <c r="CD162" s="49"/>
      <c r="CE162" s="49"/>
      <c r="CF162" s="49"/>
      <c r="CG162" s="49"/>
      <c r="CH162" s="49"/>
      <c r="CI162" s="49"/>
      <c r="CJ162" s="49"/>
      <c r="CK162" s="49"/>
      <c r="CL162" s="49"/>
      <c r="CM162" s="49"/>
      <c r="CN162" s="49"/>
    </row>
    <row r="163" spans="3:92">
      <c r="C163" s="6"/>
      <c r="E163" s="49"/>
      <c r="F163" s="49"/>
      <c r="G163" s="49"/>
      <c r="H163" s="49"/>
      <c r="I163" s="49"/>
      <c r="J163" s="49"/>
      <c r="K163" s="49"/>
      <c r="L163" s="49"/>
      <c r="M163" s="49"/>
      <c r="N163" s="49"/>
      <c r="O163" s="49"/>
      <c r="P163" s="49"/>
      <c r="Q163" s="524"/>
      <c r="R163" s="49"/>
      <c r="S163" s="49"/>
      <c r="T163" s="49"/>
      <c r="U163" s="49"/>
      <c r="V163" s="49"/>
      <c r="W163" s="49"/>
      <c r="X163" s="49"/>
      <c r="Y163" s="49"/>
      <c r="Z163" s="49"/>
      <c r="AA163" s="49"/>
      <c r="AB163" s="51"/>
      <c r="AC163" s="49"/>
      <c r="AD163" s="49"/>
      <c r="AE163" s="49"/>
      <c r="AF163" s="49"/>
      <c r="AG163" s="49"/>
      <c r="AH163" s="49"/>
      <c r="AI163" s="49"/>
      <c r="AJ163" s="49"/>
      <c r="AK163" s="49"/>
      <c r="AL163" s="49"/>
      <c r="AM163" s="49"/>
      <c r="AN163" s="49"/>
      <c r="AO163" s="49"/>
      <c r="AP163" s="49"/>
      <c r="AQ163" s="49"/>
      <c r="AR163" s="49"/>
      <c r="AS163" s="49"/>
      <c r="AT163" s="49"/>
      <c r="AU163" s="49"/>
      <c r="AV163" s="49"/>
      <c r="AW163" s="49"/>
      <c r="AX163" s="49"/>
      <c r="AY163" s="49"/>
      <c r="AZ163" s="49"/>
      <c r="BA163" s="49"/>
      <c r="BB163" s="49"/>
      <c r="BC163" s="49"/>
      <c r="BD163" s="49"/>
      <c r="BE163" s="49"/>
      <c r="BF163" s="49"/>
      <c r="BG163" s="49"/>
      <c r="BH163" s="49"/>
      <c r="BI163" s="49"/>
      <c r="BJ163" s="49"/>
      <c r="BK163" s="49"/>
      <c r="BL163" s="49"/>
      <c r="BM163" s="49"/>
      <c r="BN163" s="49"/>
      <c r="BO163" s="49"/>
      <c r="BP163" s="49"/>
      <c r="BQ163" s="49"/>
      <c r="BR163" s="49"/>
      <c r="BS163" s="49"/>
      <c r="BT163" s="49"/>
      <c r="BU163" s="49"/>
      <c r="BV163" s="49"/>
      <c r="BW163" s="49"/>
      <c r="BX163" s="49"/>
      <c r="BY163" s="49"/>
      <c r="BZ163" s="49"/>
      <c r="CA163" s="49"/>
      <c r="CB163" s="49"/>
      <c r="CC163" s="49"/>
      <c r="CD163" s="49"/>
      <c r="CE163" s="49"/>
      <c r="CF163" s="49"/>
      <c r="CG163" s="49"/>
      <c r="CH163" s="49"/>
      <c r="CI163" s="49"/>
      <c r="CJ163" s="49"/>
      <c r="CK163" s="49"/>
      <c r="CL163" s="49"/>
      <c r="CM163" s="49"/>
      <c r="CN163" s="49"/>
    </row>
    <row r="164" spans="3:92">
      <c r="C164" s="6"/>
      <c r="E164" s="49"/>
      <c r="F164" s="49"/>
      <c r="G164" s="49"/>
      <c r="H164" s="49"/>
      <c r="I164" s="49"/>
      <c r="J164" s="49"/>
      <c r="K164" s="49"/>
      <c r="L164" s="49"/>
      <c r="M164" s="49"/>
      <c r="N164" s="49"/>
      <c r="O164" s="49"/>
      <c r="P164" s="49"/>
      <c r="Q164" s="524"/>
      <c r="R164" s="49"/>
      <c r="S164" s="49"/>
      <c r="T164" s="49"/>
      <c r="U164" s="49"/>
      <c r="V164" s="49"/>
      <c r="W164" s="49"/>
      <c r="X164" s="49"/>
      <c r="Y164" s="49"/>
      <c r="Z164" s="49"/>
      <c r="AA164" s="49"/>
      <c r="AB164" s="51"/>
      <c r="AC164" s="49"/>
      <c r="AD164" s="49"/>
      <c r="AE164" s="49"/>
      <c r="AF164" s="49"/>
      <c r="AG164" s="49"/>
      <c r="AH164" s="49"/>
      <c r="AI164" s="49"/>
      <c r="AJ164" s="49"/>
      <c r="AK164" s="49"/>
      <c r="AL164" s="49"/>
      <c r="AM164" s="49"/>
      <c r="AN164" s="49"/>
      <c r="AO164" s="49"/>
      <c r="AP164" s="49"/>
      <c r="AQ164" s="49"/>
      <c r="AR164" s="49"/>
      <c r="AS164" s="49"/>
      <c r="AT164" s="49"/>
      <c r="AU164" s="49"/>
      <c r="AV164" s="49"/>
      <c r="AW164" s="49"/>
      <c r="AX164" s="49"/>
      <c r="AY164" s="49"/>
      <c r="AZ164" s="49"/>
      <c r="BA164" s="49"/>
      <c r="BB164" s="49"/>
      <c r="BC164" s="49"/>
      <c r="BD164" s="49"/>
      <c r="BE164" s="49"/>
      <c r="BF164" s="49"/>
      <c r="BG164" s="49"/>
      <c r="BH164" s="49"/>
      <c r="BI164" s="49"/>
      <c r="BJ164" s="49"/>
      <c r="BK164" s="49"/>
      <c r="BL164" s="49"/>
      <c r="BM164" s="49"/>
      <c r="BN164" s="49"/>
      <c r="BO164" s="49"/>
      <c r="BP164" s="49"/>
      <c r="BQ164" s="49"/>
      <c r="BR164" s="49"/>
      <c r="BS164" s="49"/>
      <c r="BT164" s="49"/>
      <c r="BU164" s="49"/>
      <c r="BV164" s="49"/>
      <c r="BW164" s="49"/>
      <c r="BX164" s="49"/>
      <c r="BY164" s="49"/>
      <c r="BZ164" s="49"/>
      <c r="CA164" s="49"/>
      <c r="CB164" s="49"/>
      <c r="CC164" s="49"/>
      <c r="CD164" s="49"/>
      <c r="CE164" s="49"/>
      <c r="CF164" s="49"/>
      <c r="CG164" s="49"/>
      <c r="CH164" s="49"/>
      <c r="CI164" s="49"/>
      <c r="CJ164" s="49"/>
      <c r="CK164" s="49"/>
      <c r="CL164" s="49"/>
      <c r="CM164" s="49"/>
      <c r="CN164" s="49"/>
    </row>
    <row r="165" spans="3:92">
      <c r="C165" s="6"/>
      <c r="E165" s="49"/>
      <c r="F165" s="49"/>
      <c r="G165" s="49"/>
      <c r="H165" s="49"/>
      <c r="I165" s="49"/>
      <c r="J165" s="49"/>
      <c r="K165" s="49"/>
      <c r="L165" s="49"/>
      <c r="M165" s="49"/>
      <c r="N165" s="49"/>
      <c r="O165" s="49"/>
      <c r="P165" s="49"/>
      <c r="Q165" s="524"/>
      <c r="R165" s="49"/>
      <c r="S165" s="49"/>
      <c r="T165" s="49"/>
      <c r="U165" s="49"/>
      <c r="V165" s="49"/>
      <c r="W165" s="49"/>
      <c r="X165" s="49"/>
      <c r="Y165" s="49"/>
      <c r="Z165" s="49"/>
      <c r="AA165" s="49"/>
      <c r="AB165" s="51"/>
      <c r="AC165" s="49"/>
      <c r="AD165" s="49"/>
      <c r="AE165" s="49"/>
      <c r="AF165" s="49"/>
      <c r="AG165" s="49"/>
      <c r="AH165" s="49"/>
      <c r="AI165" s="49"/>
      <c r="AJ165" s="49"/>
      <c r="AK165" s="49"/>
      <c r="AL165" s="49"/>
      <c r="AM165" s="49"/>
      <c r="AN165" s="49"/>
      <c r="AO165" s="49"/>
      <c r="AP165" s="49"/>
      <c r="AQ165" s="49"/>
      <c r="AR165" s="49"/>
      <c r="AS165" s="49"/>
      <c r="AT165" s="49"/>
      <c r="AU165" s="49"/>
      <c r="AV165" s="49"/>
      <c r="AW165" s="49"/>
      <c r="AX165" s="49"/>
      <c r="AY165" s="49"/>
      <c r="AZ165" s="49"/>
      <c r="BA165" s="49"/>
      <c r="BB165" s="49"/>
      <c r="BC165" s="49"/>
      <c r="BD165" s="49"/>
      <c r="BE165" s="49"/>
      <c r="BF165" s="49"/>
      <c r="BG165" s="49"/>
      <c r="BH165" s="49"/>
      <c r="BI165" s="49"/>
      <c r="BJ165" s="49"/>
      <c r="BK165" s="49"/>
      <c r="BL165" s="49"/>
      <c r="BM165" s="49"/>
      <c r="BN165" s="49"/>
      <c r="BO165" s="49"/>
      <c r="BP165" s="49"/>
      <c r="BQ165" s="49"/>
      <c r="BR165" s="49"/>
      <c r="BS165" s="49"/>
      <c r="BT165" s="49"/>
      <c r="BU165" s="49"/>
      <c r="BV165" s="49"/>
      <c r="BW165" s="49"/>
      <c r="BX165" s="49"/>
      <c r="BY165" s="49"/>
      <c r="BZ165" s="49"/>
      <c r="CA165" s="49"/>
      <c r="CB165" s="49"/>
      <c r="CC165" s="49"/>
      <c r="CD165" s="49"/>
      <c r="CE165" s="49"/>
      <c r="CF165" s="49"/>
      <c r="CG165" s="49"/>
      <c r="CH165" s="49"/>
      <c r="CI165" s="49"/>
      <c r="CJ165" s="49"/>
      <c r="CK165" s="49"/>
      <c r="CL165" s="49"/>
      <c r="CM165" s="49"/>
      <c r="CN165" s="49"/>
    </row>
    <row r="166" spans="3:92">
      <c r="C166" s="6"/>
      <c r="E166" s="49"/>
      <c r="F166" s="49"/>
      <c r="G166" s="49"/>
      <c r="H166" s="49"/>
      <c r="I166" s="49"/>
      <c r="J166" s="49"/>
      <c r="K166" s="49"/>
      <c r="L166" s="49"/>
      <c r="M166" s="49"/>
      <c r="N166" s="49"/>
      <c r="O166" s="49"/>
      <c r="P166" s="49"/>
      <c r="Q166" s="524"/>
      <c r="R166" s="49"/>
      <c r="S166" s="49"/>
      <c r="T166" s="49"/>
      <c r="U166" s="49"/>
      <c r="V166" s="49"/>
      <c r="W166" s="49"/>
      <c r="X166" s="49"/>
      <c r="Y166" s="49"/>
      <c r="Z166" s="49"/>
      <c r="AA166" s="49"/>
      <c r="AB166" s="51"/>
      <c r="AC166" s="49"/>
      <c r="AD166" s="49"/>
      <c r="AE166" s="49"/>
      <c r="AF166" s="49"/>
      <c r="AG166" s="49"/>
      <c r="AH166" s="49"/>
      <c r="AI166" s="49"/>
      <c r="AJ166" s="49"/>
      <c r="AK166" s="49"/>
      <c r="AL166" s="49"/>
      <c r="AM166" s="49"/>
      <c r="AN166" s="49"/>
      <c r="AO166" s="49"/>
      <c r="AP166" s="49"/>
      <c r="AQ166" s="49"/>
      <c r="AR166" s="49"/>
      <c r="AS166" s="49"/>
      <c r="AT166" s="49"/>
      <c r="AU166" s="49"/>
      <c r="AV166" s="49"/>
      <c r="AW166" s="49"/>
      <c r="AX166" s="49"/>
      <c r="AY166" s="49"/>
      <c r="AZ166" s="49"/>
      <c r="BA166" s="49"/>
      <c r="BB166" s="49"/>
      <c r="BC166" s="49"/>
      <c r="BD166" s="49"/>
      <c r="BE166" s="49"/>
      <c r="BF166" s="49"/>
      <c r="BG166" s="49"/>
      <c r="BH166" s="49"/>
      <c r="BI166" s="49"/>
      <c r="BJ166" s="49"/>
      <c r="BK166" s="49"/>
      <c r="BL166" s="49"/>
      <c r="BM166" s="49"/>
      <c r="BN166" s="49"/>
      <c r="BO166" s="49"/>
      <c r="BP166" s="49"/>
      <c r="BQ166" s="49"/>
      <c r="BR166" s="49"/>
      <c r="BS166" s="49"/>
      <c r="BT166" s="49"/>
      <c r="BU166" s="49"/>
      <c r="BV166" s="49"/>
      <c r="BW166" s="49"/>
      <c r="BX166" s="49"/>
      <c r="BY166" s="49"/>
      <c r="BZ166" s="49"/>
      <c r="CA166" s="49"/>
      <c r="CB166" s="49"/>
      <c r="CC166" s="49"/>
      <c r="CD166" s="49"/>
      <c r="CE166" s="49"/>
      <c r="CF166" s="49"/>
      <c r="CG166" s="49"/>
      <c r="CH166" s="49"/>
      <c r="CI166" s="49"/>
      <c r="CJ166" s="49"/>
      <c r="CK166" s="49"/>
      <c r="CL166" s="49"/>
      <c r="CM166" s="49"/>
      <c r="CN166" s="49"/>
    </row>
    <row r="167" spans="3:92">
      <c r="C167" s="6"/>
      <c r="E167" s="49"/>
      <c r="F167" s="49"/>
      <c r="G167" s="49"/>
      <c r="H167" s="49"/>
      <c r="I167" s="49"/>
      <c r="J167" s="49"/>
      <c r="K167" s="49"/>
      <c r="L167" s="49"/>
      <c r="M167" s="49"/>
      <c r="N167" s="49"/>
      <c r="O167" s="49"/>
      <c r="P167" s="49"/>
      <c r="Q167" s="524"/>
      <c r="R167" s="49"/>
      <c r="S167" s="49"/>
      <c r="T167" s="49"/>
      <c r="U167" s="49"/>
      <c r="V167" s="49"/>
      <c r="W167" s="49"/>
      <c r="X167" s="49"/>
      <c r="Y167" s="49"/>
      <c r="Z167" s="49"/>
      <c r="AA167" s="49"/>
      <c r="AB167" s="51"/>
      <c r="AC167" s="49"/>
      <c r="AD167" s="49"/>
      <c r="AE167" s="49"/>
      <c r="AF167" s="49"/>
      <c r="AG167" s="49"/>
      <c r="AH167" s="49"/>
      <c r="AI167" s="49"/>
      <c r="AJ167" s="49"/>
      <c r="AK167" s="49"/>
      <c r="AL167" s="49"/>
      <c r="AM167" s="49"/>
      <c r="AN167" s="49"/>
      <c r="AO167" s="49"/>
      <c r="AP167" s="49"/>
      <c r="AQ167" s="49"/>
      <c r="AR167" s="49"/>
      <c r="AS167" s="49"/>
      <c r="AT167" s="49"/>
      <c r="AU167" s="49"/>
      <c r="AV167" s="49"/>
      <c r="AW167" s="49"/>
      <c r="AX167" s="49"/>
      <c r="AY167" s="49"/>
      <c r="AZ167" s="49"/>
      <c r="BA167" s="49"/>
      <c r="BB167" s="49"/>
      <c r="BC167" s="49"/>
      <c r="BD167" s="49"/>
      <c r="BE167" s="49"/>
      <c r="BF167" s="49"/>
      <c r="BG167" s="49"/>
      <c r="BH167" s="49"/>
      <c r="BI167" s="49"/>
      <c r="BJ167" s="49"/>
      <c r="BK167" s="49"/>
      <c r="BL167" s="49"/>
      <c r="BM167" s="49"/>
      <c r="BN167" s="49"/>
      <c r="BO167" s="49"/>
      <c r="BP167" s="49"/>
      <c r="BQ167" s="49"/>
      <c r="BR167" s="49"/>
      <c r="BS167" s="49"/>
      <c r="BT167" s="49"/>
      <c r="BU167" s="49"/>
      <c r="BV167" s="49"/>
      <c r="BW167" s="49"/>
      <c r="BX167" s="49"/>
      <c r="BY167" s="49"/>
      <c r="BZ167" s="49"/>
      <c r="CA167" s="49"/>
      <c r="CB167" s="49"/>
      <c r="CC167" s="49"/>
      <c r="CD167" s="49"/>
      <c r="CE167" s="49"/>
      <c r="CF167" s="49"/>
      <c r="CG167" s="49"/>
      <c r="CH167" s="49"/>
      <c r="CI167" s="49"/>
      <c r="CJ167" s="49"/>
      <c r="CK167" s="49"/>
      <c r="CL167" s="49"/>
      <c r="CM167" s="49"/>
      <c r="CN167" s="49"/>
    </row>
    <row r="168" spans="3:92">
      <c r="C168" s="6"/>
      <c r="E168" s="49"/>
      <c r="F168" s="49"/>
      <c r="G168" s="49"/>
      <c r="H168" s="49"/>
      <c r="I168" s="49"/>
      <c r="J168" s="49"/>
      <c r="K168" s="49"/>
      <c r="L168" s="49"/>
      <c r="M168" s="49"/>
      <c r="N168" s="49"/>
      <c r="O168" s="49"/>
      <c r="P168" s="49"/>
      <c r="Q168" s="524"/>
      <c r="R168" s="49"/>
      <c r="S168" s="49"/>
      <c r="T168" s="49"/>
      <c r="U168" s="49"/>
      <c r="V168" s="49"/>
      <c r="W168" s="49"/>
      <c r="X168" s="49"/>
      <c r="Y168" s="49"/>
      <c r="Z168" s="49"/>
      <c r="AA168" s="49"/>
      <c r="AB168" s="51"/>
      <c r="AC168" s="49"/>
      <c r="AD168" s="49"/>
      <c r="AE168" s="49"/>
      <c r="AF168" s="49"/>
      <c r="AG168" s="49"/>
      <c r="AH168" s="49"/>
      <c r="AI168" s="49"/>
      <c r="AJ168" s="49"/>
      <c r="AK168" s="49"/>
      <c r="AL168" s="49"/>
      <c r="AM168" s="49"/>
      <c r="AN168" s="49"/>
      <c r="AO168" s="49"/>
      <c r="AP168" s="49"/>
      <c r="AQ168" s="49"/>
      <c r="AR168" s="49"/>
      <c r="AS168" s="49"/>
      <c r="AT168" s="49"/>
      <c r="AU168" s="49"/>
      <c r="AV168" s="49"/>
      <c r="AW168" s="49"/>
      <c r="AX168" s="49"/>
      <c r="AY168" s="49"/>
      <c r="AZ168" s="49"/>
      <c r="BA168" s="49"/>
      <c r="BB168" s="49"/>
      <c r="BC168" s="49"/>
      <c r="BD168" s="49"/>
      <c r="BE168" s="49"/>
      <c r="BF168" s="49"/>
      <c r="BG168" s="49"/>
      <c r="BH168" s="49"/>
      <c r="BI168" s="49"/>
      <c r="BJ168" s="49"/>
      <c r="BK168" s="49"/>
      <c r="BL168" s="49"/>
      <c r="BM168" s="49"/>
      <c r="BN168" s="49"/>
      <c r="BO168" s="49"/>
      <c r="BP168" s="49"/>
      <c r="BQ168" s="49"/>
      <c r="BR168" s="49"/>
      <c r="BS168" s="49"/>
      <c r="BT168" s="49"/>
      <c r="BU168" s="49"/>
      <c r="BV168" s="49"/>
      <c r="BW168" s="49"/>
      <c r="BX168" s="49"/>
      <c r="BY168" s="49"/>
      <c r="BZ168" s="49"/>
      <c r="CA168" s="49"/>
      <c r="CB168" s="49"/>
      <c r="CC168" s="49"/>
      <c r="CD168" s="49"/>
      <c r="CE168" s="49"/>
      <c r="CF168" s="49"/>
      <c r="CG168" s="49"/>
      <c r="CH168" s="49"/>
      <c r="CI168" s="49"/>
      <c r="CJ168" s="49"/>
      <c r="CK168" s="49"/>
      <c r="CL168" s="49"/>
      <c r="CM168" s="49"/>
      <c r="CN168" s="49"/>
    </row>
    <row r="169" spans="3:92">
      <c r="C169" s="6"/>
      <c r="E169" s="49"/>
      <c r="F169" s="49"/>
      <c r="G169" s="49"/>
      <c r="H169" s="49"/>
      <c r="I169" s="49"/>
      <c r="J169" s="49"/>
      <c r="K169" s="49"/>
      <c r="L169" s="49"/>
      <c r="M169" s="49"/>
      <c r="N169" s="49"/>
      <c r="O169" s="49"/>
      <c r="P169" s="49"/>
      <c r="Q169" s="524"/>
      <c r="R169" s="49"/>
      <c r="S169" s="49"/>
      <c r="T169" s="49"/>
      <c r="U169" s="49"/>
      <c r="V169" s="49"/>
      <c r="W169" s="49"/>
      <c r="X169" s="49"/>
      <c r="Y169" s="49"/>
      <c r="Z169" s="49"/>
      <c r="AA169" s="49"/>
      <c r="AB169" s="51"/>
      <c r="AC169" s="49"/>
      <c r="AD169" s="49"/>
      <c r="AE169" s="49"/>
      <c r="AF169" s="49"/>
      <c r="AG169" s="49"/>
      <c r="AH169" s="49"/>
      <c r="AI169" s="49"/>
      <c r="AJ169" s="49"/>
      <c r="AK169" s="49"/>
      <c r="AL169" s="49"/>
      <c r="AM169" s="49"/>
      <c r="AN169" s="49"/>
      <c r="AO169" s="49"/>
      <c r="AP169" s="49"/>
      <c r="AQ169" s="49"/>
      <c r="AR169" s="49"/>
      <c r="AS169" s="49"/>
      <c r="AT169" s="49"/>
      <c r="AU169" s="49"/>
      <c r="AV169" s="49"/>
      <c r="AW169" s="49"/>
      <c r="AX169" s="49"/>
      <c r="AY169" s="49"/>
      <c r="AZ169" s="49"/>
      <c r="BA169" s="49"/>
      <c r="BB169" s="49"/>
      <c r="BC169" s="49"/>
      <c r="BD169" s="49"/>
      <c r="BE169" s="49"/>
      <c r="BF169" s="49"/>
      <c r="BG169" s="49"/>
      <c r="BH169" s="49"/>
      <c r="BI169" s="49"/>
      <c r="BJ169" s="49"/>
      <c r="BK169" s="49"/>
      <c r="BL169" s="49"/>
      <c r="BM169" s="49"/>
      <c r="BN169" s="49"/>
      <c r="BO169" s="49"/>
      <c r="BP169" s="49"/>
      <c r="BQ169" s="49"/>
      <c r="BR169" s="49"/>
      <c r="BS169" s="49"/>
      <c r="BT169" s="49"/>
      <c r="BU169" s="49"/>
      <c r="BV169" s="49"/>
      <c r="BW169" s="49"/>
      <c r="BX169" s="49"/>
      <c r="BY169" s="49"/>
      <c r="BZ169" s="49"/>
      <c r="CA169" s="49"/>
      <c r="CB169" s="49"/>
      <c r="CC169" s="49"/>
      <c r="CD169" s="49"/>
      <c r="CE169" s="49"/>
      <c r="CF169" s="49"/>
      <c r="CG169" s="49"/>
      <c r="CH169" s="49"/>
      <c r="CI169" s="49"/>
      <c r="CJ169" s="49"/>
      <c r="CK169" s="49"/>
      <c r="CL169" s="49"/>
      <c r="CM169" s="49"/>
      <c r="CN169" s="49"/>
    </row>
    <row r="170" spans="3:92">
      <c r="C170" s="6"/>
      <c r="E170" s="49"/>
      <c r="F170" s="49"/>
      <c r="G170" s="49"/>
      <c r="H170" s="49"/>
      <c r="I170" s="49"/>
      <c r="J170" s="49"/>
      <c r="K170" s="49"/>
      <c r="L170" s="49"/>
      <c r="M170" s="49"/>
      <c r="N170" s="49"/>
      <c r="O170" s="49"/>
      <c r="P170" s="49"/>
      <c r="Q170" s="524"/>
      <c r="R170" s="49"/>
      <c r="S170" s="49"/>
      <c r="T170" s="49"/>
      <c r="U170" s="49"/>
      <c r="V170" s="49"/>
      <c r="W170" s="49"/>
      <c r="X170" s="49"/>
      <c r="Y170" s="49"/>
      <c r="Z170" s="49"/>
      <c r="AA170" s="49"/>
      <c r="AB170" s="51"/>
      <c r="AC170" s="49"/>
      <c r="AD170" s="49"/>
      <c r="AE170" s="49"/>
      <c r="AF170" s="49"/>
      <c r="AG170" s="49"/>
      <c r="AH170" s="49"/>
      <c r="AI170" s="49"/>
      <c r="AJ170" s="49"/>
      <c r="AK170" s="49"/>
      <c r="AL170" s="49"/>
      <c r="AM170" s="49"/>
      <c r="AN170" s="49"/>
      <c r="AO170" s="49"/>
      <c r="AP170" s="49"/>
      <c r="AQ170" s="49"/>
      <c r="AR170" s="49"/>
      <c r="AS170" s="49"/>
      <c r="AT170" s="49"/>
      <c r="AU170" s="49"/>
      <c r="AV170" s="49"/>
      <c r="AW170" s="49"/>
      <c r="AX170" s="49"/>
      <c r="AY170" s="49"/>
      <c r="AZ170" s="49"/>
      <c r="BA170" s="49"/>
      <c r="BB170" s="49"/>
      <c r="BC170" s="49"/>
      <c r="BD170" s="49"/>
      <c r="BE170" s="49"/>
      <c r="BF170" s="49"/>
      <c r="BG170" s="49"/>
      <c r="BH170" s="49"/>
      <c r="BI170" s="49"/>
      <c r="BJ170" s="49"/>
      <c r="BK170" s="49"/>
      <c r="BL170" s="49"/>
      <c r="BM170" s="49"/>
      <c r="BN170" s="49"/>
      <c r="BO170" s="49"/>
      <c r="BP170" s="49"/>
      <c r="BQ170" s="49"/>
      <c r="BR170" s="49"/>
      <c r="BS170" s="49"/>
      <c r="BT170" s="49"/>
      <c r="BU170" s="49"/>
      <c r="BV170" s="49"/>
      <c r="BW170" s="49"/>
      <c r="BX170" s="49"/>
      <c r="BY170" s="49"/>
      <c r="BZ170" s="49"/>
      <c r="CA170" s="49"/>
      <c r="CB170" s="49"/>
      <c r="CC170" s="49"/>
      <c r="CD170" s="49"/>
      <c r="CE170" s="49"/>
      <c r="CF170" s="49"/>
      <c r="CG170" s="49"/>
      <c r="CH170" s="49"/>
      <c r="CI170" s="49"/>
      <c r="CJ170" s="49"/>
      <c r="CK170" s="49"/>
      <c r="CL170" s="49"/>
      <c r="CM170" s="49"/>
      <c r="CN170" s="49"/>
    </row>
    <row r="171" spans="3:92">
      <c r="C171" s="6"/>
      <c r="E171" s="49"/>
      <c r="F171" s="49"/>
      <c r="G171" s="49"/>
      <c r="H171" s="49"/>
      <c r="I171" s="49"/>
      <c r="J171" s="49"/>
      <c r="K171" s="49"/>
      <c r="L171" s="49"/>
      <c r="M171" s="49"/>
      <c r="N171" s="49"/>
      <c r="O171" s="49"/>
      <c r="P171" s="49"/>
      <c r="Q171" s="524"/>
      <c r="R171" s="49"/>
      <c r="S171" s="49"/>
      <c r="T171" s="49"/>
      <c r="U171" s="49"/>
      <c r="V171" s="49"/>
      <c r="W171" s="49"/>
      <c r="X171" s="49"/>
      <c r="Y171" s="49"/>
      <c r="Z171" s="49"/>
      <c r="AA171" s="49"/>
      <c r="AB171" s="51"/>
      <c r="AC171" s="49"/>
      <c r="AD171" s="49"/>
      <c r="AE171" s="49"/>
      <c r="AF171" s="49"/>
      <c r="AG171" s="49"/>
      <c r="AH171" s="49"/>
      <c r="AI171" s="49"/>
      <c r="AJ171" s="49"/>
      <c r="AK171" s="49"/>
      <c r="AL171" s="49"/>
      <c r="AM171" s="49"/>
      <c r="AN171" s="49"/>
      <c r="AO171" s="49"/>
      <c r="AP171" s="49"/>
      <c r="AQ171" s="49"/>
      <c r="AR171" s="49"/>
      <c r="AS171" s="49"/>
      <c r="AT171" s="49"/>
      <c r="AU171" s="49"/>
      <c r="AV171" s="49"/>
      <c r="AW171" s="49"/>
      <c r="AX171" s="49"/>
      <c r="AY171" s="49"/>
      <c r="AZ171" s="49"/>
      <c r="BA171" s="49"/>
      <c r="BB171" s="49"/>
      <c r="BC171" s="49"/>
      <c r="BD171" s="49"/>
      <c r="BE171" s="49"/>
      <c r="BF171" s="49"/>
      <c r="BG171" s="49"/>
      <c r="BH171" s="49"/>
      <c r="BI171" s="49"/>
      <c r="BJ171" s="49"/>
      <c r="BK171" s="49"/>
      <c r="BL171" s="49"/>
      <c r="BM171" s="49"/>
      <c r="BN171" s="49"/>
      <c r="BO171" s="49"/>
      <c r="BP171" s="49"/>
      <c r="BQ171" s="49"/>
      <c r="BR171" s="49"/>
      <c r="BS171" s="49"/>
      <c r="BT171" s="49"/>
      <c r="BU171" s="49"/>
      <c r="BV171" s="49"/>
      <c r="BW171" s="49"/>
      <c r="BX171" s="49"/>
      <c r="BY171" s="49"/>
      <c r="BZ171" s="49"/>
      <c r="CA171" s="49"/>
      <c r="CB171" s="49"/>
      <c r="CC171" s="49"/>
      <c r="CD171" s="49"/>
      <c r="CE171" s="49"/>
      <c r="CF171" s="49"/>
      <c r="CG171" s="49"/>
      <c r="CH171" s="49"/>
      <c r="CI171" s="49"/>
      <c r="CJ171" s="49"/>
      <c r="CK171" s="49"/>
      <c r="CL171" s="49"/>
      <c r="CM171" s="49"/>
      <c r="CN171" s="49"/>
    </row>
    <row r="172" spans="3:92">
      <c r="C172" s="6"/>
      <c r="E172" s="49"/>
      <c r="F172" s="49"/>
      <c r="G172" s="49"/>
      <c r="H172" s="49"/>
      <c r="I172" s="49"/>
      <c r="J172" s="49"/>
      <c r="K172" s="49"/>
      <c r="L172" s="49"/>
      <c r="M172" s="49"/>
      <c r="N172" s="49"/>
      <c r="O172" s="49"/>
      <c r="P172" s="49"/>
      <c r="Q172" s="524"/>
      <c r="R172" s="49"/>
      <c r="S172" s="49"/>
      <c r="T172" s="49"/>
      <c r="U172" s="49"/>
      <c r="V172" s="49"/>
      <c r="W172" s="49"/>
      <c r="X172" s="49"/>
      <c r="Y172" s="49"/>
      <c r="Z172" s="49"/>
      <c r="AA172" s="49"/>
      <c r="AB172" s="51"/>
      <c r="AC172" s="49"/>
      <c r="AD172" s="49"/>
      <c r="AE172" s="49"/>
      <c r="AF172" s="49"/>
      <c r="AG172" s="49"/>
      <c r="AH172" s="49"/>
      <c r="AI172" s="49"/>
      <c r="AJ172" s="49"/>
      <c r="AK172" s="49"/>
      <c r="AL172" s="49"/>
      <c r="AM172" s="49"/>
      <c r="AN172" s="49"/>
      <c r="AO172" s="49"/>
      <c r="AP172" s="49"/>
      <c r="AQ172" s="49"/>
      <c r="AR172" s="49"/>
      <c r="AS172" s="49"/>
      <c r="AT172" s="49"/>
      <c r="AU172" s="49"/>
      <c r="AV172" s="49"/>
      <c r="AW172" s="49"/>
      <c r="AX172" s="49"/>
      <c r="AY172" s="49"/>
      <c r="AZ172" s="49"/>
      <c r="BA172" s="49"/>
      <c r="BB172" s="49"/>
      <c r="BC172" s="49"/>
      <c r="BD172" s="49"/>
      <c r="BE172" s="49"/>
      <c r="BF172" s="49"/>
      <c r="BG172" s="49"/>
      <c r="BH172" s="49"/>
      <c r="BI172" s="49"/>
      <c r="BJ172" s="49"/>
      <c r="BK172" s="49"/>
      <c r="BL172" s="49"/>
      <c r="BM172" s="49"/>
      <c r="BN172" s="49"/>
      <c r="BO172" s="49"/>
      <c r="BP172" s="49"/>
      <c r="BQ172" s="49"/>
      <c r="BR172" s="49"/>
      <c r="BS172" s="49"/>
      <c r="BT172" s="49"/>
      <c r="BU172" s="49"/>
      <c r="BV172" s="49"/>
      <c r="BW172" s="49"/>
      <c r="BX172" s="49"/>
      <c r="BY172" s="49"/>
      <c r="BZ172" s="49"/>
      <c r="CA172" s="49"/>
      <c r="CB172" s="49"/>
      <c r="CC172" s="49"/>
      <c r="CD172" s="49"/>
      <c r="CE172" s="49"/>
      <c r="CF172" s="49"/>
      <c r="CG172" s="49"/>
      <c r="CH172" s="49"/>
      <c r="CI172" s="49"/>
      <c r="CJ172" s="49"/>
      <c r="CK172" s="49"/>
      <c r="CL172" s="49"/>
      <c r="CM172" s="49"/>
      <c r="CN172" s="49"/>
    </row>
    <row r="173" spans="3:92">
      <c r="C173" s="6"/>
      <c r="E173" s="49"/>
      <c r="F173" s="49"/>
      <c r="G173" s="49"/>
      <c r="H173" s="49"/>
      <c r="I173" s="49"/>
      <c r="J173" s="49"/>
      <c r="K173" s="49"/>
      <c r="L173" s="49"/>
      <c r="M173" s="49"/>
      <c r="N173" s="49"/>
      <c r="O173" s="49"/>
      <c r="P173" s="49"/>
      <c r="Q173" s="524"/>
      <c r="R173" s="49"/>
      <c r="S173" s="49"/>
      <c r="T173" s="49"/>
      <c r="U173" s="49"/>
      <c r="V173" s="49"/>
      <c r="W173" s="49"/>
      <c r="X173" s="49"/>
      <c r="Y173" s="49"/>
      <c r="Z173" s="49"/>
      <c r="AA173" s="49"/>
      <c r="AB173" s="51"/>
      <c r="AC173" s="49"/>
      <c r="AD173" s="49"/>
      <c r="AE173" s="49"/>
      <c r="AF173" s="49"/>
      <c r="AG173" s="49"/>
      <c r="AH173" s="49"/>
      <c r="AI173" s="49"/>
      <c r="AJ173" s="49"/>
      <c r="AK173" s="49"/>
      <c r="AL173" s="49"/>
      <c r="AM173" s="49"/>
      <c r="AN173" s="49"/>
      <c r="AO173" s="49"/>
      <c r="AP173" s="49"/>
      <c r="AQ173" s="49"/>
      <c r="AR173" s="49"/>
      <c r="AS173" s="49"/>
      <c r="AT173" s="49"/>
      <c r="AU173" s="49"/>
      <c r="AV173" s="49"/>
      <c r="AW173" s="49"/>
      <c r="AX173" s="49"/>
      <c r="AY173" s="49"/>
      <c r="AZ173" s="49"/>
      <c r="BA173" s="49"/>
      <c r="BB173" s="49"/>
      <c r="BC173" s="49"/>
      <c r="BD173" s="49"/>
      <c r="BE173" s="49"/>
      <c r="BF173" s="49"/>
      <c r="BG173" s="49"/>
      <c r="BH173" s="49"/>
      <c r="BI173" s="49"/>
      <c r="BJ173" s="49"/>
      <c r="BK173" s="49"/>
      <c r="BL173" s="49"/>
      <c r="BM173" s="49"/>
      <c r="BN173" s="49"/>
      <c r="BO173" s="49"/>
      <c r="BP173" s="49"/>
      <c r="BQ173" s="49"/>
      <c r="BR173" s="49"/>
      <c r="BS173" s="49"/>
      <c r="BT173" s="49"/>
      <c r="BU173" s="49"/>
      <c r="BV173" s="49"/>
      <c r="BW173" s="49"/>
      <c r="BX173" s="49"/>
      <c r="BY173" s="49"/>
      <c r="BZ173" s="49"/>
      <c r="CA173" s="49"/>
      <c r="CB173" s="49"/>
      <c r="CC173" s="49"/>
      <c r="CD173" s="49"/>
      <c r="CE173" s="49"/>
      <c r="CF173" s="49"/>
      <c r="CG173" s="49"/>
      <c r="CH173" s="49"/>
      <c r="CI173" s="49"/>
      <c r="CJ173" s="49"/>
      <c r="CK173" s="49"/>
      <c r="CL173" s="49"/>
      <c r="CM173" s="49"/>
      <c r="CN173" s="49"/>
    </row>
    <row r="174" spans="3:92">
      <c r="C174" s="6"/>
      <c r="E174" s="49"/>
      <c r="F174" s="49"/>
      <c r="G174" s="49"/>
      <c r="H174" s="49"/>
      <c r="I174" s="49"/>
      <c r="J174" s="49"/>
      <c r="K174" s="49"/>
      <c r="L174" s="49"/>
      <c r="M174" s="49"/>
      <c r="N174" s="49"/>
      <c r="O174" s="49"/>
      <c r="P174" s="49"/>
      <c r="Q174" s="524"/>
      <c r="R174" s="49"/>
      <c r="S174" s="49"/>
      <c r="T174" s="49"/>
      <c r="U174" s="49"/>
      <c r="V174" s="49"/>
      <c r="W174" s="49"/>
      <c r="X174" s="49"/>
      <c r="Y174" s="49"/>
      <c r="Z174" s="49"/>
      <c r="AA174" s="49"/>
      <c r="AB174" s="51"/>
      <c r="AC174" s="49"/>
      <c r="AD174" s="49"/>
      <c r="AE174" s="49"/>
      <c r="AF174" s="49"/>
      <c r="AG174" s="49"/>
      <c r="AH174" s="49"/>
      <c r="AI174" s="49"/>
      <c r="AJ174" s="49"/>
      <c r="AK174" s="49"/>
      <c r="AL174" s="49"/>
      <c r="AM174" s="49"/>
      <c r="AN174" s="49"/>
      <c r="AO174" s="49"/>
      <c r="AP174" s="49"/>
      <c r="AQ174" s="49"/>
      <c r="AR174" s="49"/>
      <c r="AS174" s="49"/>
      <c r="AT174" s="49"/>
      <c r="AU174" s="49"/>
      <c r="AV174" s="49"/>
      <c r="AW174" s="49"/>
      <c r="AX174" s="49"/>
      <c r="AY174" s="49"/>
      <c r="AZ174" s="49"/>
      <c r="BA174" s="49"/>
      <c r="BB174" s="49"/>
      <c r="BC174" s="49"/>
      <c r="BD174" s="49"/>
      <c r="BE174" s="49"/>
      <c r="BF174" s="49"/>
      <c r="BG174" s="49"/>
      <c r="BH174" s="49"/>
      <c r="BI174" s="49"/>
      <c r="BJ174" s="49"/>
      <c r="BK174" s="49"/>
      <c r="BL174" s="49"/>
      <c r="BM174" s="49"/>
      <c r="BN174" s="49"/>
      <c r="BO174" s="49"/>
      <c r="BP174" s="49"/>
      <c r="BQ174" s="49"/>
      <c r="BR174" s="49"/>
      <c r="BS174" s="49"/>
      <c r="BT174" s="49"/>
      <c r="BU174" s="49"/>
      <c r="BV174" s="49"/>
      <c r="BW174" s="49"/>
      <c r="BX174" s="49"/>
      <c r="BY174" s="49"/>
      <c r="BZ174" s="49"/>
      <c r="CA174" s="49"/>
      <c r="CB174" s="49"/>
      <c r="CC174" s="49"/>
      <c r="CD174" s="49"/>
      <c r="CE174" s="49"/>
      <c r="CF174" s="49"/>
      <c r="CG174" s="49"/>
      <c r="CH174" s="49"/>
      <c r="CI174" s="49"/>
      <c r="CJ174" s="49"/>
      <c r="CK174" s="49"/>
      <c r="CL174" s="49"/>
      <c r="CM174" s="49"/>
      <c r="CN174" s="49"/>
    </row>
    <row r="175" spans="3:92">
      <c r="C175" s="6"/>
      <c r="E175" s="49"/>
      <c r="F175" s="49"/>
      <c r="G175" s="49"/>
      <c r="H175" s="49"/>
      <c r="I175" s="49"/>
      <c r="J175" s="49"/>
      <c r="K175" s="49"/>
      <c r="L175" s="49"/>
      <c r="M175" s="49"/>
      <c r="N175" s="49"/>
      <c r="O175" s="49"/>
      <c r="P175" s="49"/>
      <c r="Q175" s="524"/>
      <c r="R175" s="49"/>
      <c r="S175" s="49"/>
      <c r="T175" s="49"/>
      <c r="U175" s="49"/>
      <c r="V175" s="49"/>
      <c r="W175" s="49"/>
      <c r="X175" s="49"/>
      <c r="Y175" s="49"/>
      <c r="Z175" s="49"/>
      <c r="AA175" s="49"/>
      <c r="AB175" s="51"/>
      <c r="AC175" s="49"/>
      <c r="AD175" s="49"/>
      <c r="AE175" s="49"/>
      <c r="AF175" s="49"/>
      <c r="AG175" s="49"/>
      <c r="AH175" s="49"/>
      <c r="AI175" s="49"/>
      <c r="AJ175" s="49"/>
      <c r="AK175" s="49"/>
      <c r="AL175" s="49"/>
      <c r="AM175" s="49"/>
      <c r="AN175" s="49"/>
      <c r="AO175" s="49"/>
      <c r="AP175" s="49"/>
      <c r="AQ175" s="49"/>
      <c r="AR175" s="49"/>
      <c r="AS175" s="49"/>
      <c r="AT175" s="49"/>
      <c r="AU175" s="49"/>
      <c r="AV175" s="49"/>
      <c r="AW175" s="49"/>
      <c r="AX175" s="49"/>
      <c r="AY175" s="49"/>
      <c r="AZ175" s="49"/>
      <c r="BA175" s="49"/>
      <c r="BB175" s="49"/>
      <c r="BC175" s="49"/>
      <c r="BD175" s="49"/>
      <c r="BE175" s="49"/>
      <c r="BF175" s="49"/>
      <c r="BG175" s="49"/>
      <c r="BH175" s="49"/>
      <c r="BI175" s="49"/>
      <c r="BJ175" s="49"/>
      <c r="BK175" s="49"/>
      <c r="BL175" s="49"/>
      <c r="BM175" s="49"/>
      <c r="BN175" s="49"/>
      <c r="BO175" s="49"/>
      <c r="BP175" s="49"/>
      <c r="BQ175" s="49"/>
      <c r="BR175" s="49"/>
      <c r="BS175" s="49"/>
      <c r="BT175" s="49"/>
      <c r="BU175" s="49"/>
      <c r="BV175" s="49"/>
      <c r="BW175" s="49"/>
      <c r="BX175" s="49"/>
      <c r="BY175" s="49"/>
      <c r="BZ175" s="49"/>
      <c r="CA175" s="49"/>
      <c r="CB175" s="49"/>
      <c r="CC175" s="49"/>
      <c r="CD175" s="49"/>
      <c r="CE175" s="49"/>
      <c r="CF175" s="49"/>
      <c r="CG175" s="49"/>
      <c r="CH175" s="49"/>
      <c r="CI175" s="49"/>
      <c r="CJ175" s="49"/>
      <c r="CK175" s="49"/>
      <c r="CL175" s="49"/>
      <c r="CM175" s="49"/>
      <c r="CN175" s="49"/>
    </row>
    <row r="176" spans="3:92">
      <c r="C176" s="6"/>
      <c r="E176" s="49"/>
      <c r="F176" s="49"/>
      <c r="G176" s="49"/>
      <c r="H176" s="49"/>
      <c r="I176" s="49"/>
      <c r="J176" s="49"/>
      <c r="K176" s="49"/>
      <c r="L176" s="49"/>
      <c r="M176" s="49"/>
      <c r="N176" s="49"/>
      <c r="O176" s="49"/>
      <c r="P176" s="49"/>
      <c r="Q176" s="524"/>
      <c r="R176" s="49"/>
      <c r="S176" s="49"/>
      <c r="T176" s="49"/>
      <c r="U176" s="49"/>
      <c r="V176" s="49"/>
      <c r="W176" s="49"/>
      <c r="X176" s="49"/>
      <c r="Y176" s="49"/>
      <c r="Z176" s="49"/>
      <c r="AA176" s="49"/>
      <c r="AB176" s="51"/>
      <c r="AC176" s="49"/>
      <c r="AD176" s="49"/>
      <c r="AE176" s="49"/>
      <c r="AF176" s="49"/>
      <c r="AG176" s="49"/>
      <c r="AH176" s="49"/>
      <c r="AI176" s="49"/>
      <c r="AJ176" s="49"/>
      <c r="AK176" s="49"/>
      <c r="AL176" s="49"/>
      <c r="AM176" s="49"/>
      <c r="AN176" s="49"/>
      <c r="AO176" s="49"/>
      <c r="AP176" s="49"/>
      <c r="AQ176" s="49"/>
      <c r="AR176" s="49"/>
      <c r="AS176" s="49"/>
      <c r="AT176" s="49"/>
      <c r="AU176" s="49"/>
      <c r="AV176" s="49"/>
      <c r="AW176" s="49"/>
      <c r="AX176" s="49"/>
      <c r="AY176" s="49"/>
      <c r="AZ176" s="49"/>
      <c r="BA176" s="49"/>
      <c r="BB176" s="49"/>
      <c r="BC176" s="49"/>
      <c r="BD176" s="49"/>
      <c r="BE176" s="49"/>
      <c r="BF176" s="49"/>
      <c r="BG176" s="49"/>
      <c r="BH176" s="49"/>
      <c r="BI176" s="49"/>
      <c r="BJ176" s="49"/>
      <c r="BK176" s="49"/>
      <c r="BL176" s="49"/>
      <c r="BM176" s="49"/>
      <c r="BN176" s="49"/>
      <c r="BO176" s="49"/>
      <c r="BP176" s="49"/>
      <c r="BQ176" s="49"/>
      <c r="BR176" s="49"/>
      <c r="BS176" s="49"/>
      <c r="BT176" s="49"/>
      <c r="BU176" s="49"/>
      <c r="BV176" s="49"/>
      <c r="BW176" s="49"/>
      <c r="BX176" s="49"/>
      <c r="BY176" s="49"/>
      <c r="BZ176" s="49"/>
      <c r="CA176" s="49"/>
      <c r="CB176" s="49"/>
      <c r="CC176" s="49"/>
      <c r="CD176" s="49"/>
      <c r="CE176" s="49"/>
      <c r="CF176" s="49"/>
      <c r="CG176" s="49"/>
      <c r="CH176" s="49"/>
      <c r="CI176" s="49"/>
      <c r="CJ176" s="49"/>
      <c r="CK176" s="49"/>
      <c r="CL176" s="49"/>
      <c r="CM176" s="49"/>
      <c r="CN176" s="49"/>
    </row>
    <row r="177" spans="3:92">
      <c r="C177" s="6"/>
      <c r="E177" s="49"/>
      <c r="F177" s="49"/>
      <c r="G177" s="49"/>
      <c r="H177" s="49"/>
      <c r="I177" s="49"/>
      <c r="J177" s="49"/>
      <c r="K177" s="49"/>
      <c r="L177" s="49"/>
      <c r="M177" s="49"/>
      <c r="N177" s="49"/>
      <c r="O177" s="49"/>
      <c r="P177" s="49"/>
      <c r="Q177" s="524"/>
      <c r="R177" s="49"/>
      <c r="S177" s="49"/>
      <c r="T177" s="49"/>
      <c r="U177" s="49"/>
      <c r="V177" s="49"/>
      <c r="W177" s="49"/>
      <c r="X177" s="49"/>
      <c r="Y177" s="49"/>
      <c r="Z177" s="49"/>
      <c r="AA177" s="49"/>
      <c r="AB177" s="51"/>
      <c r="AC177" s="49"/>
      <c r="AD177" s="49"/>
      <c r="AE177" s="49"/>
      <c r="AF177" s="49"/>
      <c r="AG177" s="49"/>
      <c r="AH177" s="49"/>
      <c r="AI177" s="49"/>
      <c r="AJ177" s="49"/>
      <c r="AK177" s="49"/>
      <c r="AL177" s="49"/>
      <c r="AM177" s="49"/>
      <c r="AN177" s="49"/>
      <c r="AO177" s="49"/>
      <c r="AP177" s="49"/>
      <c r="AQ177" s="49"/>
      <c r="AR177" s="49"/>
      <c r="AS177" s="49"/>
      <c r="AT177" s="49"/>
      <c r="AU177" s="49"/>
      <c r="AV177" s="49"/>
      <c r="AW177" s="49"/>
      <c r="AX177" s="49"/>
      <c r="AY177" s="49"/>
      <c r="AZ177" s="49"/>
      <c r="BA177" s="49"/>
      <c r="BB177" s="49"/>
      <c r="BC177" s="49"/>
      <c r="BD177" s="49"/>
      <c r="BE177" s="49"/>
      <c r="BF177" s="49"/>
      <c r="BG177" s="49"/>
      <c r="BH177" s="49"/>
      <c r="BI177" s="49"/>
      <c r="BJ177" s="49"/>
      <c r="BK177" s="49"/>
      <c r="BL177" s="49"/>
      <c r="BM177" s="49"/>
      <c r="BN177" s="49"/>
      <c r="BO177" s="49"/>
      <c r="BP177" s="49"/>
      <c r="BQ177" s="49"/>
      <c r="BR177" s="49"/>
      <c r="BS177" s="49"/>
      <c r="BT177" s="49"/>
      <c r="BU177" s="49"/>
      <c r="BV177" s="49"/>
      <c r="BW177" s="49"/>
      <c r="BX177" s="49"/>
      <c r="BY177" s="49"/>
      <c r="BZ177" s="49"/>
      <c r="CA177" s="49"/>
      <c r="CB177" s="49"/>
      <c r="CC177" s="49"/>
      <c r="CD177" s="49"/>
      <c r="CE177" s="49"/>
      <c r="CF177" s="49"/>
      <c r="CG177" s="49"/>
      <c r="CH177" s="49"/>
      <c r="CI177" s="49"/>
      <c r="CJ177" s="49"/>
      <c r="CK177" s="49"/>
      <c r="CL177" s="49"/>
      <c r="CM177" s="49"/>
      <c r="CN177" s="49"/>
    </row>
    <row r="178" spans="3:92">
      <c r="C178" s="6"/>
      <c r="E178" s="49"/>
      <c r="F178" s="49"/>
      <c r="G178" s="49"/>
      <c r="H178" s="49"/>
      <c r="I178" s="49"/>
      <c r="J178" s="49"/>
      <c r="K178" s="49"/>
      <c r="L178" s="49"/>
      <c r="M178" s="49"/>
      <c r="N178" s="49"/>
      <c r="O178" s="49"/>
      <c r="P178" s="49"/>
      <c r="Q178" s="524"/>
      <c r="R178" s="49"/>
      <c r="S178" s="49"/>
      <c r="T178" s="49"/>
      <c r="U178" s="49"/>
      <c r="V178" s="49"/>
      <c r="W178" s="49"/>
      <c r="X178" s="49"/>
      <c r="Y178" s="49"/>
      <c r="Z178" s="49"/>
      <c r="AA178" s="49"/>
      <c r="AB178" s="51"/>
      <c r="AC178" s="49"/>
      <c r="AD178" s="49"/>
      <c r="AE178" s="49"/>
      <c r="AF178" s="49"/>
      <c r="AG178" s="49"/>
      <c r="AH178" s="49"/>
      <c r="AI178" s="49"/>
      <c r="AJ178" s="49"/>
      <c r="AK178" s="49"/>
      <c r="AL178" s="49"/>
      <c r="AM178" s="49"/>
      <c r="AN178" s="49"/>
      <c r="AO178" s="49"/>
      <c r="AP178" s="49"/>
      <c r="AQ178" s="49"/>
      <c r="AR178" s="49"/>
      <c r="AS178" s="49"/>
      <c r="AT178" s="49"/>
      <c r="AU178" s="49"/>
      <c r="AV178" s="49"/>
      <c r="AW178" s="49"/>
      <c r="AX178" s="49"/>
      <c r="AY178" s="49"/>
      <c r="AZ178" s="49"/>
      <c r="BA178" s="49"/>
      <c r="BB178" s="49"/>
      <c r="BC178" s="49"/>
      <c r="BD178" s="49"/>
      <c r="BE178" s="49"/>
      <c r="BF178" s="49"/>
      <c r="BG178" s="49"/>
      <c r="BH178" s="49"/>
      <c r="BI178" s="49"/>
      <c r="BJ178" s="49"/>
      <c r="BK178" s="49"/>
      <c r="BL178" s="49"/>
      <c r="BM178" s="49"/>
      <c r="BN178" s="49"/>
      <c r="BO178" s="49"/>
      <c r="BP178" s="49"/>
      <c r="BQ178" s="49"/>
      <c r="BR178" s="49"/>
      <c r="BS178" s="49"/>
      <c r="BT178" s="49"/>
      <c r="BU178" s="49"/>
      <c r="BV178" s="49"/>
      <c r="BW178" s="49"/>
      <c r="BX178" s="49"/>
      <c r="BY178" s="49"/>
      <c r="BZ178" s="49"/>
      <c r="CA178" s="49"/>
      <c r="CB178" s="49"/>
      <c r="CC178" s="49"/>
      <c r="CD178" s="49"/>
      <c r="CE178" s="49"/>
      <c r="CF178" s="49"/>
      <c r="CG178" s="49"/>
      <c r="CH178" s="49"/>
      <c r="CI178" s="49"/>
      <c r="CJ178" s="49"/>
      <c r="CK178" s="49"/>
      <c r="CL178" s="49"/>
      <c r="CM178" s="49"/>
      <c r="CN178" s="49"/>
    </row>
    <row r="179" spans="3:92">
      <c r="C179" s="6"/>
      <c r="E179" s="49"/>
      <c r="F179" s="49"/>
      <c r="G179" s="49"/>
      <c r="H179" s="49"/>
      <c r="I179" s="49"/>
      <c r="J179" s="49"/>
      <c r="K179" s="49"/>
      <c r="L179" s="49"/>
      <c r="M179" s="49"/>
      <c r="N179" s="49"/>
      <c r="O179" s="49"/>
      <c r="P179" s="49"/>
      <c r="Q179" s="524"/>
      <c r="R179" s="49"/>
      <c r="S179" s="49"/>
      <c r="T179" s="49"/>
      <c r="U179" s="49"/>
      <c r="V179" s="49"/>
      <c r="W179" s="49"/>
      <c r="X179" s="49"/>
      <c r="Y179" s="49"/>
      <c r="Z179" s="49"/>
      <c r="AA179" s="49"/>
      <c r="AB179" s="51"/>
      <c r="AC179" s="49"/>
      <c r="AD179" s="49"/>
      <c r="AE179" s="49"/>
      <c r="AF179" s="49"/>
      <c r="AG179" s="49"/>
      <c r="AH179" s="49"/>
      <c r="AI179" s="49"/>
      <c r="AJ179" s="49"/>
      <c r="AK179" s="49"/>
      <c r="AL179" s="49"/>
      <c r="AM179" s="49"/>
      <c r="AN179" s="49"/>
      <c r="AO179" s="49"/>
      <c r="AP179" s="49"/>
      <c r="AQ179" s="49"/>
      <c r="AR179" s="49"/>
      <c r="AS179" s="49"/>
      <c r="AT179" s="49"/>
      <c r="AU179" s="49"/>
      <c r="AV179" s="49"/>
      <c r="AW179" s="49"/>
      <c r="AX179" s="49"/>
      <c r="AY179" s="49"/>
      <c r="AZ179" s="49"/>
      <c r="BA179" s="49"/>
      <c r="BB179" s="49"/>
      <c r="BC179" s="49"/>
      <c r="BD179" s="49"/>
      <c r="BE179" s="49"/>
      <c r="BF179" s="49"/>
      <c r="BG179" s="49"/>
      <c r="BH179" s="49"/>
      <c r="BI179" s="49"/>
      <c r="BJ179" s="49"/>
      <c r="BK179" s="49"/>
      <c r="BL179" s="49"/>
      <c r="BM179" s="49"/>
      <c r="BN179" s="49"/>
      <c r="BO179" s="49"/>
      <c r="BP179" s="49"/>
      <c r="BQ179" s="49"/>
      <c r="BR179" s="49"/>
      <c r="BS179" s="49"/>
      <c r="BT179" s="49"/>
      <c r="BU179" s="49"/>
      <c r="BV179" s="49"/>
      <c r="BW179" s="49"/>
      <c r="BX179" s="49"/>
      <c r="BY179" s="49"/>
      <c r="BZ179" s="49"/>
      <c r="CA179" s="49"/>
      <c r="CB179" s="49"/>
      <c r="CC179" s="49"/>
      <c r="CD179" s="49"/>
      <c r="CE179" s="49"/>
      <c r="CF179" s="49"/>
      <c r="CG179" s="49"/>
      <c r="CH179" s="49"/>
      <c r="CI179" s="49"/>
      <c r="CJ179" s="49"/>
      <c r="CK179" s="49"/>
      <c r="CL179" s="49"/>
      <c r="CM179" s="49"/>
      <c r="CN179" s="49"/>
    </row>
    <row r="180" spans="3:92">
      <c r="C180" s="6"/>
      <c r="E180" s="49"/>
      <c r="F180" s="49"/>
      <c r="G180" s="49"/>
      <c r="H180" s="49"/>
      <c r="I180" s="49"/>
      <c r="J180" s="49"/>
      <c r="K180" s="49"/>
      <c r="L180" s="49"/>
      <c r="M180" s="49"/>
      <c r="N180" s="49"/>
      <c r="O180" s="49"/>
      <c r="P180" s="49"/>
      <c r="Q180" s="524"/>
      <c r="R180" s="49"/>
      <c r="S180" s="49"/>
      <c r="T180" s="49"/>
      <c r="U180" s="49"/>
      <c r="V180" s="49"/>
      <c r="W180" s="49"/>
      <c r="X180" s="49"/>
      <c r="Y180" s="49"/>
      <c r="Z180" s="49"/>
      <c r="AA180" s="49"/>
      <c r="AB180" s="51"/>
      <c r="AC180" s="49"/>
      <c r="AD180" s="49"/>
      <c r="AE180" s="49"/>
      <c r="AF180" s="49"/>
      <c r="AG180" s="49"/>
      <c r="AH180" s="49"/>
      <c r="AI180" s="49"/>
      <c r="AJ180" s="49"/>
      <c r="AK180" s="49"/>
      <c r="AL180" s="49"/>
      <c r="AM180" s="49"/>
      <c r="AN180" s="49"/>
      <c r="AO180" s="49"/>
      <c r="AP180" s="49"/>
      <c r="AQ180" s="49"/>
      <c r="AR180" s="49"/>
      <c r="AS180" s="49"/>
      <c r="AT180" s="49"/>
      <c r="AU180" s="49"/>
      <c r="AV180" s="49"/>
      <c r="AW180" s="49"/>
      <c r="AX180" s="49"/>
      <c r="AY180" s="49"/>
      <c r="AZ180" s="49"/>
      <c r="BA180" s="49"/>
      <c r="BB180" s="49"/>
      <c r="BC180" s="49"/>
      <c r="BD180" s="49"/>
      <c r="BE180" s="49"/>
      <c r="BF180" s="49"/>
      <c r="BG180" s="49"/>
      <c r="BH180" s="49"/>
      <c r="BI180" s="49"/>
      <c r="BJ180" s="49"/>
      <c r="BK180" s="49"/>
      <c r="BL180" s="49"/>
      <c r="BM180" s="49"/>
      <c r="BN180" s="49"/>
      <c r="BO180" s="49"/>
      <c r="BP180" s="49"/>
      <c r="BQ180" s="49"/>
      <c r="BR180" s="49"/>
      <c r="BS180" s="49"/>
      <c r="BT180" s="49"/>
      <c r="BU180" s="49"/>
      <c r="BV180" s="49"/>
      <c r="BW180" s="49"/>
      <c r="BX180" s="49"/>
      <c r="BY180" s="49"/>
      <c r="BZ180" s="49"/>
      <c r="CA180" s="49"/>
      <c r="CB180" s="49"/>
      <c r="CC180" s="49"/>
      <c r="CD180" s="49"/>
      <c r="CE180" s="49"/>
      <c r="CF180" s="49"/>
      <c r="CG180" s="49"/>
      <c r="CH180" s="49"/>
      <c r="CI180" s="49"/>
      <c r="CJ180" s="49"/>
      <c r="CK180" s="49"/>
      <c r="CL180" s="49"/>
      <c r="CM180" s="49"/>
      <c r="CN180" s="49"/>
    </row>
    <row r="181" spans="3:92">
      <c r="C181" s="6"/>
      <c r="E181" s="49"/>
      <c r="F181" s="49"/>
      <c r="G181" s="49"/>
      <c r="H181" s="49"/>
      <c r="I181" s="49"/>
      <c r="J181" s="49"/>
      <c r="K181" s="49"/>
      <c r="L181" s="49"/>
      <c r="M181" s="49"/>
      <c r="N181" s="49"/>
      <c r="O181" s="49"/>
      <c r="P181" s="49"/>
      <c r="Q181" s="524"/>
      <c r="R181" s="49"/>
      <c r="S181" s="49"/>
      <c r="T181" s="49"/>
      <c r="U181" s="49"/>
      <c r="V181" s="49"/>
      <c r="W181" s="49"/>
      <c r="X181" s="49"/>
      <c r="Y181" s="49"/>
      <c r="Z181" s="49"/>
      <c r="AA181" s="49"/>
      <c r="AB181" s="51"/>
      <c r="AC181" s="49"/>
      <c r="AD181" s="49"/>
      <c r="AE181" s="49"/>
      <c r="AF181" s="49"/>
      <c r="AG181" s="49"/>
      <c r="AH181" s="49"/>
      <c r="AI181" s="49"/>
      <c r="AJ181" s="49"/>
      <c r="AK181" s="49"/>
      <c r="AL181" s="49"/>
      <c r="AM181" s="49"/>
      <c r="AN181" s="49"/>
      <c r="AO181" s="49"/>
      <c r="AP181" s="49"/>
      <c r="AQ181" s="49"/>
      <c r="AR181" s="49"/>
      <c r="AS181" s="49"/>
      <c r="AT181" s="49"/>
      <c r="AU181" s="49"/>
      <c r="AV181" s="49"/>
      <c r="AW181" s="49"/>
      <c r="AX181" s="49"/>
      <c r="AY181" s="49"/>
      <c r="AZ181" s="49"/>
      <c r="BA181" s="49"/>
      <c r="BB181" s="49"/>
      <c r="BC181" s="49"/>
      <c r="BD181" s="49"/>
      <c r="BE181" s="49"/>
      <c r="BF181" s="49"/>
      <c r="BG181" s="49"/>
      <c r="BH181" s="49"/>
      <c r="BI181" s="49"/>
      <c r="BJ181" s="49"/>
      <c r="BK181" s="49"/>
      <c r="BL181" s="49"/>
      <c r="BM181" s="49"/>
      <c r="BN181" s="49"/>
      <c r="BO181" s="49"/>
      <c r="BP181" s="49"/>
      <c r="BQ181" s="49"/>
      <c r="BR181" s="49"/>
      <c r="BS181" s="49"/>
      <c r="BT181" s="49"/>
      <c r="BU181" s="49"/>
      <c r="BV181" s="49"/>
      <c r="BW181" s="49"/>
      <c r="BX181" s="49"/>
      <c r="BY181" s="49"/>
      <c r="BZ181" s="49"/>
      <c r="CA181" s="49"/>
      <c r="CB181" s="49"/>
      <c r="CC181" s="49"/>
      <c r="CD181" s="49"/>
      <c r="CE181" s="49"/>
      <c r="CF181" s="49"/>
      <c r="CG181" s="49"/>
      <c r="CH181" s="49"/>
      <c r="CI181" s="49"/>
      <c r="CJ181" s="49"/>
      <c r="CK181" s="49"/>
      <c r="CL181" s="49"/>
      <c r="CM181" s="49"/>
      <c r="CN181" s="49"/>
    </row>
    <row r="182" spans="3:92">
      <c r="C182" s="6"/>
      <c r="E182" s="49"/>
      <c r="F182" s="49"/>
      <c r="G182" s="49"/>
      <c r="H182" s="49"/>
      <c r="I182" s="49"/>
      <c r="J182" s="49"/>
      <c r="K182" s="49"/>
      <c r="L182" s="49"/>
      <c r="M182" s="49"/>
      <c r="N182" s="49"/>
      <c r="O182" s="49"/>
      <c r="P182" s="49"/>
      <c r="Q182" s="524"/>
      <c r="R182" s="49"/>
      <c r="S182" s="49"/>
      <c r="T182" s="49"/>
      <c r="U182" s="49"/>
      <c r="V182" s="49"/>
      <c r="W182" s="49"/>
      <c r="X182" s="49"/>
      <c r="Y182" s="49"/>
      <c r="Z182" s="49"/>
      <c r="AA182" s="49"/>
      <c r="AB182" s="51"/>
      <c r="AC182" s="49"/>
      <c r="AD182" s="49"/>
      <c r="AE182" s="49"/>
      <c r="AF182" s="49"/>
      <c r="AG182" s="49"/>
      <c r="AH182" s="49"/>
      <c r="AI182" s="49"/>
      <c r="AJ182" s="49"/>
      <c r="AK182" s="49"/>
      <c r="AL182" s="49"/>
      <c r="AM182" s="49"/>
      <c r="AN182" s="49"/>
      <c r="AO182" s="49"/>
      <c r="AP182" s="49"/>
      <c r="AQ182" s="49"/>
      <c r="AR182" s="49"/>
      <c r="AS182" s="49"/>
      <c r="AT182" s="49"/>
      <c r="AU182" s="49"/>
      <c r="AV182" s="49"/>
      <c r="AW182" s="49"/>
      <c r="AX182" s="49"/>
      <c r="AY182" s="49"/>
      <c r="AZ182" s="49"/>
      <c r="BA182" s="49"/>
      <c r="BB182" s="49"/>
      <c r="BC182" s="49"/>
      <c r="BD182" s="49"/>
      <c r="BE182" s="49"/>
      <c r="BF182" s="49"/>
      <c r="BG182" s="49"/>
      <c r="BH182" s="49"/>
      <c r="BI182" s="49"/>
      <c r="BJ182" s="49"/>
      <c r="BK182" s="49"/>
      <c r="BL182" s="49"/>
      <c r="BM182" s="49"/>
      <c r="BN182" s="49"/>
      <c r="BO182" s="49"/>
      <c r="BP182" s="49"/>
      <c r="BQ182" s="49"/>
      <c r="BR182" s="49"/>
      <c r="BS182" s="49"/>
      <c r="BT182" s="49"/>
      <c r="BU182" s="49"/>
      <c r="BV182" s="49"/>
      <c r="BW182" s="49"/>
      <c r="BX182" s="49"/>
      <c r="BY182" s="49"/>
      <c r="BZ182" s="49"/>
      <c r="CA182" s="49"/>
      <c r="CB182" s="49"/>
      <c r="CC182" s="49"/>
      <c r="CD182" s="49"/>
      <c r="CE182" s="49"/>
      <c r="CF182" s="49"/>
      <c r="CG182" s="49"/>
      <c r="CH182" s="49"/>
      <c r="CI182" s="49"/>
      <c r="CJ182" s="49"/>
      <c r="CK182" s="49"/>
      <c r="CL182" s="49"/>
      <c r="CM182" s="49"/>
      <c r="CN182" s="49"/>
    </row>
    <row r="183" spans="3:92">
      <c r="C183" s="6"/>
      <c r="E183" s="49"/>
      <c r="F183" s="49"/>
      <c r="G183" s="49"/>
      <c r="H183" s="49"/>
      <c r="I183" s="49"/>
      <c r="J183" s="49"/>
      <c r="K183" s="49"/>
      <c r="L183" s="49"/>
      <c r="M183" s="49"/>
      <c r="N183" s="49"/>
      <c r="O183" s="49"/>
      <c r="P183" s="49"/>
      <c r="Q183" s="524"/>
      <c r="R183" s="49"/>
      <c r="S183" s="49"/>
      <c r="T183" s="49"/>
      <c r="U183" s="49"/>
      <c r="V183" s="49"/>
      <c r="W183" s="49"/>
      <c r="X183" s="49"/>
      <c r="Y183" s="49"/>
      <c r="Z183" s="49"/>
      <c r="AA183" s="49"/>
      <c r="AB183" s="51"/>
      <c r="AC183" s="49"/>
      <c r="AD183" s="49"/>
      <c r="AE183" s="49"/>
      <c r="AF183" s="49"/>
      <c r="AG183" s="49"/>
      <c r="AH183" s="49"/>
      <c r="AI183" s="49"/>
      <c r="AJ183" s="49"/>
      <c r="AK183" s="49"/>
      <c r="AL183" s="49"/>
      <c r="AM183" s="49"/>
      <c r="AN183" s="49"/>
      <c r="AO183" s="49"/>
      <c r="AP183" s="49"/>
      <c r="AQ183" s="49"/>
      <c r="AR183" s="49"/>
      <c r="AS183" s="49"/>
      <c r="AT183" s="49"/>
      <c r="AU183" s="49"/>
      <c r="AV183" s="49"/>
      <c r="AW183" s="49"/>
      <c r="AX183" s="49"/>
      <c r="AY183" s="49"/>
      <c r="AZ183" s="49"/>
      <c r="BA183" s="49"/>
      <c r="BB183" s="49"/>
      <c r="BC183" s="49"/>
      <c r="BD183" s="49"/>
      <c r="BE183" s="49"/>
      <c r="BF183" s="49"/>
      <c r="BG183" s="49"/>
      <c r="BH183" s="49"/>
      <c r="BI183" s="49"/>
      <c r="BJ183" s="49"/>
      <c r="BK183" s="49"/>
      <c r="BL183" s="49"/>
      <c r="BM183" s="49"/>
      <c r="BN183" s="49"/>
      <c r="BO183" s="49"/>
      <c r="BP183" s="49"/>
      <c r="BQ183" s="49"/>
      <c r="BR183" s="49"/>
      <c r="BS183" s="49"/>
      <c r="BT183" s="49"/>
      <c r="BU183" s="49"/>
      <c r="BV183" s="49"/>
      <c r="BW183" s="49"/>
      <c r="BX183" s="49"/>
      <c r="BY183" s="49"/>
      <c r="BZ183" s="49"/>
      <c r="CA183" s="49"/>
      <c r="CB183" s="49"/>
      <c r="CC183" s="49"/>
      <c r="CD183" s="49"/>
      <c r="CE183" s="49"/>
      <c r="CF183" s="49"/>
      <c r="CG183" s="49"/>
      <c r="CH183" s="49"/>
      <c r="CI183" s="49"/>
      <c r="CJ183" s="49"/>
      <c r="CK183" s="49"/>
      <c r="CL183" s="49"/>
      <c r="CM183" s="49"/>
      <c r="CN183" s="49"/>
    </row>
    <row r="184" spans="3:92">
      <c r="C184" s="6"/>
      <c r="E184" s="49"/>
      <c r="F184" s="49"/>
      <c r="G184" s="49"/>
      <c r="H184" s="49"/>
      <c r="I184" s="49"/>
      <c r="J184" s="49"/>
      <c r="K184" s="49"/>
      <c r="L184" s="49"/>
      <c r="M184" s="49"/>
      <c r="N184" s="49"/>
      <c r="O184" s="49"/>
      <c r="P184" s="49"/>
      <c r="Q184" s="524"/>
      <c r="R184" s="49"/>
      <c r="S184" s="49"/>
      <c r="T184" s="49"/>
      <c r="U184" s="49"/>
      <c r="V184" s="49"/>
      <c r="W184" s="49"/>
      <c r="X184" s="49"/>
      <c r="Y184" s="49"/>
      <c r="Z184" s="49"/>
      <c r="AA184" s="49"/>
      <c r="AB184" s="51"/>
      <c r="AC184" s="49"/>
      <c r="AD184" s="49"/>
      <c r="AE184" s="49"/>
      <c r="AF184" s="49"/>
      <c r="AG184" s="49"/>
      <c r="AH184" s="49"/>
      <c r="AI184" s="49"/>
      <c r="AJ184" s="49"/>
      <c r="AK184" s="49"/>
      <c r="AL184" s="49"/>
      <c r="AM184" s="49"/>
      <c r="AN184" s="49"/>
      <c r="AO184" s="49"/>
      <c r="AP184" s="49"/>
      <c r="AQ184" s="49"/>
      <c r="AR184" s="49"/>
      <c r="AS184" s="49"/>
      <c r="AT184" s="49"/>
      <c r="AU184" s="49"/>
      <c r="AV184" s="49"/>
      <c r="AW184" s="49"/>
      <c r="AX184" s="49"/>
      <c r="AY184" s="49"/>
      <c r="AZ184" s="49"/>
      <c r="BA184" s="49"/>
      <c r="BB184" s="49"/>
      <c r="BC184" s="49"/>
      <c r="BD184" s="49"/>
      <c r="BE184" s="49"/>
      <c r="BF184" s="49"/>
      <c r="BG184" s="49"/>
      <c r="BH184" s="49"/>
      <c r="BI184" s="49"/>
      <c r="BJ184" s="49"/>
      <c r="BK184" s="49"/>
      <c r="BL184" s="49"/>
      <c r="BM184" s="49"/>
      <c r="BN184" s="49"/>
      <c r="BO184" s="49"/>
      <c r="BP184" s="49"/>
      <c r="BQ184" s="49"/>
      <c r="BR184" s="49"/>
      <c r="BS184" s="49"/>
      <c r="BT184" s="49"/>
      <c r="BU184" s="49"/>
      <c r="BV184" s="49"/>
      <c r="BW184" s="49"/>
      <c r="BX184" s="49"/>
      <c r="BY184" s="49"/>
      <c r="BZ184" s="49"/>
      <c r="CA184" s="49"/>
      <c r="CB184" s="49"/>
      <c r="CC184" s="49"/>
      <c r="CD184" s="49"/>
      <c r="CE184" s="49"/>
      <c r="CF184" s="49"/>
      <c r="CG184" s="49"/>
      <c r="CH184" s="49"/>
      <c r="CI184" s="49"/>
      <c r="CJ184" s="49"/>
      <c r="CK184" s="49"/>
      <c r="CL184" s="49"/>
      <c r="CM184" s="49"/>
      <c r="CN184" s="49"/>
    </row>
    <row r="185" spans="3:92">
      <c r="C185" s="6"/>
      <c r="E185" s="49"/>
      <c r="F185" s="49"/>
      <c r="G185" s="49"/>
      <c r="H185" s="49"/>
      <c r="I185" s="49"/>
      <c r="J185" s="49"/>
      <c r="K185" s="49"/>
      <c r="L185" s="49"/>
      <c r="M185" s="49"/>
      <c r="N185" s="49"/>
      <c r="O185" s="49"/>
      <c r="P185" s="49"/>
      <c r="Q185" s="524"/>
      <c r="R185" s="49"/>
      <c r="S185" s="49"/>
      <c r="T185" s="49"/>
      <c r="U185" s="49"/>
      <c r="V185" s="49"/>
      <c r="W185" s="49"/>
      <c r="X185" s="49"/>
      <c r="Y185" s="49"/>
      <c r="Z185" s="49"/>
      <c r="AA185" s="49"/>
      <c r="AB185" s="51"/>
      <c r="AC185" s="49"/>
      <c r="AD185" s="49"/>
      <c r="AE185" s="49"/>
      <c r="AF185" s="49"/>
      <c r="AG185" s="49"/>
      <c r="AH185" s="49"/>
      <c r="AI185" s="49"/>
      <c r="AJ185" s="49"/>
      <c r="AK185" s="49"/>
      <c r="AL185" s="49"/>
      <c r="AM185" s="49"/>
      <c r="AN185" s="49"/>
      <c r="AO185" s="49"/>
      <c r="AP185" s="49"/>
      <c r="AQ185" s="49"/>
      <c r="AR185" s="49"/>
      <c r="AS185" s="49"/>
      <c r="AT185" s="49"/>
      <c r="AU185" s="49"/>
      <c r="AV185" s="49"/>
      <c r="AW185" s="49"/>
      <c r="AX185" s="49"/>
      <c r="AY185" s="49"/>
      <c r="AZ185" s="49"/>
      <c r="BA185" s="49"/>
      <c r="BB185" s="49"/>
      <c r="BC185" s="49"/>
      <c r="BD185" s="49"/>
      <c r="BE185" s="49"/>
      <c r="BF185" s="49"/>
      <c r="BG185" s="49"/>
      <c r="BH185" s="49"/>
      <c r="BI185" s="49"/>
      <c r="BJ185" s="49"/>
      <c r="BK185" s="49"/>
      <c r="BL185" s="49"/>
      <c r="BM185" s="49"/>
      <c r="BN185" s="49"/>
      <c r="BO185" s="49"/>
      <c r="BP185" s="49"/>
      <c r="BQ185" s="49"/>
      <c r="BR185" s="49"/>
      <c r="BS185" s="49"/>
      <c r="BT185" s="49"/>
      <c r="BU185" s="49"/>
      <c r="BV185" s="49"/>
      <c r="BW185" s="49"/>
      <c r="BX185" s="49"/>
      <c r="BY185" s="49"/>
      <c r="BZ185" s="49"/>
      <c r="CA185" s="49"/>
      <c r="CB185" s="49"/>
      <c r="CC185" s="49"/>
      <c r="CD185" s="49"/>
      <c r="CE185" s="49"/>
      <c r="CF185" s="49"/>
      <c r="CG185" s="49"/>
      <c r="CH185" s="49"/>
      <c r="CI185" s="49"/>
      <c r="CJ185" s="49"/>
      <c r="CK185" s="49"/>
      <c r="CL185" s="49"/>
      <c r="CM185" s="49"/>
      <c r="CN185" s="49"/>
    </row>
    <row r="186" spans="3:92">
      <c r="C186" s="6"/>
      <c r="E186" s="49"/>
      <c r="F186" s="49"/>
      <c r="G186" s="49"/>
      <c r="H186" s="49"/>
      <c r="I186" s="49"/>
      <c r="J186" s="49"/>
      <c r="K186" s="49"/>
      <c r="L186" s="49"/>
      <c r="M186" s="49"/>
      <c r="N186" s="49"/>
      <c r="O186" s="49"/>
      <c r="P186" s="49"/>
      <c r="Q186" s="524"/>
      <c r="R186" s="49"/>
      <c r="S186" s="49"/>
      <c r="T186" s="49"/>
      <c r="U186" s="49"/>
      <c r="V186" s="49"/>
      <c r="W186" s="49"/>
      <c r="X186" s="49"/>
      <c r="Y186" s="49"/>
      <c r="Z186" s="49"/>
      <c r="AA186" s="49"/>
      <c r="AB186" s="51"/>
      <c r="AC186" s="49"/>
      <c r="AD186" s="49"/>
      <c r="AE186" s="49"/>
      <c r="AF186" s="49"/>
      <c r="AG186" s="49"/>
      <c r="AH186" s="49"/>
      <c r="AI186" s="49"/>
      <c r="AJ186" s="49"/>
      <c r="AK186" s="49"/>
      <c r="AL186" s="49"/>
      <c r="AM186" s="49"/>
      <c r="AN186" s="49"/>
      <c r="AO186" s="49"/>
      <c r="AP186" s="49"/>
      <c r="AQ186" s="49"/>
      <c r="AR186" s="49"/>
      <c r="AS186" s="49"/>
      <c r="AT186" s="49"/>
      <c r="AU186" s="49"/>
      <c r="AV186" s="49"/>
      <c r="AW186" s="49"/>
      <c r="AX186" s="49"/>
      <c r="AY186" s="49"/>
      <c r="AZ186" s="49"/>
      <c r="BA186" s="49"/>
      <c r="BB186" s="49"/>
      <c r="BC186" s="49"/>
      <c r="BD186" s="49"/>
      <c r="BE186" s="49"/>
      <c r="BF186" s="49"/>
      <c r="BG186" s="49"/>
      <c r="BH186" s="49"/>
      <c r="BI186" s="49"/>
      <c r="BJ186" s="49"/>
      <c r="BK186" s="49"/>
      <c r="BL186" s="49"/>
      <c r="BM186" s="49"/>
      <c r="BN186" s="49"/>
      <c r="BO186" s="49"/>
      <c r="BP186" s="49"/>
      <c r="BQ186" s="49"/>
      <c r="BR186" s="49"/>
      <c r="BS186" s="49"/>
      <c r="BT186" s="49"/>
      <c r="BU186" s="49"/>
      <c r="BV186" s="49"/>
      <c r="BW186" s="49"/>
      <c r="BX186" s="49"/>
      <c r="BY186" s="49"/>
      <c r="BZ186" s="49"/>
      <c r="CA186" s="49"/>
      <c r="CB186" s="49"/>
      <c r="CC186" s="49"/>
      <c r="CD186" s="49"/>
      <c r="CE186" s="49"/>
      <c r="CF186" s="49"/>
      <c r="CG186" s="49"/>
      <c r="CH186" s="49"/>
      <c r="CI186" s="49"/>
      <c r="CJ186" s="49"/>
      <c r="CK186" s="49"/>
      <c r="CL186" s="49"/>
      <c r="CM186" s="49"/>
      <c r="CN186" s="49"/>
    </row>
    <row r="187" spans="3:92">
      <c r="C187" s="6"/>
      <c r="E187" s="49"/>
      <c r="F187" s="49"/>
      <c r="G187" s="49"/>
      <c r="H187" s="49"/>
      <c r="I187" s="49"/>
      <c r="J187" s="49"/>
      <c r="K187" s="49"/>
      <c r="L187" s="49"/>
      <c r="M187" s="49"/>
      <c r="N187" s="49"/>
      <c r="O187" s="49"/>
      <c r="P187" s="49"/>
      <c r="Q187" s="524"/>
      <c r="R187" s="49"/>
      <c r="S187" s="49"/>
      <c r="T187" s="49"/>
      <c r="U187" s="49"/>
      <c r="V187" s="49"/>
      <c r="W187" s="49"/>
      <c r="X187" s="49"/>
      <c r="Y187" s="49"/>
      <c r="Z187" s="49"/>
      <c r="AA187" s="49"/>
      <c r="AB187" s="51"/>
      <c r="AC187" s="49"/>
      <c r="AD187" s="49"/>
      <c r="AE187" s="49"/>
      <c r="AF187" s="49"/>
      <c r="AG187" s="49"/>
      <c r="AH187" s="49"/>
      <c r="AI187" s="49"/>
      <c r="AJ187" s="49"/>
      <c r="AK187" s="49"/>
      <c r="AL187" s="49"/>
      <c r="AM187" s="49"/>
      <c r="AN187" s="49"/>
      <c r="AO187" s="49"/>
      <c r="AP187" s="49"/>
      <c r="AQ187" s="49"/>
      <c r="AR187" s="49"/>
      <c r="AS187" s="49"/>
      <c r="AT187" s="49"/>
      <c r="AU187" s="49"/>
      <c r="AV187" s="49"/>
      <c r="AW187" s="49"/>
      <c r="AX187" s="49"/>
      <c r="AY187" s="49"/>
      <c r="AZ187" s="49"/>
      <c r="BA187" s="49"/>
      <c r="BB187" s="49"/>
      <c r="BC187" s="49"/>
      <c r="BD187" s="49"/>
      <c r="BE187" s="49"/>
      <c r="BF187" s="49"/>
      <c r="BG187" s="49"/>
      <c r="BH187" s="49"/>
      <c r="BI187" s="49"/>
      <c r="BJ187" s="49"/>
      <c r="BK187" s="49"/>
      <c r="BL187" s="49"/>
      <c r="BM187" s="49"/>
      <c r="BN187" s="49"/>
      <c r="BO187" s="49"/>
      <c r="BP187" s="49"/>
      <c r="BQ187" s="49"/>
      <c r="BR187" s="49"/>
      <c r="BS187" s="49"/>
      <c r="BT187" s="49"/>
      <c r="BU187" s="49"/>
      <c r="BV187" s="49"/>
      <c r="BW187" s="49"/>
      <c r="BX187" s="49"/>
      <c r="BY187" s="49"/>
      <c r="BZ187" s="49"/>
      <c r="CA187" s="49"/>
      <c r="CB187" s="49"/>
      <c r="CC187" s="49"/>
      <c r="CD187" s="49"/>
      <c r="CE187" s="49"/>
      <c r="CF187" s="49"/>
      <c r="CG187" s="49"/>
      <c r="CH187" s="49"/>
      <c r="CI187" s="49"/>
      <c r="CJ187" s="49"/>
      <c r="CK187" s="49"/>
      <c r="CL187" s="49"/>
      <c r="CM187" s="49"/>
      <c r="CN187" s="49"/>
    </row>
    <row r="188" spans="3:92">
      <c r="C188" s="6"/>
      <c r="E188" s="49"/>
      <c r="F188" s="49"/>
      <c r="G188" s="49"/>
      <c r="H188" s="49"/>
      <c r="I188" s="49"/>
      <c r="J188" s="49"/>
      <c r="K188" s="49"/>
      <c r="L188" s="49"/>
      <c r="M188" s="49"/>
      <c r="N188" s="49"/>
      <c r="O188" s="49"/>
      <c r="P188" s="49"/>
      <c r="Q188" s="524"/>
      <c r="R188" s="49"/>
      <c r="S188" s="49"/>
      <c r="T188" s="49"/>
      <c r="U188" s="49"/>
      <c r="V188" s="49"/>
      <c r="W188" s="49"/>
      <c r="X188" s="49"/>
      <c r="Y188" s="49"/>
      <c r="Z188" s="49"/>
      <c r="AA188" s="49"/>
      <c r="AB188" s="51"/>
      <c r="AC188" s="49"/>
      <c r="AD188" s="49"/>
      <c r="AE188" s="49"/>
      <c r="AF188" s="49"/>
      <c r="AG188" s="49"/>
      <c r="AH188" s="49"/>
      <c r="AI188" s="49"/>
      <c r="AJ188" s="49"/>
      <c r="AK188" s="49"/>
      <c r="AL188" s="49"/>
      <c r="AM188" s="49"/>
      <c r="AN188" s="49"/>
      <c r="AO188" s="49"/>
      <c r="AP188" s="49"/>
      <c r="AQ188" s="49"/>
      <c r="AR188" s="49"/>
      <c r="AS188" s="49"/>
      <c r="AT188" s="49"/>
      <c r="AU188" s="49"/>
      <c r="AV188" s="49"/>
      <c r="AW188" s="49"/>
      <c r="AX188" s="49"/>
      <c r="AY188" s="49"/>
      <c r="AZ188" s="49"/>
      <c r="BA188" s="49"/>
      <c r="BB188" s="49"/>
      <c r="BC188" s="49"/>
      <c r="BD188" s="49"/>
      <c r="BE188" s="49"/>
      <c r="BF188" s="49"/>
      <c r="BG188" s="49"/>
      <c r="BH188" s="49"/>
      <c r="BI188" s="49"/>
      <c r="BJ188" s="49"/>
      <c r="BK188" s="49"/>
      <c r="BL188" s="49"/>
      <c r="BM188" s="49"/>
      <c r="BN188" s="49"/>
      <c r="BO188" s="49"/>
      <c r="BP188" s="49"/>
      <c r="BQ188" s="49"/>
      <c r="BR188" s="49"/>
      <c r="BS188" s="49"/>
      <c r="BT188" s="49"/>
      <c r="BU188" s="49"/>
      <c r="BV188" s="49"/>
      <c r="BW188" s="49"/>
      <c r="BX188" s="49"/>
      <c r="BY188" s="49"/>
      <c r="BZ188" s="49"/>
      <c r="CA188" s="49"/>
      <c r="CB188" s="49"/>
      <c r="CC188" s="49"/>
      <c r="CD188" s="49"/>
      <c r="CE188" s="49"/>
      <c r="CF188" s="49"/>
      <c r="CG188" s="49"/>
      <c r="CH188" s="49"/>
      <c r="CI188" s="49"/>
      <c r="CJ188" s="49"/>
      <c r="CK188" s="49"/>
      <c r="CL188" s="49"/>
      <c r="CM188" s="49"/>
      <c r="CN188" s="49"/>
    </row>
    <row r="189" spans="3:92">
      <c r="C189" s="6"/>
      <c r="E189" s="49"/>
      <c r="F189" s="49"/>
      <c r="G189" s="49"/>
      <c r="H189" s="49"/>
      <c r="I189" s="49"/>
      <c r="J189" s="49"/>
      <c r="K189" s="49"/>
      <c r="L189" s="49"/>
      <c r="M189" s="49"/>
      <c r="N189" s="49"/>
      <c r="O189" s="49"/>
      <c r="P189" s="49"/>
      <c r="Q189" s="524"/>
      <c r="R189" s="49"/>
      <c r="S189" s="49"/>
      <c r="T189" s="49"/>
      <c r="U189" s="49"/>
      <c r="V189" s="49"/>
      <c r="W189" s="49"/>
      <c r="X189" s="49"/>
      <c r="Y189" s="49"/>
      <c r="Z189" s="49"/>
      <c r="AA189" s="49"/>
      <c r="AB189" s="51"/>
      <c r="AC189" s="49"/>
      <c r="AD189" s="49"/>
      <c r="AE189" s="49"/>
      <c r="AF189" s="49"/>
      <c r="AG189" s="49"/>
      <c r="AH189" s="49"/>
      <c r="AI189" s="49"/>
      <c r="AJ189" s="49"/>
      <c r="AK189" s="49"/>
      <c r="AL189" s="49"/>
      <c r="AM189" s="49"/>
      <c r="AN189" s="49"/>
      <c r="AO189" s="49"/>
      <c r="AP189" s="49"/>
      <c r="AQ189" s="49"/>
      <c r="AR189" s="49"/>
      <c r="AS189" s="49"/>
      <c r="AT189" s="49"/>
      <c r="AU189" s="49"/>
      <c r="AV189" s="49"/>
      <c r="AW189" s="49"/>
      <c r="AX189" s="49"/>
      <c r="AY189" s="49"/>
      <c r="AZ189" s="49"/>
      <c r="BA189" s="49"/>
      <c r="BB189" s="49"/>
      <c r="BC189" s="49"/>
      <c r="BD189" s="49"/>
      <c r="BE189" s="49"/>
      <c r="BF189" s="49"/>
      <c r="BG189" s="49"/>
      <c r="BH189" s="49"/>
      <c r="BI189" s="49"/>
      <c r="BJ189" s="49"/>
      <c r="BK189" s="49"/>
      <c r="BL189" s="49"/>
      <c r="BM189" s="49"/>
      <c r="BN189" s="49"/>
      <c r="BO189" s="49"/>
      <c r="BP189" s="49"/>
      <c r="BQ189" s="49"/>
      <c r="BR189" s="49"/>
      <c r="BS189" s="49"/>
      <c r="BT189" s="49"/>
      <c r="BU189" s="49"/>
      <c r="BV189" s="49"/>
      <c r="BW189" s="49"/>
      <c r="BX189" s="49"/>
      <c r="BY189" s="49"/>
      <c r="BZ189" s="49"/>
      <c r="CA189" s="49"/>
      <c r="CB189" s="49"/>
      <c r="CC189" s="49"/>
      <c r="CD189" s="49"/>
      <c r="CE189" s="49"/>
      <c r="CF189" s="49"/>
      <c r="CG189" s="49"/>
      <c r="CH189" s="49"/>
      <c r="CI189" s="49"/>
      <c r="CJ189" s="49"/>
      <c r="CK189" s="49"/>
      <c r="CL189" s="49"/>
      <c r="CM189" s="49"/>
      <c r="CN189" s="49"/>
    </row>
    <row r="190" spans="3:92">
      <c r="C190" s="6"/>
      <c r="E190" s="49"/>
      <c r="F190" s="49"/>
      <c r="G190" s="49"/>
      <c r="H190" s="49"/>
      <c r="I190" s="49"/>
      <c r="J190" s="49"/>
      <c r="K190" s="49"/>
      <c r="L190" s="49"/>
      <c r="M190" s="49"/>
      <c r="N190" s="49"/>
      <c r="O190" s="49"/>
      <c r="P190" s="49"/>
      <c r="Q190" s="524"/>
      <c r="R190" s="49"/>
      <c r="S190" s="49"/>
      <c r="T190" s="49"/>
      <c r="U190" s="49"/>
      <c r="V190" s="49"/>
      <c r="W190" s="49"/>
      <c r="X190" s="49"/>
      <c r="Y190" s="49"/>
      <c r="Z190" s="49"/>
      <c r="AA190" s="49"/>
      <c r="AB190" s="51"/>
      <c r="AC190" s="49"/>
      <c r="AD190" s="49"/>
      <c r="AE190" s="49"/>
      <c r="AF190" s="49"/>
      <c r="AG190" s="49"/>
      <c r="AH190" s="49"/>
      <c r="AI190" s="49"/>
      <c r="AJ190" s="49"/>
      <c r="AK190" s="49"/>
      <c r="AL190" s="49"/>
      <c r="AM190" s="49"/>
      <c r="AN190" s="49"/>
      <c r="AO190" s="49"/>
      <c r="AP190" s="49"/>
      <c r="AQ190" s="49"/>
      <c r="AR190" s="49"/>
      <c r="AS190" s="49"/>
      <c r="AT190" s="49"/>
      <c r="AU190" s="49"/>
      <c r="AV190" s="49"/>
      <c r="AW190" s="49"/>
      <c r="AX190" s="49"/>
      <c r="AY190" s="49"/>
      <c r="AZ190" s="49"/>
      <c r="BA190" s="49"/>
      <c r="BB190" s="49"/>
      <c r="BC190" s="49"/>
      <c r="BD190" s="49"/>
      <c r="BE190" s="49"/>
      <c r="BF190" s="49"/>
      <c r="BG190" s="49"/>
      <c r="BH190" s="49"/>
      <c r="BI190" s="49"/>
      <c r="BJ190" s="49"/>
      <c r="BK190" s="49"/>
      <c r="BL190" s="49"/>
      <c r="BM190" s="49"/>
      <c r="BN190" s="49"/>
      <c r="BO190" s="49"/>
      <c r="BP190" s="49"/>
      <c r="BQ190" s="49"/>
      <c r="BR190" s="49"/>
      <c r="BS190" s="49"/>
      <c r="BT190" s="49"/>
      <c r="BU190" s="49"/>
      <c r="BV190" s="49"/>
      <c r="BW190" s="49"/>
      <c r="BX190" s="49"/>
      <c r="BY190" s="49"/>
      <c r="BZ190" s="49"/>
      <c r="CA190" s="49"/>
      <c r="CB190" s="49"/>
      <c r="CC190" s="49"/>
      <c r="CD190" s="49"/>
      <c r="CE190" s="49"/>
      <c r="CF190" s="49"/>
      <c r="CG190" s="49"/>
      <c r="CH190" s="49"/>
      <c r="CI190" s="49"/>
      <c r="CJ190" s="49"/>
      <c r="CK190" s="49"/>
      <c r="CL190" s="49"/>
      <c r="CM190" s="49"/>
      <c r="CN190" s="49"/>
    </row>
    <row r="191" spans="3:92">
      <c r="C191" s="6"/>
      <c r="E191" s="49"/>
      <c r="F191" s="49"/>
      <c r="G191" s="49"/>
      <c r="H191" s="49"/>
      <c r="I191" s="49"/>
      <c r="J191" s="49"/>
      <c r="K191" s="49"/>
      <c r="L191" s="49"/>
      <c r="M191" s="49"/>
      <c r="N191" s="49"/>
      <c r="O191" s="49"/>
      <c r="P191" s="49"/>
      <c r="Q191" s="524"/>
      <c r="R191" s="49"/>
      <c r="S191" s="49"/>
      <c r="T191" s="49"/>
      <c r="U191" s="49"/>
      <c r="V191" s="49"/>
      <c r="W191" s="49"/>
      <c r="X191" s="49"/>
      <c r="Y191" s="49"/>
      <c r="Z191" s="49"/>
      <c r="AA191" s="49"/>
      <c r="AB191" s="51"/>
      <c r="AC191" s="49"/>
      <c r="AD191" s="49"/>
      <c r="AE191" s="49"/>
      <c r="AF191" s="49"/>
      <c r="AG191" s="49"/>
      <c r="AH191" s="49"/>
      <c r="AI191" s="49"/>
      <c r="AJ191" s="49"/>
      <c r="AK191" s="49"/>
      <c r="AL191" s="49"/>
      <c r="AM191" s="49"/>
      <c r="AN191" s="49"/>
      <c r="AO191" s="49"/>
      <c r="AP191" s="49"/>
      <c r="AQ191" s="49"/>
      <c r="AR191" s="49"/>
      <c r="AS191" s="49"/>
      <c r="AT191" s="49"/>
      <c r="AU191" s="49"/>
      <c r="AV191" s="49"/>
      <c r="AW191" s="49"/>
      <c r="AX191" s="49"/>
      <c r="AY191" s="49"/>
      <c r="AZ191" s="49"/>
      <c r="BA191" s="49"/>
      <c r="BB191" s="49"/>
      <c r="BC191" s="49"/>
      <c r="BD191" s="49"/>
      <c r="BE191" s="49"/>
      <c r="BF191" s="49"/>
      <c r="BG191" s="49"/>
      <c r="BH191" s="49"/>
      <c r="BI191" s="49"/>
      <c r="BJ191" s="49"/>
      <c r="BK191" s="49"/>
      <c r="BL191" s="49"/>
      <c r="BM191" s="49"/>
      <c r="BN191" s="49"/>
      <c r="BO191" s="49"/>
      <c r="BP191" s="49"/>
      <c r="BQ191" s="49"/>
      <c r="BR191" s="49"/>
      <c r="BS191" s="49"/>
      <c r="BT191" s="49"/>
      <c r="BU191" s="49"/>
      <c r="BV191" s="49"/>
      <c r="BW191" s="49"/>
      <c r="BX191" s="49"/>
      <c r="BY191" s="49"/>
      <c r="BZ191" s="49"/>
      <c r="CA191" s="49"/>
      <c r="CB191" s="49"/>
      <c r="CC191" s="49"/>
      <c r="CD191" s="49"/>
      <c r="CE191" s="49"/>
      <c r="CF191" s="49"/>
      <c r="CG191" s="49"/>
      <c r="CH191" s="49"/>
      <c r="CI191" s="49"/>
      <c r="CJ191" s="49"/>
      <c r="CK191" s="49"/>
      <c r="CL191" s="49"/>
      <c r="CM191" s="49"/>
      <c r="CN191" s="49"/>
    </row>
    <row r="192" spans="3:92">
      <c r="C192" s="6"/>
      <c r="E192" s="49"/>
      <c r="F192" s="49"/>
      <c r="G192" s="49"/>
      <c r="H192" s="49"/>
      <c r="I192" s="49"/>
      <c r="J192" s="49"/>
      <c r="K192" s="49"/>
      <c r="L192" s="49"/>
      <c r="M192" s="49"/>
      <c r="N192" s="49"/>
      <c r="O192" s="49"/>
      <c r="P192" s="49"/>
      <c r="Q192" s="524"/>
      <c r="R192" s="49"/>
      <c r="S192" s="49"/>
      <c r="T192" s="49"/>
      <c r="U192" s="49"/>
      <c r="V192" s="49"/>
      <c r="W192" s="49"/>
      <c r="X192" s="49"/>
      <c r="Y192" s="49"/>
      <c r="Z192" s="49"/>
      <c r="AA192" s="49"/>
      <c r="AB192" s="51"/>
      <c r="AC192" s="49"/>
      <c r="AD192" s="49"/>
      <c r="AE192" s="49"/>
      <c r="AF192" s="49"/>
      <c r="AG192" s="49"/>
      <c r="AH192" s="49"/>
      <c r="AI192" s="49"/>
      <c r="AJ192" s="49"/>
      <c r="AK192" s="49"/>
      <c r="AL192" s="49"/>
      <c r="AM192" s="49"/>
      <c r="AN192" s="49"/>
      <c r="AO192" s="49"/>
      <c r="AP192" s="49"/>
      <c r="AQ192" s="49"/>
      <c r="AR192" s="49"/>
      <c r="AS192" s="49"/>
      <c r="AT192" s="49"/>
      <c r="AU192" s="49"/>
      <c r="AV192" s="49"/>
      <c r="AW192" s="49"/>
      <c r="AX192" s="49"/>
      <c r="AY192" s="49"/>
      <c r="AZ192" s="49"/>
      <c r="BA192" s="49"/>
      <c r="BB192" s="49"/>
      <c r="BC192" s="49"/>
      <c r="BD192" s="49"/>
      <c r="BE192" s="49"/>
      <c r="BF192" s="49"/>
      <c r="BG192" s="49"/>
      <c r="BH192" s="49"/>
      <c r="BI192" s="49"/>
      <c r="BJ192" s="49"/>
      <c r="BK192" s="49"/>
      <c r="BL192" s="49"/>
      <c r="BM192" s="49"/>
      <c r="BN192" s="49"/>
      <c r="BO192" s="49"/>
      <c r="BP192" s="49"/>
      <c r="BQ192" s="49"/>
      <c r="BR192" s="49"/>
      <c r="BS192" s="49"/>
      <c r="BT192" s="49"/>
      <c r="BU192" s="49"/>
      <c r="BV192" s="49"/>
      <c r="BW192" s="49"/>
      <c r="BX192" s="49"/>
      <c r="BY192" s="49"/>
      <c r="BZ192" s="49"/>
      <c r="CA192" s="49"/>
      <c r="CB192" s="49"/>
      <c r="CC192" s="49"/>
      <c r="CD192" s="49"/>
      <c r="CE192" s="49"/>
      <c r="CF192" s="49"/>
      <c r="CG192" s="49"/>
      <c r="CH192" s="49"/>
      <c r="CI192" s="49"/>
      <c r="CJ192" s="49"/>
      <c r="CK192" s="49"/>
      <c r="CL192" s="49"/>
      <c r="CM192" s="49"/>
      <c r="CN192" s="49"/>
    </row>
    <row r="193" spans="3:92">
      <c r="C193" s="6"/>
      <c r="E193" s="49"/>
      <c r="F193" s="49"/>
      <c r="G193" s="49"/>
      <c r="H193" s="49"/>
      <c r="I193" s="49"/>
      <c r="J193" s="49"/>
      <c r="K193" s="49"/>
      <c r="L193" s="49"/>
      <c r="M193" s="49"/>
      <c r="N193" s="49"/>
      <c r="O193" s="49"/>
      <c r="P193" s="49"/>
      <c r="Q193" s="524"/>
      <c r="R193" s="49"/>
      <c r="S193" s="49"/>
      <c r="T193" s="49"/>
      <c r="U193" s="49"/>
      <c r="V193" s="49"/>
      <c r="W193" s="49"/>
      <c r="X193" s="49"/>
      <c r="Y193" s="49"/>
      <c r="Z193" s="49"/>
      <c r="AA193" s="49"/>
      <c r="AB193" s="51"/>
      <c r="AC193" s="49"/>
      <c r="AD193" s="49"/>
      <c r="AE193" s="49"/>
      <c r="AF193" s="49"/>
      <c r="AG193" s="49"/>
      <c r="AH193" s="49"/>
      <c r="AI193" s="49"/>
      <c r="AJ193" s="49"/>
      <c r="AK193" s="49"/>
      <c r="AL193" s="49"/>
      <c r="AM193" s="49"/>
      <c r="AN193" s="49"/>
      <c r="AO193" s="49"/>
      <c r="AP193" s="49"/>
      <c r="AQ193" s="49"/>
      <c r="AR193" s="49"/>
      <c r="AS193" s="49"/>
      <c r="AT193" s="49"/>
      <c r="AU193" s="49"/>
      <c r="AV193" s="49"/>
      <c r="AW193" s="49"/>
      <c r="AX193" s="49"/>
      <c r="AY193" s="49"/>
      <c r="AZ193" s="49"/>
      <c r="BA193" s="49"/>
      <c r="BB193" s="49"/>
      <c r="BC193" s="49"/>
      <c r="BD193" s="49"/>
      <c r="BE193" s="49"/>
      <c r="BF193" s="49"/>
      <c r="BG193" s="49"/>
      <c r="BH193" s="49"/>
      <c r="BI193" s="49"/>
      <c r="BJ193" s="49"/>
      <c r="BK193" s="49"/>
      <c r="BL193" s="49"/>
      <c r="BM193" s="49"/>
      <c r="BN193" s="49"/>
      <c r="BO193" s="49"/>
      <c r="BP193" s="49"/>
      <c r="BQ193" s="49"/>
      <c r="BR193" s="49"/>
      <c r="BS193" s="49"/>
      <c r="BT193" s="49"/>
      <c r="BU193" s="49"/>
      <c r="BV193" s="49"/>
      <c r="BW193" s="49"/>
      <c r="BX193" s="49"/>
      <c r="BY193" s="49"/>
      <c r="BZ193" s="49"/>
      <c r="CA193" s="49"/>
      <c r="CB193" s="49"/>
      <c r="CC193" s="49"/>
      <c r="CD193" s="49"/>
      <c r="CE193" s="49"/>
      <c r="CF193" s="49"/>
      <c r="CG193" s="49"/>
      <c r="CH193" s="49"/>
      <c r="CI193" s="49"/>
      <c r="CJ193" s="49"/>
      <c r="CK193" s="49"/>
      <c r="CL193" s="49"/>
      <c r="CM193" s="49"/>
      <c r="CN193" s="49"/>
    </row>
    <row r="194" spans="3:92">
      <c r="C194" s="6"/>
      <c r="E194" s="49"/>
      <c r="F194" s="49"/>
      <c r="G194" s="49"/>
      <c r="H194" s="49"/>
      <c r="I194" s="49"/>
      <c r="J194" s="49"/>
      <c r="K194" s="49"/>
      <c r="L194" s="49"/>
      <c r="M194" s="49"/>
      <c r="N194" s="49"/>
      <c r="O194" s="49"/>
      <c r="P194" s="49"/>
      <c r="Q194" s="524"/>
      <c r="R194" s="49"/>
      <c r="S194" s="49"/>
      <c r="T194" s="49"/>
      <c r="U194" s="49"/>
      <c r="V194" s="49"/>
      <c r="W194" s="49"/>
      <c r="X194" s="49"/>
      <c r="Y194" s="49"/>
      <c r="Z194" s="49"/>
      <c r="AA194" s="49"/>
      <c r="AB194" s="51"/>
      <c r="AC194" s="49"/>
      <c r="AD194" s="49"/>
      <c r="AE194" s="49"/>
      <c r="AF194" s="49"/>
      <c r="AG194" s="49"/>
      <c r="AH194" s="49"/>
      <c r="AI194" s="49"/>
      <c r="AJ194" s="49"/>
      <c r="AK194" s="49"/>
      <c r="AL194" s="49"/>
      <c r="AM194" s="49"/>
      <c r="AN194" s="49"/>
      <c r="AO194" s="49"/>
      <c r="AP194" s="49"/>
      <c r="AQ194" s="49"/>
      <c r="AR194" s="49"/>
      <c r="AS194" s="49"/>
      <c r="AT194" s="49"/>
      <c r="AU194" s="49"/>
      <c r="AV194" s="49"/>
      <c r="AW194" s="49"/>
      <c r="AX194" s="49"/>
      <c r="AY194" s="49"/>
      <c r="AZ194" s="49"/>
      <c r="BA194" s="49"/>
      <c r="BB194" s="49"/>
      <c r="BC194" s="49"/>
      <c r="BD194" s="49"/>
      <c r="BE194" s="49"/>
      <c r="BF194" s="49"/>
      <c r="BG194" s="49"/>
      <c r="BH194" s="49"/>
      <c r="BI194" s="49"/>
      <c r="BJ194" s="49"/>
      <c r="BK194" s="49"/>
      <c r="BL194" s="49"/>
      <c r="BM194" s="49"/>
      <c r="BN194" s="49"/>
      <c r="BO194" s="49"/>
      <c r="BP194" s="49"/>
      <c r="BQ194" s="49"/>
      <c r="BR194" s="49"/>
      <c r="BS194" s="49"/>
      <c r="BT194" s="49"/>
      <c r="BU194" s="49"/>
      <c r="BV194" s="49"/>
      <c r="BW194" s="49"/>
      <c r="BX194" s="49"/>
      <c r="BY194" s="49"/>
      <c r="BZ194" s="49"/>
      <c r="CA194" s="49"/>
      <c r="CB194" s="49"/>
      <c r="CC194" s="49"/>
      <c r="CD194" s="49"/>
      <c r="CE194" s="49"/>
      <c r="CF194" s="49"/>
      <c r="CG194" s="49"/>
      <c r="CH194" s="49"/>
      <c r="CI194" s="49"/>
      <c r="CJ194" s="49"/>
      <c r="CK194" s="49"/>
      <c r="CL194" s="49"/>
      <c r="CM194" s="49"/>
      <c r="CN194" s="49"/>
    </row>
    <row r="195" spans="3:92">
      <c r="C195" s="6"/>
      <c r="E195" s="49"/>
      <c r="F195" s="49"/>
      <c r="G195" s="49"/>
      <c r="H195" s="49"/>
      <c r="I195" s="49"/>
      <c r="J195" s="49"/>
      <c r="K195" s="49"/>
      <c r="L195" s="49"/>
      <c r="M195" s="49"/>
      <c r="N195" s="49"/>
      <c r="O195" s="49"/>
      <c r="P195" s="49"/>
      <c r="Q195" s="524"/>
      <c r="R195" s="49"/>
      <c r="S195" s="49"/>
      <c r="T195" s="49"/>
      <c r="U195" s="49"/>
      <c r="V195" s="49"/>
      <c r="W195" s="49"/>
      <c r="X195" s="49"/>
      <c r="Y195" s="49"/>
      <c r="Z195" s="49"/>
      <c r="AA195" s="49"/>
      <c r="AB195" s="51"/>
      <c r="AC195" s="49"/>
      <c r="AD195" s="49"/>
      <c r="AE195" s="49"/>
      <c r="AF195" s="49"/>
      <c r="AG195" s="49"/>
      <c r="AH195" s="49"/>
      <c r="AI195" s="49"/>
      <c r="AJ195" s="49"/>
      <c r="AK195" s="49"/>
      <c r="AL195" s="49"/>
      <c r="AM195" s="49"/>
      <c r="AN195" s="49"/>
      <c r="AO195" s="49"/>
      <c r="AP195" s="49"/>
      <c r="AQ195" s="49"/>
      <c r="AR195" s="49"/>
      <c r="AS195" s="49"/>
      <c r="AT195" s="49"/>
      <c r="AU195" s="49"/>
      <c r="AV195" s="49"/>
      <c r="AW195" s="49"/>
      <c r="AX195" s="49"/>
      <c r="AY195" s="49"/>
      <c r="AZ195" s="49"/>
      <c r="BA195" s="49"/>
      <c r="BB195" s="49"/>
      <c r="BC195" s="49"/>
      <c r="BD195" s="49"/>
      <c r="BE195" s="49"/>
      <c r="BF195" s="49"/>
      <c r="BG195" s="49"/>
      <c r="BH195" s="49"/>
      <c r="BI195" s="49"/>
      <c r="BJ195" s="49"/>
      <c r="BK195" s="49"/>
      <c r="BL195" s="49"/>
      <c r="BM195" s="49"/>
      <c r="BN195" s="49"/>
      <c r="BO195" s="49"/>
      <c r="BP195" s="49"/>
      <c r="BQ195" s="49"/>
      <c r="BR195" s="49"/>
      <c r="BS195" s="49"/>
      <c r="BT195" s="49"/>
      <c r="BU195" s="49"/>
      <c r="BV195" s="49"/>
      <c r="BW195" s="49"/>
      <c r="BX195" s="49"/>
      <c r="BY195" s="49"/>
      <c r="BZ195" s="49"/>
      <c r="CA195" s="49"/>
      <c r="CB195" s="49"/>
      <c r="CC195" s="49"/>
      <c r="CD195" s="49"/>
      <c r="CE195" s="49"/>
      <c r="CF195" s="49"/>
      <c r="CG195" s="49"/>
      <c r="CH195" s="49"/>
      <c r="CI195" s="49"/>
      <c r="CJ195" s="49"/>
      <c r="CK195" s="49"/>
      <c r="CL195" s="49"/>
      <c r="CM195" s="49"/>
      <c r="CN195" s="49"/>
    </row>
    <row r="196" spans="3:92">
      <c r="C196" s="6"/>
      <c r="E196" s="49"/>
      <c r="F196" s="49"/>
      <c r="G196" s="49"/>
      <c r="H196" s="49"/>
      <c r="I196" s="49"/>
      <c r="J196" s="49"/>
      <c r="K196" s="49"/>
      <c r="L196" s="49"/>
      <c r="M196" s="49"/>
      <c r="N196" s="49"/>
      <c r="O196" s="49"/>
      <c r="P196" s="49"/>
      <c r="Q196" s="524"/>
      <c r="R196" s="49"/>
      <c r="S196" s="49"/>
      <c r="T196" s="49"/>
      <c r="U196" s="49"/>
      <c r="V196" s="49"/>
      <c r="W196" s="49"/>
      <c r="X196" s="49"/>
      <c r="Y196" s="49"/>
      <c r="Z196" s="49"/>
      <c r="AA196" s="49"/>
      <c r="AB196" s="51"/>
      <c r="AC196" s="49"/>
      <c r="AD196" s="49"/>
      <c r="AE196" s="49"/>
      <c r="AF196" s="49"/>
      <c r="AG196" s="49"/>
      <c r="AH196" s="49"/>
      <c r="AI196" s="49"/>
      <c r="AJ196" s="49"/>
      <c r="AK196" s="49"/>
      <c r="AL196" s="49"/>
      <c r="AM196" s="49"/>
      <c r="AN196" s="49"/>
      <c r="AO196" s="49"/>
      <c r="AP196" s="49"/>
      <c r="AQ196" s="49"/>
      <c r="AR196" s="49"/>
      <c r="AS196" s="49"/>
      <c r="AT196" s="49"/>
      <c r="AU196" s="49"/>
      <c r="AV196" s="49"/>
      <c r="AW196" s="49"/>
      <c r="AX196" s="49"/>
      <c r="AY196" s="49"/>
      <c r="AZ196" s="49"/>
      <c r="BA196" s="49"/>
      <c r="BB196" s="49"/>
      <c r="BC196" s="49"/>
      <c r="BD196" s="49"/>
      <c r="BE196" s="49"/>
      <c r="BF196" s="49"/>
      <c r="BG196" s="49"/>
      <c r="BH196" s="49"/>
      <c r="BI196" s="49"/>
      <c r="BJ196" s="49"/>
      <c r="BK196" s="49"/>
      <c r="BL196" s="49"/>
      <c r="BM196" s="49"/>
      <c r="BN196" s="49"/>
      <c r="BO196" s="49"/>
      <c r="BP196" s="49"/>
      <c r="BQ196" s="49"/>
      <c r="BR196" s="49"/>
      <c r="BS196" s="49"/>
      <c r="BT196" s="49"/>
      <c r="BU196" s="49"/>
      <c r="BV196" s="49"/>
      <c r="BW196" s="49"/>
      <c r="BX196" s="49"/>
      <c r="BY196" s="49"/>
      <c r="BZ196" s="49"/>
      <c r="CA196" s="49"/>
      <c r="CB196" s="49"/>
      <c r="CC196" s="49"/>
      <c r="CD196" s="49"/>
      <c r="CE196" s="49"/>
      <c r="CF196" s="49"/>
      <c r="CG196" s="49"/>
      <c r="CH196" s="49"/>
      <c r="CI196" s="49"/>
      <c r="CJ196" s="49"/>
      <c r="CK196" s="49"/>
      <c r="CL196" s="49"/>
      <c r="CM196" s="49"/>
      <c r="CN196" s="49"/>
    </row>
    <row r="197" spans="3:92">
      <c r="C197" s="6"/>
      <c r="E197" s="49"/>
      <c r="F197" s="49"/>
      <c r="G197" s="49"/>
      <c r="H197" s="49"/>
      <c r="I197" s="49"/>
      <c r="J197" s="49"/>
      <c r="K197" s="49"/>
      <c r="L197" s="49"/>
      <c r="M197" s="49"/>
      <c r="N197" s="49"/>
      <c r="O197" s="49"/>
      <c r="P197" s="49"/>
      <c r="Q197" s="524"/>
      <c r="R197" s="49"/>
      <c r="S197" s="49"/>
      <c r="T197" s="49"/>
      <c r="U197" s="49"/>
      <c r="V197" s="49"/>
      <c r="W197" s="49"/>
      <c r="X197" s="49"/>
      <c r="Y197" s="49"/>
      <c r="Z197" s="49"/>
      <c r="AA197" s="49"/>
      <c r="AB197" s="51"/>
      <c r="AC197" s="49"/>
      <c r="AD197" s="49"/>
      <c r="AE197" s="49"/>
      <c r="AF197" s="49"/>
      <c r="AG197" s="49"/>
      <c r="AH197" s="49"/>
      <c r="AI197" s="49"/>
      <c r="AJ197" s="49"/>
      <c r="AK197" s="49"/>
      <c r="AL197" s="49"/>
      <c r="AM197" s="49"/>
      <c r="AN197" s="49"/>
      <c r="AO197" s="49"/>
      <c r="AP197" s="49"/>
      <c r="AQ197" s="49"/>
      <c r="AR197" s="49"/>
      <c r="AS197" s="49"/>
      <c r="AT197" s="49"/>
      <c r="AU197" s="49"/>
      <c r="AV197" s="49"/>
      <c r="AW197" s="49"/>
      <c r="AX197" s="49"/>
      <c r="AY197" s="49"/>
      <c r="AZ197" s="49"/>
      <c r="BA197" s="49"/>
      <c r="BB197" s="49"/>
      <c r="BC197" s="49"/>
      <c r="BD197" s="49"/>
      <c r="BE197" s="49"/>
      <c r="BF197" s="49"/>
      <c r="BG197" s="49"/>
      <c r="BH197" s="49"/>
      <c r="BI197" s="49"/>
      <c r="BJ197" s="49"/>
      <c r="BK197" s="49"/>
      <c r="BL197" s="49"/>
      <c r="BM197" s="49"/>
      <c r="BN197" s="49"/>
      <c r="BO197" s="49"/>
      <c r="BP197" s="49"/>
      <c r="BQ197" s="49"/>
      <c r="BR197" s="49"/>
      <c r="BS197" s="49"/>
      <c r="BT197" s="49"/>
      <c r="BU197" s="49"/>
      <c r="BV197" s="49"/>
      <c r="BW197" s="49"/>
      <c r="BX197" s="49"/>
      <c r="BY197" s="49"/>
      <c r="BZ197" s="49"/>
      <c r="CA197" s="49"/>
      <c r="CB197" s="49"/>
      <c r="CC197" s="49"/>
      <c r="CD197" s="49"/>
      <c r="CE197" s="49"/>
      <c r="CF197" s="49"/>
      <c r="CG197" s="49"/>
      <c r="CH197" s="49"/>
      <c r="CI197" s="49"/>
      <c r="CJ197" s="49"/>
      <c r="CK197" s="49"/>
      <c r="CL197" s="49"/>
      <c r="CM197" s="49"/>
      <c r="CN197" s="49"/>
    </row>
    <row r="198" spans="3:92">
      <c r="C198" s="6"/>
      <c r="E198" s="49"/>
      <c r="F198" s="49"/>
      <c r="G198" s="49"/>
      <c r="H198" s="49"/>
      <c r="I198" s="49"/>
      <c r="J198" s="49"/>
      <c r="K198" s="49"/>
      <c r="L198" s="49"/>
      <c r="M198" s="49"/>
      <c r="N198" s="49"/>
      <c r="O198" s="49"/>
      <c r="P198" s="49"/>
      <c r="Q198" s="524"/>
      <c r="R198" s="49"/>
      <c r="S198" s="49"/>
      <c r="T198" s="49"/>
      <c r="U198" s="49"/>
      <c r="V198" s="49"/>
      <c r="W198" s="49"/>
      <c r="X198" s="49"/>
      <c r="Y198" s="49"/>
      <c r="Z198" s="49"/>
      <c r="AA198" s="49"/>
      <c r="AB198" s="51"/>
      <c r="AC198" s="49"/>
      <c r="AD198" s="49"/>
      <c r="AE198" s="49"/>
      <c r="AF198" s="49"/>
      <c r="AG198" s="49"/>
      <c r="AH198" s="49"/>
      <c r="AI198" s="49"/>
      <c r="AJ198" s="49"/>
      <c r="AK198" s="49"/>
      <c r="AL198" s="49"/>
      <c r="AM198" s="49"/>
      <c r="AN198" s="49"/>
      <c r="AO198" s="49"/>
      <c r="AP198" s="49"/>
      <c r="AQ198" s="49"/>
      <c r="AR198" s="49"/>
      <c r="AS198" s="49"/>
      <c r="AT198" s="49"/>
      <c r="AU198" s="49"/>
      <c r="AV198" s="49"/>
      <c r="AW198" s="49"/>
      <c r="AX198" s="49"/>
      <c r="AY198" s="49"/>
      <c r="AZ198" s="49"/>
      <c r="BA198" s="49"/>
      <c r="BB198" s="49"/>
      <c r="BC198" s="49"/>
      <c r="BD198" s="49"/>
      <c r="BE198" s="49"/>
      <c r="BF198" s="49"/>
      <c r="BG198" s="49"/>
      <c r="BH198" s="49"/>
      <c r="BI198" s="49"/>
      <c r="BJ198" s="49"/>
      <c r="BK198" s="49"/>
      <c r="BL198" s="49"/>
      <c r="BM198" s="49"/>
      <c r="BN198" s="49"/>
      <c r="BO198" s="49"/>
      <c r="BP198" s="49"/>
      <c r="BQ198" s="49"/>
      <c r="BR198" s="49"/>
      <c r="BS198" s="49"/>
      <c r="BT198" s="49"/>
      <c r="BU198" s="49"/>
      <c r="BV198" s="49"/>
      <c r="BW198" s="49"/>
      <c r="BX198" s="49"/>
      <c r="BY198" s="49"/>
      <c r="BZ198" s="49"/>
      <c r="CA198" s="49"/>
      <c r="CB198" s="49"/>
      <c r="CC198" s="49"/>
      <c r="CD198" s="49"/>
      <c r="CE198" s="49"/>
      <c r="CF198" s="49"/>
      <c r="CG198" s="49"/>
      <c r="CH198" s="49"/>
      <c r="CI198" s="49"/>
      <c r="CJ198" s="49"/>
      <c r="CK198" s="49"/>
      <c r="CL198" s="49"/>
      <c r="CM198" s="49"/>
      <c r="CN198" s="49"/>
    </row>
    <row r="199" spans="3:92">
      <c r="C199" s="6"/>
      <c r="E199" s="49"/>
      <c r="F199" s="49"/>
      <c r="G199" s="49"/>
      <c r="H199" s="49"/>
      <c r="I199" s="49"/>
      <c r="J199" s="49"/>
      <c r="K199" s="49"/>
      <c r="L199" s="49"/>
      <c r="M199" s="49"/>
      <c r="N199" s="49"/>
      <c r="O199" s="49"/>
      <c r="P199" s="49"/>
      <c r="Q199" s="524"/>
      <c r="R199" s="49"/>
      <c r="S199" s="49"/>
      <c r="T199" s="49"/>
      <c r="U199" s="49"/>
      <c r="V199" s="49"/>
      <c r="W199" s="49"/>
      <c r="X199" s="49"/>
      <c r="Y199" s="49"/>
      <c r="Z199" s="49"/>
      <c r="AA199" s="49"/>
      <c r="AB199" s="51"/>
      <c r="AC199" s="49"/>
      <c r="AD199" s="49"/>
      <c r="AE199" s="49"/>
      <c r="AF199" s="49"/>
      <c r="AG199" s="49"/>
      <c r="AH199" s="49"/>
      <c r="AI199" s="49"/>
      <c r="AJ199" s="49"/>
      <c r="AK199" s="49"/>
      <c r="AL199" s="49"/>
      <c r="AM199" s="49"/>
      <c r="AN199" s="49"/>
      <c r="AO199" s="49"/>
      <c r="AP199" s="49"/>
      <c r="AQ199" s="49"/>
      <c r="AR199" s="49"/>
      <c r="AS199" s="49"/>
      <c r="AT199" s="49"/>
      <c r="AU199" s="49"/>
      <c r="AV199" s="49"/>
      <c r="AW199" s="49"/>
      <c r="AX199" s="49"/>
      <c r="AY199" s="49"/>
      <c r="AZ199" s="49"/>
      <c r="BA199" s="49"/>
      <c r="BB199" s="49"/>
      <c r="BC199" s="49"/>
      <c r="BD199" s="49"/>
      <c r="BE199" s="49"/>
      <c r="BF199" s="49"/>
      <c r="BG199" s="49"/>
      <c r="BH199" s="49"/>
      <c r="BI199" s="49"/>
      <c r="BJ199" s="49"/>
      <c r="BK199" s="49"/>
      <c r="BL199" s="49"/>
      <c r="BM199" s="49"/>
      <c r="BN199" s="49"/>
      <c r="BO199" s="49"/>
      <c r="BP199" s="49"/>
      <c r="BQ199" s="49"/>
      <c r="BR199" s="49"/>
      <c r="BS199" s="49"/>
      <c r="BT199" s="49"/>
      <c r="BU199" s="49"/>
      <c r="BV199" s="49"/>
      <c r="BW199" s="49"/>
      <c r="BX199" s="49"/>
      <c r="BY199" s="49"/>
      <c r="BZ199" s="49"/>
      <c r="CA199" s="49"/>
      <c r="CB199" s="49"/>
      <c r="CC199" s="49"/>
      <c r="CD199" s="49"/>
      <c r="CE199" s="49"/>
      <c r="CF199" s="49"/>
      <c r="CG199" s="49"/>
      <c r="CH199" s="49"/>
      <c r="CI199" s="49"/>
      <c r="CJ199" s="49"/>
      <c r="CK199" s="49"/>
      <c r="CL199" s="49"/>
      <c r="CM199" s="49"/>
      <c r="CN199" s="49"/>
    </row>
    <row r="200" spans="3:92">
      <c r="C200" s="6"/>
      <c r="E200" s="49"/>
      <c r="F200" s="49"/>
      <c r="G200" s="49"/>
      <c r="H200" s="49"/>
      <c r="I200" s="49"/>
      <c r="J200" s="49"/>
      <c r="K200" s="49"/>
      <c r="L200" s="49"/>
      <c r="M200" s="49"/>
      <c r="N200" s="49"/>
      <c r="O200" s="49"/>
      <c r="P200" s="49"/>
      <c r="Q200" s="524"/>
      <c r="R200" s="49"/>
      <c r="S200" s="49"/>
      <c r="T200" s="49"/>
      <c r="U200" s="49"/>
      <c r="V200" s="49"/>
      <c r="W200" s="49"/>
      <c r="X200" s="49"/>
      <c r="Y200" s="49"/>
      <c r="Z200" s="49"/>
      <c r="AA200" s="49"/>
      <c r="AB200" s="51"/>
      <c r="AC200" s="49"/>
      <c r="AD200" s="49"/>
      <c r="AE200" s="49"/>
      <c r="AF200" s="49"/>
      <c r="AG200" s="49"/>
      <c r="AH200" s="49"/>
      <c r="AI200" s="49"/>
      <c r="AJ200" s="49"/>
      <c r="AK200" s="49"/>
      <c r="AL200" s="49"/>
      <c r="AM200" s="49"/>
      <c r="AN200" s="49"/>
      <c r="AO200" s="49"/>
      <c r="AP200" s="49"/>
      <c r="AQ200" s="49"/>
      <c r="AR200" s="49"/>
      <c r="AS200" s="49"/>
      <c r="AT200" s="49"/>
      <c r="AU200" s="49"/>
      <c r="AV200" s="49"/>
      <c r="AW200" s="49"/>
      <c r="AX200" s="49"/>
      <c r="AY200" s="49"/>
      <c r="AZ200" s="49"/>
      <c r="BA200" s="49"/>
      <c r="BB200" s="49"/>
      <c r="BC200" s="49"/>
      <c r="BD200" s="49"/>
      <c r="BE200" s="49"/>
      <c r="BF200" s="49"/>
      <c r="BG200" s="49"/>
      <c r="BH200" s="49"/>
      <c r="BI200" s="49"/>
      <c r="BJ200" s="49"/>
      <c r="BK200" s="49"/>
      <c r="BL200" s="49"/>
      <c r="BM200" s="49"/>
      <c r="BN200" s="49"/>
      <c r="BO200" s="49"/>
      <c r="BP200" s="49"/>
      <c r="BQ200" s="49"/>
      <c r="BR200" s="49"/>
      <c r="BS200" s="49"/>
      <c r="BT200" s="49"/>
      <c r="BU200" s="49"/>
      <c r="BV200" s="49"/>
      <c r="BW200" s="49"/>
      <c r="BX200" s="49"/>
      <c r="BY200" s="49"/>
      <c r="BZ200" s="49"/>
      <c r="CA200" s="49"/>
      <c r="CB200" s="49"/>
      <c r="CC200" s="49"/>
      <c r="CD200" s="49"/>
      <c r="CE200" s="49"/>
      <c r="CF200" s="49"/>
      <c r="CG200" s="49"/>
      <c r="CH200" s="49"/>
      <c r="CI200" s="49"/>
      <c r="CJ200" s="49"/>
      <c r="CK200" s="49"/>
      <c r="CL200" s="49"/>
      <c r="CM200" s="49"/>
      <c r="CN200" s="49"/>
    </row>
    <row r="201" spans="3:92">
      <c r="C201" s="6"/>
      <c r="E201" s="49"/>
      <c r="F201" s="49"/>
      <c r="G201" s="49"/>
      <c r="H201" s="49"/>
      <c r="I201" s="49"/>
      <c r="J201" s="49"/>
      <c r="K201" s="49"/>
      <c r="L201" s="49"/>
      <c r="M201" s="49"/>
      <c r="N201" s="49"/>
      <c r="O201" s="49"/>
      <c r="P201" s="49"/>
      <c r="Q201" s="524"/>
      <c r="R201" s="49"/>
      <c r="S201" s="49"/>
      <c r="T201" s="49"/>
      <c r="U201" s="49"/>
      <c r="V201" s="49"/>
      <c r="W201" s="49"/>
      <c r="X201" s="49"/>
      <c r="Y201" s="49"/>
      <c r="Z201" s="49"/>
      <c r="AA201" s="49"/>
      <c r="AB201" s="51"/>
      <c r="AC201" s="49"/>
      <c r="AD201" s="49"/>
      <c r="AE201" s="49"/>
      <c r="AF201" s="49"/>
      <c r="AG201" s="49"/>
      <c r="AH201" s="49"/>
      <c r="AI201" s="49"/>
      <c r="AJ201" s="49"/>
      <c r="AK201" s="49"/>
      <c r="AL201" s="49"/>
      <c r="AM201" s="49"/>
      <c r="AN201" s="49"/>
      <c r="AO201" s="49"/>
      <c r="AP201" s="49"/>
      <c r="AQ201" s="49"/>
      <c r="AR201" s="49"/>
      <c r="AS201" s="49"/>
      <c r="AT201" s="49"/>
      <c r="AU201" s="49"/>
      <c r="AV201" s="49"/>
      <c r="AW201" s="49"/>
      <c r="AX201" s="49"/>
      <c r="AY201" s="49"/>
      <c r="AZ201" s="49"/>
      <c r="BA201" s="49"/>
      <c r="BB201" s="49"/>
      <c r="BC201" s="49"/>
      <c r="BD201" s="49"/>
      <c r="BE201" s="49"/>
      <c r="BF201" s="49"/>
      <c r="BG201" s="49"/>
      <c r="BH201" s="49"/>
      <c r="BI201" s="49"/>
      <c r="BJ201" s="49"/>
      <c r="BK201" s="49"/>
      <c r="BL201" s="49"/>
      <c r="BM201" s="49"/>
      <c r="BN201" s="49"/>
      <c r="BO201" s="49"/>
      <c r="BP201" s="49"/>
      <c r="BQ201" s="49"/>
      <c r="BR201" s="49"/>
      <c r="BS201" s="49"/>
      <c r="BT201" s="49"/>
      <c r="BU201" s="49"/>
      <c r="BV201" s="49"/>
      <c r="BW201" s="49"/>
      <c r="BX201" s="49"/>
      <c r="BY201" s="49"/>
      <c r="BZ201" s="49"/>
      <c r="CA201" s="49"/>
      <c r="CB201" s="49"/>
      <c r="CC201" s="49"/>
      <c r="CD201" s="49"/>
      <c r="CE201" s="49"/>
      <c r="CF201" s="49"/>
      <c r="CG201" s="49"/>
      <c r="CH201" s="49"/>
      <c r="CI201" s="49"/>
      <c r="CJ201" s="49"/>
      <c r="CK201" s="49"/>
      <c r="CL201" s="49"/>
      <c r="CM201" s="49"/>
      <c r="CN201" s="49"/>
    </row>
    <row r="202" spans="3:92">
      <c r="C202" s="6"/>
      <c r="E202" s="49"/>
      <c r="F202" s="49"/>
      <c r="G202" s="49"/>
      <c r="H202" s="49"/>
      <c r="I202" s="49"/>
      <c r="J202" s="49"/>
      <c r="K202" s="49"/>
      <c r="L202" s="49"/>
      <c r="M202" s="49"/>
      <c r="N202" s="49"/>
      <c r="O202" s="49"/>
      <c r="P202" s="49"/>
      <c r="Q202" s="524"/>
      <c r="R202" s="49"/>
      <c r="S202" s="49"/>
      <c r="T202" s="49"/>
      <c r="U202" s="49"/>
      <c r="V202" s="49"/>
      <c r="W202" s="49"/>
      <c r="X202" s="49"/>
      <c r="Y202" s="49"/>
      <c r="Z202" s="49"/>
      <c r="AA202" s="49"/>
      <c r="AB202" s="51"/>
      <c r="AC202" s="49"/>
      <c r="AD202" s="49"/>
      <c r="AE202" s="49"/>
      <c r="AF202" s="49"/>
      <c r="AG202" s="49"/>
      <c r="AH202" s="49"/>
      <c r="AI202" s="49"/>
      <c r="AJ202" s="49"/>
      <c r="AK202" s="49"/>
      <c r="AL202" s="49"/>
      <c r="AM202" s="49"/>
      <c r="AN202" s="49"/>
      <c r="AO202" s="49"/>
      <c r="AP202" s="49"/>
      <c r="AQ202" s="49"/>
      <c r="AR202" s="49"/>
      <c r="AS202" s="49"/>
      <c r="AT202" s="49"/>
      <c r="AU202" s="49"/>
      <c r="AV202" s="49"/>
      <c r="AW202" s="49"/>
      <c r="AX202" s="49"/>
      <c r="AY202" s="49"/>
      <c r="AZ202" s="49"/>
      <c r="BA202" s="49"/>
      <c r="BB202" s="49"/>
      <c r="BC202" s="49"/>
      <c r="BD202" s="49"/>
      <c r="BE202" s="49"/>
      <c r="BF202" s="49"/>
      <c r="BG202" s="49"/>
      <c r="BH202" s="49"/>
      <c r="BI202" s="49"/>
      <c r="BJ202" s="49"/>
      <c r="BK202" s="49"/>
      <c r="BL202" s="49"/>
      <c r="BM202" s="49"/>
      <c r="BN202" s="49"/>
      <c r="BO202" s="49"/>
      <c r="BP202" s="49"/>
      <c r="BQ202" s="49"/>
      <c r="BR202" s="49"/>
      <c r="BS202" s="49"/>
      <c r="BT202" s="49"/>
      <c r="BU202" s="49"/>
      <c r="BV202" s="49"/>
      <c r="BW202" s="49"/>
      <c r="BX202" s="49"/>
      <c r="BY202" s="49"/>
      <c r="BZ202" s="49"/>
      <c r="CA202" s="49"/>
      <c r="CB202" s="49"/>
      <c r="CC202" s="49"/>
      <c r="CD202" s="49"/>
      <c r="CE202" s="49"/>
      <c r="CF202" s="49"/>
      <c r="CG202" s="49"/>
      <c r="CH202" s="49"/>
      <c r="CI202" s="49"/>
      <c r="CJ202" s="49"/>
      <c r="CK202" s="49"/>
      <c r="CL202" s="49"/>
      <c r="CM202" s="49"/>
      <c r="CN202" s="49"/>
    </row>
    <row r="203" spans="3:92">
      <c r="C203" s="6"/>
      <c r="E203" s="49"/>
      <c r="F203" s="49"/>
      <c r="G203" s="49"/>
      <c r="H203" s="49"/>
      <c r="I203" s="49"/>
      <c r="J203" s="49"/>
      <c r="K203" s="49"/>
      <c r="L203" s="49"/>
      <c r="M203" s="49"/>
      <c r="N203" s="49"/>
      <c r="O203" s="49"/>
      <c r="P203" s="49"/>
      <c r="Q203" s="524"/>
      <c r="R203" s="49"/>
      <c r="S203" s="49"/>
      <c r="T203" s="49"/>
      <c r="U203" s="49"/>
      <c r="V203" s="49"/>
      <c r="W203" s="49"/>
      <c r="X203" s="49"/>
      <c r="Y203" s="49"/>
      <c r="Z203" s="49"/>
      <c r="AA203" s="49"/>
      <c r="AB203" s="51"/>
      <c r="AC203" s="49"/>
      <c r="AD203" s="49"/>
      <c r="AE203" s="49"/>
      <c r="AF203" s="49"/>
      <c r="AG203" s="49"/>
      <c r="AH203" s="49"/>
      <c r="AI203" s="49"/>
      <c r="AJ203" s="49"/>
      <c r="AK203" s="49"/>
      <c r="AL203" s="49"/>
      <c r="AM203" s="49"/>
      <c r="AN203" s="49"/>
      <c r="AO203" s="49"/>
      <c r="AP203" s="49"/>
      <c r="AQ203" s="49"/>
      <c r="AR203" s="49"/>
      <c r="AS203" s="49"/>
      <c r="AT203" s="49"/>
      <c r="AU203" s="49"/>
      <c r="AV203" s="49"/>
      <c r="AW203" s="49"/>
      <c r="AX203" s="49"/>
      <c r="AY203" s="49"/>
      <c r="AZ203" s="49"/>
      <c r="BA203" s="49"/>
      <c r="BB203" s="49"/>
      <c r="BC203" s="49"/>
      <c r="BD203" s="49"/>
      <c r="BE203" s="49"/>
      <c r="BF203" s="49"/>
      <c r="BG203" s="49"/>
      <c r="BH203" s="49"/>
      <c r="BI203" s="49"/>
      <c r="BJ203" s="49"/>
      <c r="BK203" s="49"/>
      <c r="BL203" s="49"/>
      <c r="BM203" s="49"/>
      <c r="BN203" s="49"/>
      <c r="BO203" s="49"/>
      <c r="BP203" s="49"/>
      <c r="BQ203" s="49"/>
      <c r="BR203" s="49"/>
      <c r="BS203" s="49"/>
      <c r="BT203" s="49"/>
      <c r="BU203" s="49"/>
      <c r="BV203" s="49"/>
      <c r="BW203" s="49"/>
      <c r="BX203" s="49"/>
      <c r="BY203" s="49"/>
      <c r="BZ203" s="49"/>
      <c r="CA203" s="49"/>
      <c r="CB203" s="49"/>
      <c r="CC203" s="49"/>
      <c r="CD203" s="49"/>
      <c r="CE203" s="49"/>
      <c r="CF203" s="49"/>
      <c r="CG203" s="49"/>
      <c r="CH203" s="49"/>
      <c r="CI203" s="49"/>
      <c r="CJ203" s="49"/>
      <c r="CK203" s="49"/>
      <c r="CL203" s="49"/>
      <c r="CM203" s="49"/>
      <c r="CN203" s="49"/>
    </row>
    <row r="204" spans="3:92">
      <c r="C204" s="6"/>
      <c r="E204" s="49"/>
      <c r="F204" s="49"/>
      <c r="G204" s="49"/>
      <c r="H204" s="49"/>
      <c r="I204" s="49"/>
      <c r="J204" s="49"/>
      <c r="K204" s="49"/>
      <c r="L204" s="49"/>
      <c r="M204" s="49"/>
      <c r="N204" s="49"/>
      <c r="O204" s="49"/>
      <c r="P204" s="49"/>
      <c r="Q204" s="524"/>
      <c r="R204" s="49"/>
      <c r="S204" s="49"/>
      <c r="T204" s="49"/>
      <c r="U204" s="49"/>
      <c r="V204" s="49"/>
      <c r="W204" s="49"/>
      <c r="X204" s="49"/>
      <c r="Y204" s="49"/>
      <c r="Z204" s="49"/>
      <c r="AA204" s="49"/>
      <c r="AB204" s="51"/>
      <c r="AC204" s="49"/>
      <c r="AD204" s="49"/>
      <c r="AE204" s="49"/>
      <c r="AF204" s="49"/>
      <c r="AG204" s="49"/>
      <c r="AH204" s="49"/>
      <c r="AI204" s="49"/>
      <c r="AJ204" s="49"/>
      <c r="AK204" s="49"/>
      <c r="AL204" s="49"/>
      <c r="AM204" s="49"/>
      <c r="AN204" s="49"/>
      <c r="AO204" s="49"/>
      <c r="AP204" s="49"/>
      <c r="AQ204" s="49"/>
      <c r="AR204" s="49"/>
      <c r="AS204" s="49"/>
      <c r="AT204" s="49"/>
      <c r="AU204" s="49"/>
      <c r="AV204" s="49"/>
      <c r="AW204" s="49"/>
      <c r="AX204" s="49"/>
      <c r="AY204" s="49"/>
      <c r="AZ204" s="49"/>
      <c r="BA204" s="49"/>
      <c r="BB204" s="49"/>
      <c r="BC204" s="49"/>
      <c r="BD204" s="49"/>
      <c r="BE204" s="49"/>
      <c r="BF204" s="49"/>
      <c r="BG204" s="49"/>
      <c r="BH204" s="49"/>
      <c r="BI204" s="49"/>
      <c r="BJ204" s="49"/>
      <c r="BK204" s="49"/>
      <c r="BL204" s="49"/>
      <c r="BM204" s="49"/>
      <c r="BN204" s="49"/>
      <c r="BO204" s="49"/>
      <c r="BP204" s="49"/>
      <c r="BQ204" s="49"/>
      <c r="BR204" s="49"/>
      <c r="BS204" s="49"/>
      <c r="BT204" s="49"/>
      <c r="BU204" s="49"/>
      <c r="BV204" s="49"/>
      <c r="BW204" s="49"/>
      <c r="BX204" s="49"/>
      <c r="BY204" s="49"/>
      <c r="BZ204" s="49"/>
      <c r="CA204" s="49"/>
      <c r="CB204" s="49"/>
      <c r="CC204" s="49"/>
      <c r="CD204" s="49"/>
      <c r="CE204" s="49"/>
      <c r="CF204" s="49"/>
      <c r="CG204" s="49"/>
      <c r="CH204" s="49"/>
      <c r="CI204" s="49"/>
      <c r="CJ204" s="49"/>
      <c r="CK204" s="49"/>
      <c r="CL204" s="49"/>
      <c r="CM204" s="49"/>
      <c r="CN204" s="49"/>
    </row>
    <row r="205" spans="3:92">
      <c r="C205" s="6"/>
      <c r="E205" s="49"/>
      <c r="F205" s="49"/>
      <c r="G205" s="49"/>
      <c r="H205" s="49"/>
      <c r="I205" s="49"/>
      <c r="J205" s="49"/>
      <c r="K205" s="49"/>
      <c r="L205" s="49"/>
      <c r="M205" s="49"/>
      <c r="N205" s="49"/>
      <c r="O205" s="49"/>
      <c r="P205" s="49"/>
      <c r="Q205" s="524"/>
      <c r="R205" s="49"/>
      <c r="S205" s="49"/>
      <c r="T205" s="49"/>
      <c r="U205" s="49"/>
      <c r="V205" s="49"/>
      <c r="W205" s="49"/>
      <c r="X205" s="49"/>
      <c r="Y205" s="49"/>
      <c r="Z205" s="49"/>
      <c r="AA205" s="49"/>
      <c r="AB205" s="51"/>
      <c r="AC205" s="49"/>
      <c r="AD205" s="49"/>
      <c r="AE205" s="49"/>
      <c r="AF205" s="49"/>
      <c r="AG205" s="49"/>
      <c r="AH205" s="49"/>
      <c r="AI205" s="49"/>
      <c r="AJ205" s="49"/>
      <c r="AK205" s="49"/>
      <c r="AL205" s="49"/>
      <c r="AM205" s="49"/>
      <c r="AN205" s="49"/>
      <c r="AO205" s="49"/>
      <c r="AP205" s="49"/>
      <c r="AQ205" s="49"/>
      <c r="AR205" s="49"/>
      <c r="AS205" s="49"/>
      <c r="AT205" s="49"/>
      <c r="AU205" s="49"/>
      <c r="AV205" s="49"/>
      <c r="AW205" s="49"/>
      <c r="AX205" s="49"/>
      <c r="AY205" s="49"/>
      <c r="AZ205" s="49"/>
      <c r="BA205" s="49"/>
      <c r="BB205" s="49"/>
      <c r="BC205" s="49"/>
      <c r="BD205" s="49"/>
      <c r="BE205" s="49"/>
      <c r="BF205" s="49"/>
      <c r="BG205" s="49"/>
      <c r="BH205" s="49"/>
      <c r="BI205" s="49"/>
      <c r="BJ205" s="49"/>
      <c r="BK205" s="49"/>
      <c r="BL205" s="49"/>
      <c r="BM205" s="49"/>
      <c r="BN205" s="49"/>
      <c r="BO205" s="49"/>
      <c r="BP205" s="49"/>
      <c r="BQ205" s="49"/>
      <c r="BR205" s="49"/>
      <c r="BS205" s="49"/>
      <c r="BT205" s="49"/>
      <c r="BU205" s="49"/>
      <c r="BV205" s="49"/>
      <c r="BW205" s="49"/>
      <c r="BX205" s="49"/>
      <c r="BY205" s="49"/>
      <c r="BZ205" s="49"/>
      <c r="CA205" s="49"/>
      <c r="CB205" s="49"/>
      <c r="CC205" s="49"/>
      <c r="CD205" s="49"/>
      <c r="CE205" s="49"/>
      <c r="CF205" s="49"/>
      <c r="CG205" s="49"/>
      <c r="CH205" s="49"/>
      <c r="CI205" s="49"/>
      <c r="CJ205" s="49"/>
      <c r="CK205" s="49"/>
      <c r="CL205" s="49"/>
      <c r="CM205" s="49"/>
      <c r="CN205" s="49"/>
    </row>
    <row r="206" spans="3:92">
      <c r="C206" s="6"/>
      <c r="E206" s="49"/>
      <c r="F206" s="49"/>
      <c r="G206" s="49"/>
      <c r="H206" s="49"/>
      <c r="I206" s="49"/>
      <c r="J206" s="49"/>
      <c r="K206" s="49"/>
      <c r="L206" s="49"/>
      <c r="M206" s="49"/>
      <c r="N206" s="49"/>
      <c r="O206" s="49"/>
      <c r="P206" s="49"/>
      <c r="Q206" s="524"/>
      <c r="R206" s="49"/>
      <c r="S206" s="49"/>
      <c r="T206" s="49"/>
      <c r="U206" s="49"/>
      <c r="V206" s="49"/>
      <c r="W206" s="49"/>
      <c r="X206" s="49"/>
      <c r="Y206" s="49"/>
      <c r="Z206" s="49"/>
      <c r="AA206" s="49"/>
      <c r="AB206" s="51"/>
      <c r="AC206" s="49"/>
      <c r="AD206" s="49"/>
      <c r="AE206" s="49"/>
      <c r="AF206" s="49"/>
      <c r="AG206" s="49"/>
      <c r="AH206" s="49"/>
      <c r="AI206" s="49"/>
      <c r="AJ206" s="49"/>
      <c r="AK206" s="49"/>
      <c r="AL206" s="49"/>
      <c r="AM206" s="49"/>
      <c r="AN206" s="49"/>
      <c r="AO206" s="49"/>
      <c r="AP206" s="49"/>
      <c r="AQ206" s="49"/>
      <c r="AR206" s="49"/>
      <c r="AS206" s="49"/>
      <c r="AT206" s="49"/>
      <c r="AU206" s="49"/>
      <c r="AV206" s="49"/>
      <c r="AW206" s="49"/>
      <c r="AX206" s="49"/>
      <c r="AY206" s="49"/>
      <c r="AZ206" s="49"/>
      <c r="BA206" s="49"/>
      <c r="BB206" s="49"/>
      <c r="BC206" s="49"/>
      <c r="BD206" s="49"/>
      <c r="BE206" s="49"/>
      <c r="BF206" s="49"/>
      <c r="BG206" s="49"/>
      <c r="BH206" s="49"/>
      <c r="BI206" s="49"/>
      <c r="BJ206" s="49"/>
      <c r="BK206" s="49"/>
      <c r="BL206" s="49"/>
      <c r="BM206" s="49"/>
      <c r="BN206" s="49"/>
      <c r="BO206" s="49"/>
      <c r="BP206" s="49"/>
      <c r="BQ206" s="49"/>
      <c r="BR206" s="49"/>
      <c r="BS206" s="49"/>
      <c r="BT206" s="49"/>
      <c r="BU206" s="49"/>
      <c r="BV206" s="49"/>
      <c r="BW206" s="49"/>
      <c r="BX206" s="49"/>
      <c r="BY206" s="49"/>
      <c r="BZ206" s="49"/>
      <c r="CA206" s="49"/>
      <c r="CB206" s="49"/>
      <c r="CC206" s="49"/>
      <c r="CD206" s="49"/>
      <c r="CE206" s="49"/>
      <c r="CF206" s="49"/>
      <c r="CG206" s="49"/>
      <c r="CH206" s="49"/>
      <c r="CI206" s="49"/>
      <c r="CJ206" s="49"/>
      <c r="CK206" s="49"/>
      <c r="CL206" s="49"/>
      <c r="CM206" s="49"/>
      <c r="CN206" s="49"/>
    </row>
    <row r="207" spans="3:92">
      <c r="C207" s="6"/>
      <c r="E207" s="49"/>
      <c r="F207" s="49"/>
      <c r="G207" s="49"/>
      <c r="H207" s="49"/>
      <c r="I207" s="49"/>
      <c r="J207" s="49"/>
      <c r="K207" s="49"/>
      <c r="L207" s="49"/>
      <c r="M207" s="49"/>
      <c r="N207" s="49"/>
      <c r="O207" s="49"/>
      <c r="P207" s="49"/>
      <c r="Q207" s="524"/>
      <c r="R207" s="49"/>
      <c r="S207" s="49"/>
      <c r="T207" s="49"/>
      <c r="U207" s="49"/>
      <c r="V207" s="49"/>
      <c r="W207" s="49"/>
      <c r="X207" s="49"/>
      <c r="Y207" s="49"/>
      <c r="Z207" s="49"/>
      <c r="AA207" s="49"/>
      <c r="AB207" s="51"/>
      <c r="AC207" s="49"/>
      <c r="AD207" s="49"/>
      <c r="AE207" s="49"/>
      <c r="AF207" s="49"/>
      <c r="AG207" s="49"/>
      <c r="AH207" s="49"/>
      <c r="AI207" s="49"/>
      <c r="AJ207" s="49"/>
      <c r="AK207" s="49"/>
      <c r="AL207" s="49"/>
      <c r="AM207" s="49"/>
      <c r="AN207" s="49"/>
      <c r="AO207" s="49"/>
      <c r="AP207" s="49"/>
      <c r="AQ207" s="49"/>
      <c r="AR207" s="49"/>
      <c r="AS207" s="49"/>
      <c r="AT207" s="49"/>
      <c r="AU207" s="49"/>
      <c r="AV207" s="49"/>
      <c r="AW207" s="49"/>
      <c r="AX207" s="49"/>
      <c r="AY207" s="49"/>
      <c r="AZ207" s="49"/>
      <c r="BA207" s="49"/>
      <c r="BB207" s="49"/>
      <c r="BC207" s="49"/>
      <c r="BD207" s="49"/>
      <c r="BE207" s="49"/>
      <c r="BF207" s="49"/>
      <c r="BG207" s="49"/>
      <c r="BH207" s="49"/>
      <c r="BI207" s="49"/>
      <c r="BJ207" s="49"/>
      <c r="BK207" s="49"/>
      <c r="BL207" s="49"/>
      <c r="BM207" s="49"/>
      <c r="BN207" s="49"/>
      <c r="BO207" s="49"/>
      <c r="BP207" s="49"/>
      <c r="BQ207" s="49"/>
      <c r="BR207" s="49"/>
      <c r="BS207" s="49"/>
      <c r="BT207" s="49"/>
      <c r="BU207" s="49"/>
      <c r="BV207" s="49"/>
      <c r="BW207" s="49"/>
      <c r="BX207" s="49"/>
      <c r="BY207" s="49"/>
      <c r="BZ207" s="49"/>
      <c r="CA207" s="49"/>
      <c r="CB207" s="49"/>
      <c r="CC207" s="49"/>
      <c r="CD207" s="49"/>
      <c r="CE207" s="49"/>
      <c r="CF207" s="49"/>
      <c r="CG207" s="49"/>
      <c r="CH207" s="49"/>
      <c r="CI207" s="49"/>
      <c r="CJ207" s="49"/>
      <c r="CK207" s="49"/>
      <c r="CL207" s="49"/>
      <c r="CM207" s="49"/>
      <c r="CN207" s="49"/>
    </row>
    <row r="208" spans="3:92">
      <c r="C208" s="6"/>
      <c r="E208" s="49"/>
      <c r="F208" s="49"/>
      <c r="G208" s="49"/>
      <c r="H208" s="49"/>
      <c r="I208" s="49"/>
      <c r="J208" s="49"/>
      <c r="K208" s="49"/>
      <c r="L208" s="49"/>
      <c r="M208" s="49"/>
      <c r="N208" s="49"/>
      <c r="O208" s="49"/>
      <c r="P208" s="49"/>
      <c r="Q208" s="524"/>
      <c r="R208" s="49"/>
      <c r="S208" s="49"/>
      <c r="T208" s="49"/>
      <c r="U208" s="49"/>
      <c r="V208" s="49"/>
      <c r="W208" s="49"/>
      <c r="X208" s="49"/>
      <c r="Y208" s="49"/>
      <c r="Z208" s="49"/>
      <c r="AA208" s="49"/>
      <c r="AB208" s="51"/>
      <c r="AC208" s="49"/>
      <c r="AD208" s="49"/>
      <c r="AE208" s="49"/>
      <c r="AF208" s="49"/>
      <c r="AG208" s="49"/>
      <c r="AH208" s="49"/>
      <c r="AI208" s="49"/>
      <c r="AJ208" s="49"/>
      <c r="AK208" s="49"/>
      <c r="AL208" s="49"/>
      <c r="AM208" s="49"/>
      <c r="AN208" s="49"/>
      <c r="AO208" s="49"/>
      <c r="AP208" s="49"/>
      <c r="AQ208" s="49"/>
      <c r="AR208" s="49"/>
      <c r="AS208" s="49"/>
      <c r="AT208" s="49"/>
      <c r="AU208" s="49"/>
      <c r="AV208" s="49"/>
      <c r="AW208" s="49"/>
      <c r="AX208" s="49"/>
      <c r="AY208" s="49"/>
      <c r="AZ208" s="49"/>
      <c r="BA208" s="49"/>
      <c r="BB208" s="49"/>
      <c r="BC208" s="49"/>
      <c r="BD208" s="49"/>
      <c r="BE208" s="49"/>
      <c r="BF208" s="49"/>
      <c r="BG208" s="49"/>
      <c r="BH208" s="49"/>
      <c r="BI208" s="49"/>
      <c r="BJ208" s="49"/>
      <c r="BK208" s="49"/>
      <c r="BL208" s="49"/>
      <c r="BM208" s="49"/>
      <c r="BN208" s="49"/>
      <c r="BO208" s="49"/>
      <c r="BP208" s="49"/>
      <c r="BQ208" s="49"/>
      <c r="BR208" s="49"/>
      <c r="BS208" s="49"/>
      <c r="BT208" s="49"/>
      <c r="BU208" s="49"/>
      <c r="BV208" s="49"/>
      <c r="BW208" s="49"/>
      <c r="BX208" s="49"/>
      <c r="BY208" s="49"/>
      <c r="BZ208" s="49"/>
      <c r="CA208" s="49"/>
      <c r="CB208" s="49"/>
      <c r="CC208" s="49"/>
      <c r="CD208" s="49"/>
      <c r="CE208" s="49"/>
      <c r="CF208" s="49"/>
      <c r="CG208" s="49"/>
      <c r="CH208" s="49"/>
      <c r="CI208" s="49"/>
      <c r="CJ208" s="49"/>
      <c r="CK208" s="49"/>
      <c r="CL208" s="49"/>
      <c r="CM208" s="49"/>
      <c r="CN208" s="49"/>
    </row>
    <row r="209" spans="3:92">
      <c r="C209" s="6"/>
      <c r="E209" s="49"/>
      <c r="F209" s="49"/>
      <c r="G209" s="49"/>
      <c r="H209" s="49"/>
      <c r="I209" s="49"/>
      <c r="J209" s="49"/>
      <c r="K209" s="49"/>
      <c r="L209" s="49"/>
      <c r="M209" s="49"/>
      <c r="N209" s="49"/>
      <c r="O209" s="49"/>
      <c r="P209" s="49"/>
      <c r="Q209" s="524"/>
      <c r="R209" s="49"/>
      <c r="S209" s="49"/>
      <c r="T209" s="49"/>
      <c r="U209" s="49"/>
      <c r="V209" s="49"/>
      <c r="W209" s="49"/>
      <c r="X209" s="49"/>
      <c r="Y209" s="49"/>
      <c r="Z209" s="49"/>
      <c r="AA209" s="49"/>
      <c r="AB209" s="51"/>
      <c r="AC209" s="49"/>
      <c r="AD209" s="49"/>
      <c r="AE209" s="49"/>
      <c r="AF209" s="49"/>
      <c r="AG209" s="49"/>
      <c r="AH209" s="49"/>
      <c r="AI209" s="49"/>
      <c r="AJ209" s="49"/>
      <c r="AK209" s="49"/>
      <c r="AL209" s="49"/>
      <c r="AM209" s="49"/>
      <c r="AN209" s="49"/>
      <c r="AO209" s="49"/>
      <c r="AP209" s="49"/>
      <c r="AQ209" s="49"/>
      <c r="AR209" s="49"/>
      <c r="AS209" s="49"/>
      <c r="AT209" s="49"/>
      <c r="AU209" s="49"/>
      <c r="AV209" s="49"/>
      <c r="AW209" s="49"/>
      <c r="AX209" s="49"/>
      <c r="AY209" s="49"/>
      <c r="AZ209" s="49"/>
      <c r="BA209" s="49"/>
      <c r="BB209" s="49"/>
      <c r="BC209" s="49"/>
      <c r="BD209" s="49"/>
      <c r="BE209" s="49"/>
      <c r="BF209" s="49"/>
      <c r="BG209" s="49"/>
      <c r="BH209" s="49"/>
      <c r="BI209" s="49"/>
      <c r="BJ209" s="49"/>
      <c r="BK209" s="49"/>
      <c r="BL209" s="49"/>
      <c r="BM209" s="49"/>
      <c r="BN209" s="49"/>
      <c r="BO209" s="49"/>
      <c r="BP209" s="49"/>
      <c r="BQ209" s="49"/>
      <c r="BR209" s="49"/>
      <c r="BS209" s="49"/>
      <c r="BT209" s="49"/>
      <c r="BU209" s="49"/>
      <c r="BV209" s="49"/>
      <c r="BW209" s="49"/>
      <c r="BX209" s="49"/>
      <c r="BY209" s="49"/>
      <c r="BZ209" s="49"/>
      <c r="CA209" s="49"/>
      <c r="CB209" s="49"/>
      <c r="CC209" s="49"/>
      <c r="CD209" s="49"/>
      <c r="CE209" s="49"/>
      <c r="CF209" s="49"/>
      <c r="CG209" s="49"/>
      <c r="CH209" s="49"/>
      <c r="CI209" s="49"/>
      <c r="CJ209" s="49"/>
      <c r="CK209" s="49"/>
      <c r="CL209" s="49"/>
      <c r="CM209" s="49"/>
      <c r="CN209" s="49"/>
    </row>
    <row r="210" spans="3:92">
      <c r="C210" s="6"/>
      <c r="E210" s="49"/>
      <c r="F210" s="49"/>
      <c r="G210" s="49"/>
      <c r="H210" s="49"/>
      <c r="I210" s="49"/>
      <c r="J210" s="49"/>
      <c r="K210" s="49"/>
      <c r="L210" s="49"/>
      <c r="M210" s="49"/>
      <c r="N210" s="49"/>
      <c r="O210" s="49"/>
      <c r="P210" s="49"/>
      <c r="Q210" s="524"/>
      <c r="R210" s="49"/>
      <c r="S210" s="49"/>
      <c r="T210" s="49"/>
      <c r="U210" s="49"/>
      <c r="V210" s="49"/>
      <c r="W210" s="49"/>
      <c r="X210" s="49"/>
      <c r="Y210" s="49"/>
      <c r="Z210" s="49"/>
      <c r="AA210" s="49"/>
      <c r="AB210" s="51"/>
      <c r="AC210" s="49"/>
      <c r="AD210" s="49"/>
      <c r="AE210" s="49"/>
      <c r="AF210" s="49"/>
      <c r="AG210" s="49"/>
      <c r="AH210" s="49"/>
      <c r="AI210" s="49"/>
      <c r="AJ210" s="49"/>
      <c r="AK210" s="49"/>
      <c r="AL210" s="49"/>
      <c r="AM210" s="49"/>
      <c r="AN210" s="49"/>
      <c r="AO210" s="49"/>
      <c r="AP210" s="49"/>
      <c r="AQ210" s="49"/>
      <c r="AR210" s="49"/>
      <c r="AS210" s="49"/>
      <c r="AT210" s="49"/>
      <c r="AU210" s="49"/>
      <c r="AV210" s="49"/>
      <c r="AW210" s="49"/>
      <c r="AX210" s="49"/>
      <c r="AY210" s="49"/>
      <c r="AZ210" s="49"/>
      <c r="BA210" s="49"/>
      <c r="BB210" s="49"/>
      <c r="BC210" s="49"/>
      <c r="BD210" s="49"/>
      <c r="BE210" s="49"/>
      <c r="BF210" s="49"/>
      <c r="BG210" s="49"/>
      <c r="BH210" s="49"/>
      <c r="BI210" s="49"/>
      <c r="BJ210" s="49"/>
      <c r="BK210" s="49"/>
      <c r="BL210" s="49"/>
      <c r="BM210" s="49"/>
      <c r="BN210" s="49"/>
      <c r="BO210" s="49"/>
      <c r="BP210" s="49"/>
      <c r="BQ210" s="49"/>
      <c r="BR210" s="49"/>
      <c r="BS210" s="49"/>
      <c r="BT210" s="49"/>
      <c r="BU210" s="49"/>
      <c r="BV210" s="49"/>
      <c r="BW210" s="49"/>
      <c r="BX210" s="49"/>
      <c r="BY210" s="49"/>
      <c r="BZ210" s="49"/>
      <c r="CA210" s="49"/>
      <c r="CB210" s="49"/>
      <c r="CC210" s="49"/>
      <c r="CD210" s="49"/>
      <c r="CE210" s="49"/>
      <c r="CF210" s="49"/>
      <c r="CG210" s="49"/>
      <c r="CH210" s="49"/>
      <c r="CI210" s="49"/>
      <c r="CJ210" s="49"/>
      <c r="CK210" s="49"/>
      <c r="CL210" s="49"/>
      <c r="CM210" s="49"/>
      <c r="CN210" s="49"/>
    </row>
    <row r="211" spans="3:92">
      <c r="C211" s="6"/>
      <c r="E211" s="49"/>
      <c r="F211" s="49"/>
      <c r="G211" s="49"/>
      <c r="H211" s="49"/>
      <c r="I211" s="49"/>
      <c r="J211" s="49"/>
      <c r="K211" s="49"/>
      <c r="L211" s="49"/>
      <c r="M211" s="49"/>
      <c r="N211" s="49"/>
      <c r="O211" s="49"/>
      <c r="P211" s="49"/>
      <c r="Q211" s="524"/>
      <c r="R211" s="49"/>
      <c r="S211" s="49"/>
      <c r="T211" s="49"/>
      <c r="U211" s="49"/>
      <c r="V211" s="49"/>
      <c r="W211" s="49"/>
      <c r="X211" s="49"/>
      <c r="Y211" s="49"/>
      <c r="Z211" s="49"/>
      <c r="AA211" s="49"/>
      <c r="AB211" s="51"/>
      <c r="AC211" s="49"/>
      <c r="AD211" s="49"/>
      <c r="AE211" s="49"/>
      <c r="AF211" s="49"/>
      <c r="AG211" s="49"/>
      <c r="AH211" s="49"/>
      <c r="AI211" s="49"/>
      <c r="AJ211" s="49"/>
      <c r="AK211" s="49"/>
      <c r="AL211" s="49"/>
      <c r="AM211" s="49"/>
      <c r="AN211" s="49"/>
      <c r="AO211" s="49"/>
      <c r="AP211" s="49"/>
      <c r="AQ211" s="49"/>
      <c r="AR211" s="49"/>
      <c r="AS211" s="49"/>
      <c r="AT211" s="49"/>
      <c r="AU211" s="49"/>
      <c r="AV211" s="49"/>
      <c r="AW211" s="49"/>
      <c r="AX211" s="49"/>
      <c r="AY211" s="49"/>
      <c r="AZ211" s="49"/>
      <c r="BA211" s="49"/>
      <c r="BB211" s="49"/>
      <c r="BC211" s="49"/>
      <c r="BD211" s="49"/>
      <c r="BE211" s="49"/>
      <c r="BF211" s="49"/>
      <c r="BG211" s="49"/>
      <c r="BH211" s="49"/>
      <c r="BI211" s="49"/>
      <c r="BJ211" s="49"/>
      <c r="BK211" s="49"/>
      <c r="BL211" s="49"/>
      <c r="BM211" s="49"/>
      <c r="BN211" s="49"/>
      <c r="BO211" s="49"/>
      <c r="BP211" s="49"/>
      <c r="BQ211" s="49"/>
      <c r="BR211" s="49"/>
      <c r="BS211" s="49"/>
      <c r="BT211" s="49"/>
      <c r="BU211" s="49"/>
      <c r="BV211" s="49"/>
      <c r="BW211" s="49"/>
      <c r="BX211" s="49"/>
      <c r="BY211" s="49"/>
      <c r="BZ211" s="49"/>
      <c r="CA211" s="49"/>
      <c r="CB211" s="49"/>
      <c r="CC211" s="49"/>
      <c r="CD211" s="49"/>
      <c r="CE211" s="49"/>
      <c r="CF211" s="49"/>
      <c r="CG211" s="49"/>
      <c r="CH211" s="49"/>
      <c r="CI211" s="49"/>
      <c r="CJ211" s="49"/>
      <c r="CK211" s="49"/>
      <c r="CL211" s="49"/>
      <c r="CM211" s="49"/>
      <c r="CN211" s="49"/>
    </row>
    <row r="212" spans="3:92">
      <c r="C212" s="6"/>
      <c r="E212" s="49"/>
      <c r="F212" s="49"/>
      <c r="G212" s="49"/>
      <c r="H212" s="49"/>
      <c r="I212" s="49"/>
      <c r="J212" s="49"/>
      <c r="K212" s="49"/>
      <c r="L212" s="49"/>
      <c r="M212" s="49"/>
      <c r="N212" s="49"/>
      <c r="O212" s="49"/>
      <c r="P212" s="49"/>
      <c r="Q212" s="524"/>
      <c r="R212" s="49"/>
      <c r="S212" s="49"/>
      <c r="T212" s="49"/>
      <c r="U212" s="49"/>
      <c r="V212" s="49"/>
      <c r="W212" s="49"/>
      <c r="X212" s="49"/>
      <c r="Y212" s="49"/>
      <c r="Z212" s="49"/>
      <c r="AA212" s="49"/>
      <c r="AB212" s="51"/>
      <c r="AC212" s="49"/>
      <c r="AD212" s="49"/>
      <c r="AE212" s="49"/>
      <c r="AF212" s="49"/>
      <c r="AG212" s="49"/>
      <c r="AH212" s="49"/>
      <c r="AI212" s="49"/>
      <c r="AJ212" s="49"/>
      <c r="AK212" s="49"/>
      <c r="AL212" s="49"/>
      <c r="AM212" s="49"/>
      <c r="AN212" s="49"/>
      <c r="AO212" s="49"/>
      <c r="AP212" s="49"/>
      <c r="AQ212" s="49"/>
      <c r="AR212" s="49"/>
      <c r="AS212" s="49"/>
      <c r="AT212" s="49"/>
      <c r="AU212" s="49"/>
      <c r="AV212" s="49"/>
      <c r="AW212" s="49"/>
      <c r="AX212" s="49"/>
      <c r="AY212" s="49"/>
      <c r="AZ212" s="49"/>
      <c r="BA212" s="49"/>
      <c r="BB212" s="49"/>
      <c r="BC212" s="49"/>
      <c r="BD212" s="49"/>
      <c r="BE212" s="49"/>
      <c r="BF212" s="49"/>
      <c r="BG212" s="49"/>
      <c r="BH212" s="49"/>
      <c r="BI212" s="49"/>
      <c r="BJ212" s="49"/>
      <c r="BK212" s="49"/>
      <c r="BL212" s="49"/>
      <c r="BM212" s="49"/>
      <c r="BN212" s="49"/>
      <c r="BO212" s="49"/>
      <c r="BP212" s="49"/>
      <c r="BQ212" s="49"/>
      <c r="BR212" s="49"/>
      <c r="BS212" s="49"/>
      <c r="BT212" s="49"/>
      <c r="BU212" s="49"/>
      <c r="BV212" s="49"/>
      <c r="BW212" s="49"/>
      <c r="BX212" s="49"/>
      <c r="BY212" s="49"/>
      <c r="BZ212" s="49"/>
      <c r="CA212" s="49"/>
      <c r="CB212" s="49"/>
      <c r="CC212" s="49"/>
      <c r="CD212" s="49"/>
      <c r="CE212" s="49"/>
      <c r="CF212" s="49"/>
      <c r="CG212" s="49"/>
      <c r="CH212" s="49"/>
      <c r="CI212" s="49"/>
      <c r="CJ212" s="49"/>
      <c r="CK212" s="49"/>
      <c r="CL212" s="49"/>
      <c r="CM212" s="49"/>
      <c r="CN212" s="49"/>
    </row>
    <row r="213" spans="3:92">
      <c r="C213" s="6"/>
      <c r="E213" s="49"/>
      <c r="F213" s="49"/>
      <c r="G213" s="49"/>
      <c r="H213" s="49"/>
      <c r="I213" s="49"/>
      <c r="J213" s="49"/>
      <c r="K213" s="49"/>
      <c r="L213" s="49"/>
      <c r="M213" s="49"/>
      <c r="N213" s="49"/>
      <c r="O213" s="49"/>
      <c r="P213" s="49"/>
      <c r="Q213" s="524"/>
      <c r="R213" s="49"/>
      <c r="S213" s="49"/>
      <c r="T213" s="49"/>
      <c r="U213" s="49"/>
      <c r="V213" s="49"/>
      <c r="W213" s="49"/>
      <c r="X213" s="49"/>
      <c r="Y213" s="49"/>
      <c r="Z213" s="49"/>
      <c r="AA213" s="49"/>
      <c r="AB213" s="51"/>
      <c r="AC213" s="49"/>
      <c r="AD213" s="49"/>
      <c r="AE213" s="49"/>
      <c r="AF213" s="49"/>
      <c r="AG213" s="49"/>
      <c r="AH213" s="49"/>
      <c r="AI213" s="49"/>
      <c r="AJ213" s="49"/>
      <c r="AK213" s="49"/>
      <c r="AL213" s="49"/>
      <c r="AM213" s="49"/>
      <c r="AN213" s="49"/>
      <c r="AO213" s="49"/>
      <c r="AP213" s="49"/>
      <c r="AQ213" s="49"/>
      <c r="AR213" s="49"/>
      <c r="AS213" s="49"/>
      <c r="AT213" s="49"/>
      <c r="AU213" s="49"/>
      <c r="AV213" s="49"/>
      <c r="AW213" s="49"/>
      <c r="AX213" s="49"/>
      <c r="AY213" s="49"/>
      <c r="AZ213" s="49"/>
      <c r="BA213" s="49"/>
      <c r="BB213" s="49"/>
      <c r="BC213" s="49"/>
      <c r="BD213" s="49"/>
      <c r="BE213" s="49"/>
      <c r="BF213" s="49"/>
      <c r="BG213" s="49"/>
      <c r="BH213" s="49"/>
      <c r="BI213" s="49"/>
      <c r="BJ213" s="49"/>
      <c r="BK213" s="49"/>
      <c r="BL213" s="49"/>
      <c r="BM213" s="49"/>
      <c r="BN213" s="49"/>
      <c r="BO213" s="49"/>
      <c r="BP213" s="49"/>
      <c r="BQ213" s="49"/>
      <c r="BR213" s="49"/>
      <c r="BS213" s="49"/>
      <c r="BT213" s="49"/>
      <c r="BU213" s="49"/>
      <c r="BV213" s="49"/>
      <c r="BW213" s="49"/>
      <c r="BX213" s="49"/>
      <c r="BY213" s="49"/>
      <c r="BZ213" s="49"/>
      <c r="CA213" s="49"/>
      <c r="CB213" s="49"/>
      <c r="CC213" s="49"/>
      <c r="CD213" s="49"/>
      <c r="CE213" s="49"/>
      <c r="CF213" s="49"/>
      <c r="CG213" s="49"/>
      <c r="CH213" s="49"/>
      <c r="CI213" s="49"/>
      <c r="CJ213" s="49"/>
      <c r="CK213" s="49"/>
      <c r="CL213" s="49"/>
      <c r="CM213" s="49"/>
      <c r="CN213" s="49"/>
    </row>
    <row r="214" spans="3:92">
      <c r="C214" s="6"/>
      <c r="E214" s="49"/>
      <c r="F214" s="49"/>
      <c r="G214" s="49"/>
      <c r="H214" s="49"/>
      <c r="I214" s="49"/>
      <c r="J214" s="49"/>
      <c r="K214" s="49"/>
      <c r="L214" s="49"/>
      <c r="M214" s="49"/>
      <c r="N214" s="49"/>
      <c r="O214" s="49"/>
      <c r="P214" s="49"/>
      <c r="Q214" s="524"/>
      <c r="R214" s="49"/>
      <c r="S214" s="49"/>
      <c r="T214" s="49"/>
      <c r="U214" s="49"/>
      <c r="V214" s="49"/>
      <c r="W214" s="49"/>
      <c r="X214" s="49"/>
      <c r="Y214" s="49"/>
      <c r="Z214" s="49"/>
      <c r="AA214" s="49"/>
      <c r="AB214" s="51"/>
      <c r="AC214" s="49"/>
      <c r="AD214" s="49"/>
      <c r="AE214" s="49"/>
      <c r="AF214" s="49"/>
      <c r="AG214" s="49"/>
      <c r="AH214" s="49"/>
      <c r="AI214" s="49"/>
      <c r="AJ214" s="49"/>
      <c r="AK214" s="49"/>
      <c r="AL214" s="49"/>
      <c r="AM214" s="49"/>
      <c r="AN214" s="49"/>
      <c r="AO214" s="49"/>
      <c r="AP214" s="49"/>
      <c r="AQ214" s="49"/>
      <c r="AR214" s="49"/>
      <c r="AS214" s="49"/>
      <c r="AT214" s="49"/>
      <c r="AU214" s="49"/>
      <c r="AV214" s="49"/>
      <c r="AW214" s="49"/>
      <c r="AX214" s="49"/>
      <c r="AY214" s="49"/>
      <c r="AZ214" s="49"/>
      <c r="BA214" s="49"/>
      <c r="BB214" s="49"/>
      <c r="BC214" s="49"/>
      <c r="BD214" s="49"/>
      <c r="BE214" s="49"/>
      <c r="BF214" s="49"/>
      <c r="BG214" s="49"/>
      <c r="BH214" s="49"/>
      <c r="BI214" s="49"/>
      <c r="BJ214" s="49"/>
      <c r="BK214" s="49"/>
      <c r="BL214" s="49"/>
      <c r="BM214" s="49"/>
      <c r="BN214" s="49"/>
      <c r="BO214" s="49"/>
      <c r="BP214" s="49"/>
      <c r="BQ214" s="49"/>
      <c r="BR214" s="49"/>
      <c r="BS214" s="49"/>
      <c r="BT214" s="49"/>
      <c r="BU214" s="49"/>
      <c r="BV214" s="49"/>
      <c r="BW214" s="49"/>
      <c r="BX214" s="49"/>
      <c r="BY214" s="49"/>
      <c r="BZ214" s="49"/>
      <c r="CA214" s="49"/>
      <c r="CB214" s="49"/>
      <c r="CC214" s="49"/>
      <c r="CD214" s="49"/>
      <c r="CE214" s="49"/>
      <c r="CF214" s="49"/>
      <c r="CG214" s="49"/>
      <c r="CH214" s="49"/>
      <c r="CI214" s="49"/>
      <c r="CJ214" s="49"/>
      <c r="CK214" s="49"/>
      <c r="CL214" s="49"/>
      <c r="CM214" s="49"/>
      <c r="CN214" s="49"/>
    </row>
    <row r="215" spans="3:92">
      <c r="C215" s="6"/>
      <c r="E215" s="49"/>
      <c r="F215" s="49"/>
      <c r="G215" s="49"/>
      <c r="H215" s="49"/>
      <c r="I215" s="49"/>
      <c r="J215" s="49"/>
      <c r="K215" s="49"/>
      <c r="L215" s="49"/>
      <c r="M215" s="49"/>
      <c r="N215" s="49"/>
      <c r="O215" s="49"/>
      <c r="P215" s="49"/>
      <c r="Q215" s="524"/>
      <c r="R215" s="49"/>
      <c r="S215" s="49"/>
      <c r="T215" s="49"/>
      <c r="U215" s="49"/>
      <c r="V215" s="49"/>
      <c r="W215" s="49"/>
      <c r="X215" s="49"/>
      <c r="Y215" s="49"/>
      <c r="Z215" s="49"/>
      <c r="AA215" s="49"/>
      <c r="AB215" s="51"/>
      <c r="AC215" s="49"/>
      <c r="AD215" s="49"/>
      <c r="AE215" s="49"/>
      <c r="AF215" s="49"/>
      <c r="AG215" s="49"/>
      <c r="AH215" s="49"/>
      <c r="AI215" s="49"/>
      <c r="AJ215" s="49"/>
      <c r="AK215" s="49"/>
      <c r="AL215" s="49"/>
      <c r="AM215" s="49"/>
      <c r="AN215" s="49"/>
      <c r="AO215" s="49"/>
      <c r="AP215" s="49"/>
      <c r="AQ215" s="49"/>
      <c r="AR215" s="49"/>
      <c r="AS215" s="49"/>
      <c r="AT215" s="49"/>
      <c r="AU215" s="49"/>
      <c r="AV215" s="49"/>
      <c r="AW215" s="49"/>
      <c r="AX215" s="49"/>
      <c r="AY215" s="49"/>
      <c r="AZ215" s="49"/>
      <c r="BA215" s="49"/>
      <c r="BB215" s="49"/>
      <c r="BC215" s="49"/>
      <c r="BD215" s="49"/>
      <c r="BE215" s="49"/>
      <c r="BF215" s="49"/>
      <c r="BG215" s="49"/>
      <c r="BH215" s="49"/>
      <c r="BI215" s="49"/>
      <c r="BJ215" s="49"/>
      <c r="BK215" s="49"/>
      <c r="BL215" s="49"/>
      <c r="BM215" s="49"/>
      <c r="BN215" s="49"/>
      <c r="BO215" s="49"/>
      <c r="BP215" s="49"/>
      <c r="BQ215" s="49"/>
      <c r="BR215" s="49"/>
      <c r="BS215" s="49"/>
      <c r="BT215" s="49"/>
      <c r="BU215" s="49"/>
      <c r="BV215" s="49"/>
      <c r="BW215" s="49"/>
      <c r="BX215" s="49"/>
      <c r="BY215" s="49"/>
      <c r="BZ215" s="49"/>
      <c r="CA215" s="49"/>
      <c r="CB215" s="49"/>
      <c r="CC215" s="49"/>
      <c r="CD215" s="49"/>
      <c r="CE215" s="49"/>
      <c r="CF215" s="49"/>
      <c r="CG215" s="49"/>
      <c r="CH215" s="49"/>
      <c r="CI215" s="49"/>
      <c r="CJ215" s="49"/>
      <c r="CK215" s="49"/>
      <c r="CL215" s="49"/>
      <c r="CM215" s="49"/>
      <c r="CN215" s="49"/>
    </row>
    <row r="216" spans="3:92">
      <c r="C216" s="6"/>
      <c r="E216" s="49"/>
      <c r="F216" s="49"/>
      <c r="G216" s="49"/>
      <c r="H216" s="49"/>
      <c r="I216" s="49"/>
      <c r="J216" s="49"/>
      <c r="K216" s="49"/>
      <c r="L216" s="49"/>
      <c r="M216" s="49"/>
      <c r="N216" s="49"/>
      <c r="O216" s="49"/>
      <c r="P216" s="49"/>
      <c r="Q216" s="524"/>
      <c r="R216" s="49"/>
      <c r="S216" s="49"/>
      <c r="T216" s="49"/>
      <c r="U216" s="49"/>
      <c r="V216" s="49"/>
      <c r="W216" s="49"/>
      <c r="X216" s="49"/>
      <c r="Y216" s="49"/>
      <c r="Z216" s="49"/>
      <c r="AA216" s="49"/>
      <c r="AB216" s="51"/>
      <c r="AC216" s="49"/>
      <c r="AD216" s="49"/>
      <c r="AE216" s="49"/>
      <c r="AF216" s="49"/>
      <c r="AG216" s="49"/>
      <c r="AH216" s="49"/>
      <c r="AI216" s="49"/>
      <c r="AJ216" s="49"/>
      <c r="AK216" s="49"/>
      <c r="AL216" s="49"/>
      <c r="AM216" s="49"/>
      <c r="AN216" s="49"/>
      <c r="AO216" s="49"/>
      <c r="AP216" s="49"/>
      <c r="AQ216" s="49"/>
      <c r="AR216" s="49"/>
      <c r="AS216" s="49"/>
      <c r="AT216" s="49"/>
      <c r="AU216" s="49"/>
      <c r="AV216" s="49"/>
      <c r="AW216" s="49"/>
      <c r="AX216" s="49"/>
      <c r="AY216" s="49"/>
      <c r="AZ216" s="49"/>
      <c r="BA216" s="49"/>
      <c r="BB216" s="49"/>
      <c r="BC216" s="49"/>
      <c r="BD216" s="49"/>
      <c r="BE216" s="49"/>
      <c r="BF216" s="49"/>
      <c r="BG216" s="49"/>
      <c r="BH216" s="49"/>
      <c r="BI216" s="49"/>
      <c r="BJ216" s="49"/>
      <c r="BK216" s="49"/>
      <c r="BL216" s="49"/>
      <c r="BM216" s="49"/>
      <c r="BN216" s="49"/>
      <c r="BO216" s="49"/>
      <c r="BP216" s="49"/>
      <c r="BQ216" s="49"/>
      <c r="BR216" s="49"/>
      <c r="BS216" s="49"/>
      <c r="BT216" s="49"/>
      <c r="BU216" s="49"/>
      <c r="BV216" s="49"/>
      <c r="BW216" s="49"/>
      <c r="BX216" s="49"/>
      <c r="BY216" s="49"/>
      <c r="BZ216" s="49"/>
      <c r="CA216" s="49"/>
      <c r="CB216" s="49"/>
      <c r="CC216" s="49"/>
      <c r="CD216" s="49"/>
      <c r="CE216" s="49"/>
      <c r="CF216" s="49"/>
      <c r="CG216" s="49"/>
      <c r="CH216" s="49"/>
      <c r="CI216" s="49"/>
      <c r="CJ216" s="49"/>
      <c r="CK216" s="49"/>
      <c r="CL216" s="49"/>
      <c r="CM216" s="49"/>
      <c r="CN216" s="49"/>
    </row>
    <row r="217" spans="3:92">
      <c r="C217" s="6"/>
      <c r="E217" s="49"/>
      <c r="F217" s="49"/>
      <c r="G217" s="49"/>
      <c r="H217" s="49"/>
      <c r="I217" s="49"/>
      <c r="J217" s="49"/>
      <c r="K217" s="49"/>
      <c r="L217" s="49"/>
      <c r="M217" s="49"/>
      <c r="N217" s="49"/>
      <c r="O217" s="49"/>
      <c r="P217" s="49"/>
      <c r="Q217" s="524"/>
      <c r="R217" s="49"/>
      <c r="S217" s="49"/>
      <c r="T217" s="49"/>
      <c r="U217" s="49"/>
      <c r="V217" s="49"/>
      <c r="W217" s="49"/>
      <c r="X217" s="49"/>
      <c r="Y217" s="49"/>
      <c r="Z217" s="49"/>
      <c r="AA217" s="49"/>
      <c r="AB217" s="51"/>
      <c r="AC217" s="49"/>
      <c r="AD217" s="49"/>
      <c r="AE217" s="49"/>
      <c r="AF217" s="49"/>
      <c r="AG217" s="49"/>
      <c r="AH217" s="49"/>
      <c r="AI217" s="49"/>
      <c r="AJ217" s="49"/>
      <c r="AK217" s="49"/>
      <c r="AL217" s="49"/>
      <c r="AM217" s="49"/>
      <c r="AN217" s="49"/>
      <c r="AO217" s="49"/>
      <c r="AP217" s="49"/>
      <c r="AQ217" s="49"/>
      <c r="AR217" s="49"/>
      <c r="AS217" s="49"/>
      <c r="AT217" s="49"/>
      <c r="AU217" s="49"/>
      <c r="AV217" s="49"/>
      <c r="AW217" s="49"/>
      <c r="AX217" s="49"/>
      <c r="AY217" s="49"/>
      <c r="AZ217" s="49"/>
      <c r="BA217" s="49"/>
      <c r="BB217" s="49"/>
      <c r="BC217" s="49"/>
      <c r="BD217" s="49"/>
      <c r="BE217" s="49"/>
      <c r="BF217" s="49"/>
      <c r="BG217" s="49"/>
      <c r="BH217" s="49"/>
      <c r="BI217" s="49"/>
      <c r="BJ217" s="49"/>
      <c r="BK217" s="49"/>
      <c r="BL217" s="49"/>
      <c r="BM217" s="49"/>
      <c r="BN217" s="49"/>
      <c r="BO217" s="49"/>
      <c r="BP217" s="49"/>
      <c r="BQ217" s="49"/>
      <c r="BR217" s="49"/>
      <c r="BS217" s="49"/>
      <c r="BT217" s="49"/>
      <c r="BU217" s="49"/>
      <c r="BV217" s="49"/>
      <c r="BW217" s="49"/>
      <c r="BX217" s="49"/>
      <c r="BY217" s="49"/>
      <c r="BZ217" s="49"/>
      <c r="CA217" s="49"/>
      <c r="CB217" s="49"/>
      <c r="CC217" s="49"/>
      <c r="CD217" s="49"/>
      <c r="CE217" s="49"/>
      <c r="CF217" s="49"/>
      <c r="CG217" s="49"/>
      <c r="CH217" s="49"/>
      <c r="CI217" s="49"/>
      <c r="CJ217" s="49"/>
      <c r="CK217" s="49"/>
      <c r="CL217" s="49"/>
      <c r="CM217" s="49"/>
      <c r="CN217" s="49"/>
    </row>
    <row r="218" spans="3:92">
      <c r="C218" s="6"/>
      <c r="E218" s="49"/>
      <c r="F218" s="49"/>
      <c r="G218" s="49"/>
      <c r="H218" s="49"/>
      <c r="I218" s="49"/>
      <c r="J218" s="49"/>
      <c r="K218" s="49"/>
      <c r="L218" s="49"/>
      <c r="M218" s="49"/>
      <c r="N218" s="49"/>
      <c r="O218" s="49"/>
      <c r="P218" s="49"/>
      <c r="Q218" s="524"/>
      <c r="R218" s="49"/>
      <c r="S218" s="49"/>
      <c r="T218" s="49"/>
      <c r="U218" s="49"/>
      <c r="V218" s="49"/>
      <c r="W218" s="49"/>
      <c r="X218" s="49"/>
      <c r="Y218" s="49"/>
      <c r="Z218" s="49"/>
      <c r="AA218" s="49"/>
      <c r="AB218" s="51"/>
      <c r="AC218" s="49"/>
      <c r="AD218" s="49"/>
      <c r="AE218" s="49"/>
      <c r="AF218" s="49"/>
      <c r="AG218" s="49"/>
      <c r="AH218" s="49"/>
      <c r="AI218" s="49"/>
      <c r="AJ218" s="49"/>
      <c r="AK218" s="49"/>
      <c r="AL218" s="49"/>
      <c r="AM218" s="49"/>
      <c r="AN218" s="49"/>
      <c r="AO218" s="49"/>
      <c r="AP218" s="49"/>
      <c r="AQ218" s="49"/>
      <c r="AR218" s="49"/>
      <c r="AS218" s="49"/>
      <c r="AT218" s="49"/>
      <c r="AU218" s="49"/>
      <c r="AV218" s="49"/>
      <c r="AW218" s="49"/>
      <c r="AX218" s="49"/>
      <c r="AY218" s="49"/>
      <c r="AZ218" s="49"/>
      <c r="BA218" s="49"/>
      <c r="BB218" s="49"/>
      <c r="BC218" s="49"/>
      <c r="BD218" s="49"/>
      <c r="BE218" s="49"/>
      <c r="BF218" s="49"/>
      <c r="BG218" s="49"/>
      <c r="BH218" s="49"/>
      <c r="BI218" s="49"/>
      <c r="BJ218" s="49"/>
      <c r="BK218" s="49"/>
      <c r="BL218" s="49"/>
      <c r="BM218" s="49"/>
      <c r="BN218" s="49"/>
      <c r="BO218" s="49"/>
      <c r="BP218" s="49"/>
      <c r="BQ218" s="49"/>
      <c r="BR218" s="49"/>
      <c r="BS218" s="49"/>
      <c r="BT218" s="49"/>
      <c r="BU218" s="49"/>
      <c r="BV218" s="49"/>
      <c r="BW218" s="49"/>
      <c r="BX218" s="49"/>
      <c r="BY218" s="49"/>
      <c r="BZ218" s="49"/>
      <c r="CA218" s="49"/>
      <c r="CB218" s="49"/>
      <c r="CC218" s="49"/>
      <c r="CD218" s="49"/>
      <c r="CE218" s="49"/>
      <c r="CF218" s="49"/>
      <c r="CG218" s="49"/>
      <c r="CH218" s="49"/>
      <c r="CI218" s="49"/>
      <c r="CJ218" s="49"/>
      <c r="CK218" s="49"/>
      <c r="CL218" s="49"/>
      <c r="CM218" s="49"/>
      <c r="CN218" s="49"/>
    </row>
    <row r="219" spans="3:92">
      <c r="C219" s="6"/>
      <c r="E219" s="49"/>
      <c r="F219" s="49"/>
      <c r="G219" s="49"/>
      <c r="H219" s="49"/>
      <c r="I219" s="49"/>
      <c r="J219" s="49"/>
      <c r="K219" s="49"/>
      <c r="L219" s="49"/>
      <c r="M219" s="49"/>
      <c r="N219" s="49"/>
      <c r="O219" s="49"/>
      <c r="P219" s="49"/>
      <c r="Q219" s="524"/>
      <c r="R219" s="49"/>
      <c r="S219" s="49"/>
      <c r="T219" s="49"/>
      <c r="U219" s="49"/>
      <c r="V219" s="49"/>
      <c r="W219" s="49"/>
      <c r="X219" s="49"/>
      <c r="Y219" s="49"/>
      <c r="Z219" s="49"/>
      <c r="AA219" s="49"/>
      <c r="AB219" s="51"/>
      <c r="AC219" s="49"/>
      <c r="AD219" s="49"/>
      <c r="AE219" s="49"/>
      <c r="AF219" s="49"/>
      <c r="AG219" s="49"/>
      <c r="AH219" s="49"/>
      <c r="AI219" s="49"/>
      <c r="AJ219" s="49"/>
      <c r="AK219" s="49"/>
      <c r="AL219" s="49"/>
      <c r="AM219" s="49"/>
      <c r="AN219" s="49"/>
      <c r="AO219" s="49"/>
      <c r="AP219" s="49"/>
      <c r="AQ219" s="49"/>
      <c r="AR219" s="49"/>
      <c r="AS219" s="49"/>
      <c r="AT219" s="49"/>
      <c r="AU219" s="49"/>
      <c r="AV219" s="49"/>
      <c r="AW219" s="49"/>
      <c r="AX219" s="49"/>
      <c r="AY219" s="49"/>
      <c r="AZ219" s="49"/>
      <c r="BA219" s="49"/>
      <c r="BB219" s="49"/>
      <c r="BC219" s="49"/>
      <c r="BD219" s="49"/>
      <c r="BE219" s="49"/>
      <c r="BF219" s="49"/>
      <c r="BG219" s="49"/>
      <c r="BH219" s="49"/>
      <c r="BI219" s="49"/>
      <c r="BJ219" s="49"/>
      <c r="BK219" s="49"/>
      <c r="BL219" s="49"/>
      <c r="BM219" s="49"/>
      <c r="BN219" s="49"/>
      <c r="BO219" s="49"/>
      <c r="BP219" s="49"/>
      <c r="BQ219" s="49"/>
      <c r="BR219" s="49"/>
      <c r="BS219" s="49"/>
      <c r="BT219" s="49"/>
      <c r="BU219" s="49"/>
      <c r="BV219" s="49"/>
      <c r="BW219" s="49"/>
      <c r="BX219" s="49"/>
      <c r="BY219" s="49"/>
      <c r="BZ219" s="49"/>
      <c r="CA219" s="49"/>
      <c r="CB219" s="49"/>
      <c r="CC219" s="49"/>
      <c r="CD219" s="49"/>
      <c r="CE219" s="49"/>
      <c r="CF219" s="49"/>
      <c r="CG219" s="49"/>
      <c r="CH219" s="49"/>
      <c r="CI219" s="49"/>
      <c r="CJ219" s="49"/>
      <c r="CK219" s="49"/>
      <c r="CL219" s="49"/>
      <c r="CM219" s="49"/>
      <c r="CN219" s="49"/>
    </row>
    <row r="220" spans="3:92">
      <c r="C220" s="6"/>
      <c r="E220" s="49"/>
      <c r="F220" s="49"/>
      <c r="G220" s="49"/>
      <c r="H220" s="49"/>
      <c r="I220" s="49"/>
      <c r="J220" s="49"/>
      <c r="K220" s="49"/>
      <c r="L220" s="49"/>
      <c r="M220" s="49"/>
      <c r="N220" s="49"/>
      <c r="O220" s="49"/>
      <c r="P220" s="49"/>
      <c r="Q220" s="524"/>
      <c r="R220" s="49"/>
      <c r="S220" s="49"/>
      <c r="T220" s="49"/>
      <c r="U220" s="49"/>
      <c r="V220" s="49"/>
      <c r="W220" s="49"/>
      <c r="X220" s="49"/>
      <c r="Y220" s="49"/>
      <c r="Z220" s="49"/>
      <c r="AA220" s="49"/>
      <c r="AB220" s="51"/>
      <c r="AC220" s="49"/>
      <c r="AD220" s="49"/>
      <c r="AE220" s="49"/>
      <c r="AF220" s="49"/>
      <c r="AG220" s="49"/>
      <c r="AH220" s="49"/>
      <c r="AI220" s="49"/>
      <c r="AJ220" s="49"/>
      <c r="AK220" s="49"/>
      <c r="AL220" s="49"/>
      <c r="AM220" s="49"/>
      <c r="AN220" s="49"/>
      <c r="AO220" s="49"/>
      <c r="AP220" s="49"/>
      <c r="AQ220" s="49"/>
      <c r="AR220" s="49"/>
      <c r="AS220" s="49"/>
      <c r="AT220" s="49"/>
      <c r="AU220" s="49"/>
      <c r="AV220" s="49"/>
      <c r="AW220" s="49"/>
      <c r="AX220" s="49"/>
      <c r="AY220" s="49"/>
      <c r="AZ220" s="49"/>
      <c r="BA220" s="49"/>
      <c r="BB220" s="49"/>
      <c r="BC220" s="49"/>
      <c r="BD220" s="49"/>
      <c r="BE220" s="49"/>
      <c r="BF220" s="49"/>
      <c r="BG220" s="49"/>
      <c r="BH220" s="49"/>
      <c r="BI220" s="49"/>
      <c r="BJ220" s="49"/>
      <c r="BK220" s="49"/>
      <c r="BL220" s="49"/>
      <c r="BM220" s="49"/>
      <c r="BN220" s="49"/>
      <c r="BO220" s="49"/>
      <c r="BP220" s="49"/>
      <c r="BQ220" s="49"/>
      <c r="BR220" s="49"/>
      <c r="BS220" s="49"/>
      <c r="BT220" s="49"/>
      <c r="BU220" s="49"/>
      <c r="BV220" s="49"/>
      <c r="BW220" s="49"/>
      <c r="BX220" s="49"/>
      <c r="BY220" s="49"/>
      <c r="BZ220" s="49"/>
      <c r="CA220" s="49"/>
      <c r="CB220" s="49"/>
      <c r="CC220" s="49"/>
      <c r="CD220" s="49"/>
      <c r="CE220" s="49"/>
      <c r="CF220" s="49"/>
      <c r="CG220" s="49"/>
      <c r="CH220" s="49"/>
      <c r="CI220" s="49"/>
      <c r="CJ220" s="49"/>
      <c r="CK220" s="49"/>
      <c r="CL220" s="49"/>
      <c r="CM220" s="49"/>
      <c r="CN220" s="49"/>
    </row>
    <row r="221" spans="3:92">
      <c r="C221" s="6"/>
      <c r="E221" s="49"/>
      <c r="F221" s="49"/>
      <c r="G221" s="49"/>
      <c r="H221" s="49"/>
      <c r="I221" s="49"/>
      <c r="J221" s="49"/>
      <c r="K221" s="49"/>
      <c r="L221" s="49"/>
      <c r="M221" s="49"/>
      <c r="N221" s="49"/>
      <c r="O221" s="49"/>
      <c r="P221" s="49"/>
      <c r="Q221" s="524"/>
      <c r="R221" s="49"/>
      <c r="S221" s="49"/>
      <c r="T221" s="49"/>
      <c r="U221" s="49"/>
      <c r="V221" s="49"/>
      <c r="W221" s="49"/>
      <c r="X221" s="49"/>
      <c r="Y221" s="49"/>
      <c r="Z221" s="49"/>
      <c r="AA221" s="49"/>
      <c r="AB221" s="51"/>
      <c r="AC221" s="49"/>
      <c r="AD221" s="49"/>
      <c r="AE221" s="49"/>
      <c r="AF221" s="49"/>
      <c r="AG221" s="49"/>
      <c r="AH221" s="49"/>
      <c r="AI221" s="49"/>
      <c r="AJ221" s="49"/>
      <c r="AK221" s="49"/>
      <c r="AL221" s="49"/>
      <c r="AM221" s="49"/>
      <c r="AN221" s="49"/>
      <c r="AO221" s="49"/>
      <c r="AP221" s="49"/>
      <c r="AQ221" s="49"/>
      <c r="AR221" s="49"/>
      <c r="AS221" s="49"/>
      <c r="AT221" s="49"/>
      <c r="AU221" s="49"/>
      <c r="AV221" s="49"/>
      <c r="AW221" s="49"/>
      <c r="AX221" s="49"/>
      <c r="AY221" s="49"/>
      <c r="AZ221" s="49"/>
      <c r="BA221" s="49"/>
      <c r="BB221" s="49"/>
      <c r="BC221" s="49"/>
      <c r="BD221" s="49"/>
      <c r="BE221" s="49"/>
      <c r="BF221" s="49"/>
      <c r="BG221" s="49"/>
      <c r="BH221" s="49"/>
      <c r="BI221" s="49"/>
      <c r="BJ221" s="49"/>
      <c r="BK221" s="49"/>
      <c r="BL221" s="49"/>
      <c r="BM221" s="49"/>
      <c r="BN221" s="49"/>
      <c r="BO221" s="49"/>
      <c r="BP221" s="49"/>
      <c r="BQ221" s="49"/>
      <c r="BR221" s="49"/>
      <c r="BS221" s="49"/>
      <c r="BT221" s="49"/>
      <c r="BU221" s="49"/>
      <c r="BV221" s="49"/>
      <c r="BW221" s="49"/>
      <c r="BX221" s="49"/>
      <c r="BY221" s="49"/>
      <c r="BZ221" s="49"/>
      <c r="CA221" s="49"/>
      <c r="CB221" s="49"/>
      <c r="CC221" s="49"/>
      <c r="CD221" s="49"/>
      <c r="CE221" s="49"/>
      <c r="CF221" s="49"/>
      <c r="CG221" s="49"/>
      <c r="CH221" s="49"/>
      <c r="CI221" s="49"/>
      <c r="CJ221" s="49"/>
      <c r="CK221" s="49"/>
      <c r="CL221" s="49"/>
      <c r="CM221" s="49"/>
      <c r="CN221" s="49"/>
    </row>
    <row r="222" spans="3:92">
      <c r="C222" s="6"/>
      <c r="E222" s="49"/>
      <c r="F222" s="49"/>
      <c r="G222" s="49"/>
      <c r="H222" s="49"/>
      <c r="I222" s="49"/>
      <c r="J222" s="49"/>
      <c r="K222" s="49"/>
      <c r="L222" s="49"/>
      <c r="M222" s="49"/>
      <c r="N222" s="49"/>
      <c r="O222" s="49"/>
      <c r="P222" s="49"/>
      <c r="Q222" s="524"/>
      <c r="R222" s="49"/>
      <c r="S222" s="49"/>
      <c r="T222" s="49"/>
      <c r="U222" s="49"/>
      <c r="V222" s="49"/>
      <c r="W222" s="49"/>
      <c r="X222" s="49"/>
      <c r="Y222" s="49"/>
      <c r="Z222" s="49"/>
      <c r="AA222" s="49"/>
      <c r="AB222" s="51"/>
      <c r="AC222" s="49"/>
      <c r="AD222" s="49"/>
      <c r="AE222" s="49"/>
      <c r="AF222" s="49"/>
      <c r="AG222" s="49"/>
      <c r="AH222" s="49"/>
      <c r="AI222" s="49"/>
      <c r="AJ222" s="49"/>
      <c r="AK222" s="49"/>
      <c r="AL222" s="49"/>
      <c r="AM222" s="49"/>
      <c r="AN222" s="49"/>
      <c r="AO222" s="49"/>
      <c r="AP222" s="49"/>
      <c r="AQ222" s="49"/>
      <c r="AR222" s="49"/>
      <c r="AS222" s="49"/>
      <c r="AT222" s="49"/>
      <c r="AU222" s="49"/>
      <c r="AV222" s="49"/>
      <c r="AW222" s="49"/>
      <c r="AX222" s="49"/>
      <c r="AY222" s="49"/>
      <c r="AZ222" s="49"/>
      <c r="BA222" s="49"/>
      <c r="BB222" s="49"/>
      <c r="BC222" s="49"/>
      <c r="BD222" s="49"/>
      <c r="BE222" s="49"/>
      <c r="BF222" s="49"/>
      <c r="BG222" s="49"/>
      <c r="BH222" s="49"/>
      <c r="BI222" s="49"/>
      <c r="BJ222" s="49"/>
      <c r="BK222" s="49"/>
      <c r="BL222" s="49"/>
      <c r="BM222" s="49"/>
      <c r="BN222" s="49"/>
      <c r="BO222" s="49"/>
      <c r="BP222" s="49"/>
      <c r="BQ222" s="49"/>
      <c r="BR222" s="49"/>
      <c r="BS222" s="49"/>
      <c r="BT222" s="49"/>
      <c r="BU222" s="49"/>
      <c r="BV222" s="49"/>
      <c r="BW222" s="49"/>
      <c r="BX222" s="49"/>
      <c r="BY222" s="49"/>
      <c r="BZ222" s="49"/>
      <c r="CA222" s="49"/>
      <c r="CB222" s="49"/>
      <c r="CC222" s="49"/>
      <c r="CD222" s="49"/>
      <c r="CE222" s="49"/>
      <c r="CF222" s="49"/>
      <c r="CG222" s="49"/>
      <c r="CH222" s="49"/>
      <c r="CI222" s="49"/>
      <c r="CJ222" s="49"/>
      <c r="CK222" s="49"/>
      <c r="CL222" s="49"/>
      <c r="CM222" s="49"/>
      <c r="CN222" s="49"/>
    </row>
    <row r="223" spans="3:92">
      <c r="C223" s="6"/>
      <c r="E223" s="49"/>
      <c r="F223" s="49"/>
      <c r="G223" s="49"/>
      <c r="H223" s="49"/>
      <c r="I223" s="49"/>
      <c r="J223" s="49"/>
      <c r="K223" s="49"/>
      <c r="L223" s="49"/>
      <c r="M223" s="49"/>
      <c r="N223" s="49"/>
      <c r="O223" s="49"/>
      <c r="P223" s="49"/>
      <c r="Q223" s="524"/>
      <c r="R223" s="49"/>
      <c r="S223" s="49"/>
      <c r="T223" s="49"/>
      <c r="U223" s="49"/>
      <c r="V223" s="49"/>
      <c r="W223" s="49"/>
      <c r="X223" s="49"/>
      <c r="Y223" s="49"/>
      <c r="Z223" s="49"/>
      <c r="AA223" s="49"/>
      <c r="AB223" s="51"/>
      <c r="AC223" s="49"/>
      <c r="AD223" s="49"/>
      <c r="AE223" s="49"/>
      <c r="AF223" s="49"/>
      <c r="AG223" s="49"/>
      <c r="AH223" s="49"/>
      <c r="AI223" s="49"/>
      <c r="AJ223" s="49"/>
      <c r="AK223" s="49"/>
      <c r="AL223" s="49"/>
      <c r="AM223" s="49"/>
      <c r="AN223" s="49"/>
      <c r="AO223" s="49"/>
      <c r="AP223" s="49"/>
      <c r="AQ223" s="49"/>
      <c r="AR223" s="49"/>
      <c r="AS223" s="49"/>
      <c r="AT223" s="49"/>
      <c r="AU223" s="49"/>
      <c r="AV223" s="49"/>
      <c r="AW223" s="49"/>
      <c r="AX223" s="49"/>
      <c r="AY223" s="49"/>
      <c r="AZ223" s="49"/>
      <c r="BA223" s="49"/>
      <c r="BB223" s="49"/>
      <c r="BC223" s="49"/>
      <c r="BD223" s="49"/>
      <c r="BE223" s="49"/>
      <c r="BF223" s="49"/>
      <c r="BG223" s="49"/>
      <c r="BH223" s="49"/>
      <c r="BI223" s="49"/>
      <c r="BJ223" s="49"/>
      <c r="BK223" s="49"/>
      <c r="BL223" s="49"/>
      <c r="BM223" s="49"/>
      <c r="BN223" s="49"/>
      <c r="BO223" s="49"/>
      <c r="BP223" s="49"/>
      <c r="BQ223" s="49"/>
      <c r="BR223" s="49"/>
      <c r="BS223" s="49"/>
      <c r="BT223" s="49"/>
      <c r="BU223" s="49"/>
      <c r="BV223" s="49"/>
      <c r="BW223" s="49"/>
      <c r="BX223" s="49"/>
      <c r="BY223" s="49"/>
      <c r="BZ223" s="49"/>
      <c r="CA223" s="49"/>
      <c r="CB223" s="49"/>
      <c r="CC223" s="49"/>
      <c r="CD223" s="49"/>
      <c r="CE223" s="49"/>
      <c r="CF223" s="49"/>
      <c r="CG223" s="49"/>
      <c r="CH223" s="49"/>
      <c r="CI223" s="49"/>
      <c r="CJ223" s="49"/>
      <c r="CK223" s="49"/>
      <c r="CL223" s="49"/>
      <c r="CM223" s="49"/>
      <c r="CN223" s="49"/>
    </row>
    <row r="224" spans="3:92">
      <c r="C224" s="6"/>
      <c r="E224" s="49"/>
      <c r="F224" s="49"/>
      <c r="G224" s="49"/>
      <c r="H224" s="49"/>
      <c r="I224" s="49"/>
      <c r="J224" s="49"/>
      <c r="K224" s="49"/>
      <c r="L224" s="49"/>
      <c r="M224" s="49"/>
      <c r="N224" s="49"/>
      <c r="O224" s="49"/>
      <c r="P224" s="49"/>
      <c r="Q224" s="524"/>
      <c r="R224" s="49"/>
      <c r="S224" s="49"/>
      <c r="T224" s="49"/>
      <c r="U224" s="49"/>
      <c r="V224" s="49"/>
      <c r="W224" s="49"/>
      <c r="X224" s="49"/>
      <c r="Y224" s="49"/>
      <c r="Z224" s="49"/>
      <c r="AA224" s="49"/>
      <c r="AB224" s="51"/>
      <c r="AC224" s="49"/>
      <c r="AD224" s="49"/>
      <c r="AE224" s="49"/>
      <c r="AF224" s="49"/>
      <c r="AG224" s="49"/>
      <c r="AH224" s="49"/>
      <c r="AI224" s="49"/>
      <c r="AJ224" s="49"/>
      <c r="AK224" s="49"/>
      <c r="AL224" s="49"/>
      <c r="AM224" s="49"/>
      <c r="AN224" s="49"/>
      <c r="AO224" s="49"/>
      <c r="AP224" s="49"/>
      <c r="AQ224" s="49"/>
      <c r="AR224" s="49"/>
      <c r="AS224" s="49"/>
      <c r="AT224" s="49"/>
      <c r="AU224" s="49"/>
      <c r="AV224" s="49"/>
      <c r="AW224" s="49"/>
      <c r="AX224" s="49"/>
      <c r="AY224" s="49"/>
      <c r="AZ224" s="49"/>
      <c r="BA224" s="49"/>
      <c r="BB224" s="49"/>
      <c r="BC224" s="49"/>
      <c r="BD224" s="49"/>
      <c r="BE224" s="49"/>
      <c r="BF224" s="49"/>
      <c r="BG224" s="49"/>
      <c r="BH224" s="49"/>
      <c r="BI224" s="49"/>
      <c r="BJ224" s="49"/>
      <c r="BK224" s="49"/>
      <c r="BL224" s="49"/>
      <c r="BM224" s="49"/>
      <c r="BN224" s="49"/>
      <c r="BO224" s="49"/>
      <c r="BP224" s="49"/>
      <c r="BQ224" s="49"/>
      <c r="BR224" s="49"/>
      <c r="BS224" s="49"/>
      <c r="BT224" s="49"/>
      <c r="BU224" s="49"/>
      <c r="BV224" s="49"/>
      <c r="BW224" s="49"/>
      <c r="BX224" s="49"/>
      <c r="BY224" s="49"/>
      <c r="BZ224" s="49"/>
      <c r="CA224" s="49"/>
      <c r="CB224" s="49"/>
      <c r="CC224" s="49"/>
      <c r="CD224" s="49"/>
      <c r="CE224" s="49"/>
      <c r="CF224" s="49"/>
      <c r="CG224" s="49"/>
      <c r="CH224" s="49"/>
      <c r="CI224" s="49"/>
      <c r="CJ224" s="49"/>
      <c r="CK224" s="49"/>
      <c r="CL224" s="49"/>
      <c r="CM224" s="49"/>
      <c r="CN224" s="49"/>
    </row>
    <row r="225" spans="3:92">
      <c r="C225" s="6"/>
      <c r="E225" s="49"/>
      <c r="F225" s="49"/>
      <c r="G225" s="49"/>
      <c r="H225" s="49"/>
      <c r="I225" s="49"/>
      <c r="J225" s="49"/>
      <c r="K225" s="49"/>
      <c r="L225" s="49"/>
      <c r="M225" s="49"/>
      <c r="N225" s="49"/>
      <c r="O225" s="49"/>
      <c r="P225" s="49"/>
      <c r="Q225" s="524"/>
      <c r="R225" s="49"/>
      <c r="S225" s="49"/>
      <c r="T225" s="49"/>
      <c r="U225" s="49"/>
      <c r="V225" s="49"/>
      <c r="W225" s="49"/>
      <c r="X225" s="49"/>
      <c r="Y225" s="49"/>
      <c r="Z225" s="49"/>
      <c r="AA225" s="49"/>
      <c r="AB225" s="51"/>
      <c r="AC225" s="49"/>
      <c r="AD225" s="49"/>
      <c r="AE225" s="49"/>
      <c r="AF225" s="49"/>
      <c r="AG225" s="49"/>
      <c r="AH225" s="49"/>
      <c r="AI225" s="49"/>
      <c r="AJ225" s="49"/>
      <c r="AK225" s="49"/>
      <c r="AL225" s="49"/>
      <c r="AM225" s="49"/>
      <c r="AN225" s="49"/>
      <c r="AO225" s="49"/>
      <c r="AP225" s="49"/>
      <c r="AQ225" s="49"/>
      <c r="AR225" s="49"/>
      <c r="AS225" s="49"/>
      <c r="AT225" s="49"/>
      <c r="AU225" s="49"/>
      <c r="AV225" s="49"/>
      <c r="AW225" s="49"/>
      <c r="AX225" s="49"/>
      <c r="AY225" s="49"/>
      <c r="AZ225" s="49"/>
      <c r="BA225" s="49"/>
      <c r="BB225" s="49"/>
      <c r="BC225" s="49"/>
      <c r="BD225" s="49"/>
      <c r="BE225" s="49"/>
      <c r="BF225" s="49"/>
      <c r="BG225" s="49"/>
      <c r="BH225" s="49"/>
      <c r="BI225" s="49"/>
      <c r="BJ225" s="49"/>
      <c r="BK225" s="49"/>
      <c r="BL225" s="49"/>
      <c r="BM225" s="49"/>
      <c r="BN225" s="49"/>
      <c r="BO225" s="49"/>
      <c r="BP225" s="49"/>
      <c r="BQ225" s="49"/>
      <c r="BR225" s="49"/>
      <c r="BS225" s="49"/>
      <c r="BT225" s="49"/>
      <c r="BU225" s="49"/>
      <c r="BV225" s="49"/>
      <c r="BW225" s="49"/>
      <c r="BX225" s="49"/>
      <c r="BY225" s="49"/>
      <c r="BZ225" s="49"/>
      <c r="CA225" s="49"/>
      <c r="CB225" s="49"/>
      <c r="CC225" s="49"/>
      <c r="CD225" s="49"/>
      <c r="CE225" s="49"/>
      <c r="CF225" s="49"/>
      <c r="CG225" s="49"/>
      <c r="CH225" s="49"/>
      <c r="CI225" s="49"/>
      <c r="CJ225" s="49"/>
      <c r="CK225" s="49"/>
      <c r="CL225" s="49"/>
      <c r="CM225" s="49"/>
      <c r="CN225" s="49"/>
    </row>
    <row r="226" spans="3:92">
      <c r="C226" s="6"/>
      <c r="E226" s="49"/>
      <c r="F226" s="49"/>
      <c r="G226" s="49"/>
      <c r="H226" s="49"/>
      <c r="I226" s="49"/>
      <c r="J226" s="49"/>
      <c r="K226" s="49"/>
      <c r="L226" s="49"/>
      <c r="M226" s="49"/>
      <c r="N226" s="49"/>
      <c r="O226" s="49"/>
      <c r="P226" s="49"/>
      <c r="Q226" s="524"/>
      <c r="R226" s="49"/>
      <c r="S226" s="49"/>
      <c r="T226" s="49"/>
      <c r="U226" s="49"/>
      <c r="V226" s="49"/>
      <c r="W226" s="49"/>
      <c r="X226" s="49"/>
      <c r="Y226" s="49"/>
      <c r="Z226" s="49"/>
      <c r="AA226" s="49"/>
      <c r="AB226" s="51"/>
      <c r="AC226" s="49"/>
      <c r="AD226" s="49"/>
      <c r="AE226" s="49"/>
      <c r="AF226" s="49"/>
      <c r="AG226" s="49"/>
      <c r="AH226" s="49"/>
      <c r="AI226" s="49"/>
      <c r="AJ226" s="49"/>
      <c r="AK226" s="49"/>
      <c r="AL226" s="49"/>
      <c r="AM226" s="49"/>
      <c r="AN226" s="49"/>
      <c r="AO226" s="49"/>
      <c r="AP226" s="49"/>
      <c r="AQ226" s="49"/>
      <c r="AR226" s="49"/>
      <c r="AS226" s="49"/>
      <c r="AT226" s="49"/>
      <c r="AU226" s="49"/>
      <c r="AV226" s="49"/>
      <c r="AW226" s="49"/>
      <c r="AX226" s="49"/>
      <c r="AY226" s="49"/>
      <c r="AZ226" s="49"/>
      <c r="BA226" s="49"/>
      <c r="BB226" s="49"/>
      <c r="BC226" s="49"/>
      <c r="BD226" s="49"/>
      <c r="BE226" s="49"/>
      <c r="BF226" s="49"/>
      <c r="BG226" s="49"/>
      <c r="BH226" s="49"/>
      <c r="BI226" s="49"/>
      <c r="BJ226" s="49"/>
      <c r="BK226" s="49"/>
      <c r="BL226" s="49"/>
      <c r="BM226" s="49"/>
      <c r="BN226" s="49"/>
      <c r="BO226" s="49"/>
      <c r="BP226" s="49"/>
      <c r="BQ226" s="49"/>
      <c r="BR226" s="49"/>
      <c r="BS226" s="49"/>
      <c r="BT226" s="49"/>
      <c r="BU226" s="49"/>
      <c r="BV226" s="49"/>
      <c r="BW226" s="49"/>
      <c r="BX226" s="49"/>
      <c r="BY226" s="49"/>
      <c r="BZ226" s="49"/>
      <c r="CA226" s="49"/>
      <c r="CB226" s="49"/>
      <c r="CC226" s="49"/>
      <c r="CD226" s="49"/>
      <c r="CE226" s="49"/>
      <c r="CF226" s="49"/>
      <c r="CG226" s="49"/>
      <c r="CH226" s="49"/>
      <c r="CI226" s="49"/>
      <c r="CJ226" s="49"/>
      <c r="CK226" s="49"/>
      <c r="CL226" s="49"/>
      <c r="CM226" s="49"/>
      <c r="CN226" s="49"/>
    </row>
    <row r="227" spans="3:92">
      <c r="C227" s="6"/>
      <c r="E227" s="49"/>
      <c r="F227" s="49"/>
      <c r="G227" s="49"/>
      <c r="H227" s="49"/>
      <c r="I227" s="49"/>
      <c r="J227" s="49"/>
      <c r="K227" s="49"/>
      <c r="L227" s="49"/>
      <c r="M227" s="49"/>
      <c r="N227" s="49"/>
      <c r="O227" s="49"/>
      <c r="P227" s="49"/>
      <c r="Q227" s="524"/>
      <c r="R227" s="49"/>
      <c r="S227" s="49"/>
      <c r="T227" s="49"/>
      <c r="U227" s="49"/>
      <c r="V227" s="49"/>
      <c r="W227" s="49"/>
      <c r="X227" s="49"/>
      <c r="Y227" s="49"/>
      <c r="Z227" s="49"/>
      <c r="AA227" s="49"/>
      <c r="AB227" s="51"/>
      <c r="AC227" s="49"/>
      <c r="AD227" s="49"/>
      <c r="AE227" s="49"/>
      <c r="AF227" s="49"/>
      <c r="AG227" s="49"/>
      <c r="AH227" s="49"/>
      <c r="AI227" s="49"/>
      <c r="AJ227" s="49"/>
      <c r="AK227" s="49"/>
      <c r="AL227" s="49"/>
      <c r="AM227" s="49"/>
      <c r="AN227" s="49"/>
      <c r="AO227" s="49"/>
      <c r="AP227" s="49"/>
      <c r="AQ227" s="49"/>
      <c r="AR227" s="49"/>
      <c r="AS227" s="49"/>
      <c r="AT227" s="49"/>
      <c r="AU227" s="49"/>
      <c r="AV227" s="49"/>
      <c r="AW227" s="49"/>
      <c r="AX227" s="49"/>
      <c r="AY227" s="49"/>
      <c r="AZ227" s="49"/>
      <c r="BA227" s="49"/>
      <c r="BB227" s="49"/>
      <c r="BC227" s="49"/>
      <c r="BD227" s="49"/>
      <c r="BE227" s="49"/>
      <c r="BF227" s="49"/>
      <c r="BG227" s="49"/>
      <c r="BH227" s="49"/>
      <c r="BI227" s="49"/>
      <c r="BJ227" s="49"/>
      <c r="BK227" s="49"/>
      <c r="BL227" s="49"/>
      <c r="BM227" s="49"/>
      <c r="BN227" s="49"/>
      <c r="BO227" s="49"/>
      <c r="BP227" s="49"/>
      <c r="BQ227" s="49"/>
      <c r="BR227" s="49"/>
      <c r="BS227" s="49"/>
      <c r="BT227" s="49"/>
      <c r="BU227" s="49"/>
      <c r="BV227" s="49"/>
      <c r="BW227" s="49"/>
      <c r="BX227" s="49"/>
      <c r="BY227" s="49"/>
      <c r="BZ227" s="49"/>
      <c r="CA227" s="49"/>
      <c r="CB227" s="49"/>
      <c r="CC227" s="49"/>
      <c r="CD227" s="49"/>
      <c r="CE227" s="49"/>
      <c r="CF227" s="49"/>
      <c r="CG227" s="49"/>
      <c r="CH227" s="49"/>
      <c r="CI227" s="49"/>
      <c r="CJ227" s="49"/>
      <c r="CK227" s="49"/>
      <c r="CL227" s="49"/>
      <c r="CM227" s="49"/>
      <c r="CN227" s="49"/>
    </row>
    <row r="228" spans="3:92">
      <c r="C228" s="6"/>
      <c r="E228" s="49"/>
      <c r="F228" s="49"/>
      <c r="G228" s="49"/>
      <c r="H228" s="49"/>
      <c r="I228" s="49"/>
      <c r="J228" s="49"/>
      <c r="K228" s="49"/>
      <c r="L228" s="49"/>
      <c r="M228" s="49"/>
      <c r="N228" s="49"/>
      <c r="O228" s="49"/>
      <c r="P228" s="49"/>
      <c r="Q228" s="524"/>
      <c r="R228" s="49"/>
      <c r="S228" s="49"/>
      <c r="T228" s="49"/>
      <c r="U228" s="49"/>
      <c r="V228" s="49"/>
      <c r="W228" s="49"/>
      <c r="X228" s="49"/>
      <c r="Y228" s="49"/>
      <c r="Z228" s="49"/>
      <c r="AA228" s="49"/>
      <c r="AB228" s="51"/>
      <c r="AC228" s="49"/>
      <c r="AD228" s="49"/>
      <c r="AE228" s="49"/>
      <c r="AF228" s="49"/>
      <c r="AG228" s="49"/>
      <c r="AH228" s="49"/>
      <c r="AI228" s="49"/>
      <c r="AJ228" s="49"/>
      <c r="AK228" s="49"/>
      <c r="AL228" s="49"/>
      <c r="AM228" s="49"/>
      <c r="AN228" s="49"/>
      <c r="AO228" s="49"/>
      <c r="AP228" s="49"/>
      <c r="AQ228" s="49"/>
      <c r="AR228" s="49"/>
      <c r="AS228" s="49"/>
      <c r="AT228" s="49"/>
      <c r="AU228" s="49"/>
      <c r="AV228" s="49"/>
      <c r="AW228" s="49"/>
      <c r="AX228" s="49"/>
      <c r="AY228" s="49"/>
      <c r="AZ228" s="49"/>
      <c r="BA228" s="49"/>
      <c r="BB228" s="49"/>
      <c r="BC228" s="49"/>
      <c r="BD228" s="49"/>
      <c r="BE228" s="49"/>
      <c r="BF228" s="49"/>
      <c r="BG228" s="49"/>
      <c r="BH228" s="49"/>
      <c r="BI228" s="49"/>
      <c r="BJ228" s="49"/>
      <c r="BK228" s="49"/>
      <c r="BL228" s="49"/>
      <c r="BM228" s="49"/>
      <c r="BN228" s="49"/>
      <c r="BO228" s="49"/>
      <c r="BP228" s="49"/>
      <c r="BQ228" s="49"/>
      <c r="BR228" s="49"/>
      <c r="BS228" s="49"/>
      <c r="BT228" s="49"/>
      <c r="BU228" s="49"/>
      <c r="BV228" s="49"/>
      <c r="BW228" s="49"/>
      <c r="BX228" s="49"/>
      <c r="BY228" s="49"/>
      <c r="BZ228" s="49"/>
      <c r="CA228" s="49"/>
      <c r="CB228" s="49"/>
      <c r="CC228" s="49"/>
      <c r="CD228" s="49"/>
      <c r="CE228" s="49"/>
      <c r="CF228" s="49"/>
      <c r="CG228" s="49"/>
      <c r="CH228" s="49"/>
      <c r="CI228" s="49"/>
      <c r="CJ228" s="49"/>
      <c r="CK228" s="49"/>
      <c r="CL228" s="49"/>
      <c r="CM228" s="49"/>
      <c r="CN228" s="49"/>
    </row>
    <row r="229" spans="3:92">
      <c r="C229" s="6"/>
      <c r="E229" s="49"/>
      <c r="F229" s="49"/>
      <c r="G229" s="49"/>
      <c r="H229" s="49"/>
      <c r="I229" s="49"/>
      <c r="J229" s="49"/>
      <c r="K229" s="49"/>
      <c r="L229" s="49"/>
      <c r="M229" s="49"/>
      <c r="N229" s="49"/>
      <c r="O229" s="49"/>
      <c r="P229" s="49"/>
      <c r="Q229" s="524"/>
      <c r="R229" s="49"/>
      <c r="S229" s="49"/>
      <c r="T229" s="49"/>
      <c r="U229" s="49"/>
      <c r="V229" s="49"/>
      <c r="W229" s="49"/>
      <c r="X229" s="49"/>
      <c r="Y229" s="49"/>
      <c r="Z229" s="49"/>
      <c r="AA229" s="49"/>
      <c r="AB229" s="51"/>
      <c r="AC229" s="49"/>
      <c r="AD229" s="49"/>
      <c r="AE229" s="49"/>
      <c r="AF229" s="49"/>
      <c r="AG229" s="49"/>
      <c r="AH229" s="49"/>
      <c r="AI229" s="49"/>
      <c r="AJ229" s="49"/>
      <c r="AK229" s="49"/>
      <c r="AL229" s="49"/>
      <c r="AM229" s="49"/>
      <c r="AN229" s="49"/>
      <c r="AO229" s="49"/>
      <c r="AP229" s="49"/>
      <c r="AQ229" s="49"/>
      <c r="AR229" s="49"/>
      <c r="AS229" s="49"/>
      <c r="AT229" s="49"/>
      <c r="AU229" s="49"/>
      <c r="AV229" s="49"/>
      <c r="AW229" s="49"/>
      <c r="AX229" s="49"/>
      <c r="AY229" s="49"/>
      <c r="AZ229" s="49"/>
      <c r="BA229" s="49"/>
      <c r="BB229" s="49"/>
      <c r="BC229" s="49"/>
      <c r="BD229" s="49"/>
      <c r="BE229" s="49"/>
      <c r="BF229" s="49"/>
      <c r="BG229" s="49"/>
      <c r="BH229" s="49"/>
      <c r="BI229" s="49"/>
      <c r="BJ229" s="49"/>
      <c r="BK229" s="49"/>
      <c r="BL229" s="49"/>
      <c r="BM229" s="49"/>
      <c r="BN229" s="49"/>
      <c r="BO229" s="49"/>
      <c r="BP229" s="49"/>
      <c r="BQ229" s="49"/>
      <c r="BR229" s="49"/>
      <c r="BS229" s="49"/>
      <c r="BT229" s="49"/>
      <c r="BU229" s="49"/>
      <c r="BV229" s="49"/>
      <c r="BW229" s="49"/>
      <c r="BX229" s="49"/>
      <c r="BY229" s="49"/>
      <c r="BZ229" s="49"/>
      <c r="CA229" s="49"/>
      <c r="CB229" s="49"/>
      <c r="CC229" s="49"/>
      <c r="CD229" s="49"/>
      <c r="CE229" s="49"/>
      <c r="CF229" s="49"/>
      <c r="CG229" s="49"/>
      <c r="CH229" s="49"/>
      <c r="CI229" s="49"/>
      <c r="CJ229" s="49"/>
      <c r="CK229" s="49"/>
      <c r="CL229" s="49"/>
      <c r="CM229" s="49"/>
      <c r="CN229" s="49"/>
    </row>
    <row r="230" spans="3:92">
      <c r="C230" s="6"/>
      <c r="E230" s="49"/>
      <c r="F230" s="49"/>
      <c r="G230" s="49"/>
      <c r="H230" s="49"/>
      <c r="I230" s="49"/>
      <c r="J230" s="49"/>
      <c r="K230" s="49"/>
      <c r="L230" s="49"/>
      <c r="M230" s="49"/>
      <c r="N230" s="49"/>
      <c r="O230" s="49"/>
      <c r="P230" s="49"/>
      <c r="Q230" s="524"/>
      <c r="R230" s="49"/>
      <c r="S230" s="49"/>
      <c r="T230" s="49"/>
      <c r="U230" s="49"/>
      <c r="V230" s="49"/>
      <c r="W230" s="49"/>
      <c r="X230" s="49"/>
      <c r="Y230" s="49"/>
      <c r="Z230" s="49"/>
      <c r="AA230" s="49"/>
      <c r="AB230" s="51"/>
      <c r="AC230" s="49"/>
      <c r="AD230" s="49"/>
      <c r="AE230" s="49"/>
      <c r="AF230" s="49"/>
      <c r="AG230" s="49"/>
      <c r="AH230" s="49"/>
      <c r="AI230" s="49"/>
      <c r="AJ230" s="49"/>
      <c r="AK230" s="49"/>
      <c r="AL230" s="49"/>
      <c r="AM230" s="49"/>
      <c r="AN230" s="49"/>
      <c r="AO230" s="49"/>
      <c r="AP230" s="49"/>
      <c r="AQ230" s="49"/>
      <c r="AR230" s="49"/>
      <c r="AS230" s="49"/>
      <c r="AT230" s="49"/>
      <c r="AU230" s="49"/>
      <c r="AV230" s="49"/>
      <c r="AW230" s="49"/>
      <c r="AX230" s="49"/>
      <c r="AY230" s="49"/>
      <c r="AZ230" s="49"/>
      <c r="BA230" s="49"/>
      <c r="BB230" s="49"/>
      <c r="BC230" s="49"/>
      <c r="BD230" s="49"/>
      <c r="BE230" s="49"/>
      <c r="BF230" s="49"/>
      <c r="BG230" s="49"/>
      <c r="BH230" s="49"/>
      <c r="BI230" s="49"/>
      <c r="BJ230" s="49"/>
      <c r="BK230" s="49"/>
      <c r="BL230" s="49"/>
      <c r="BM230" s="49"/>
      <c r="BN230" s="49"/>
      <c r="BO230" s="49"/>
      <c r="BP230" s="49"/>
      <c r="BQ230" s="49"/>
      <c r="BR230" s="49"/>
      <c r="BS230" s="49"/>
      <c r="BT230" s="49"/>
      <c r="BU230" s="49"/>
      <c r="BV230" s="49"/>
      <c r="BW230" s="49"/>
      <c r="BX230" s="49"/>
      <c r="BY230" s="49"/>
      <c r="BZ230" s="49"/>
      <c r="CA230" s="49"/>
      <c r="CB230" s="49"/>
      <c r="CC230" s="49"/>
      <c r="CD230" s="49"/>
      <c r="CE230" s="49"/>
      <c r="CF230" s="49"/>
      <c r="CG230" s="49"/>
      <c r="CH230" s="49"/>
      <c r="CI230" s="49"/>
      <c r="CJ230" s="49"/>
      <c r="CK230" s="49"/>
      <c r="CL230" s="49"/>
      <c r="CM230" s="49"/>
      <c r="CN230" s="49"/>
    </row>
    <row r="231" spans="3:92">
      <c r="C231" s="6"/>
      <c r="E231" s="49"/>
      <c r="F231" s="49"/>
      <c r="G231" s="49"/>
      <c r="H231" s="49"/>
      <c r="I231" s="49"/>
      <c r="J231" s="49"/>
      <c r="K231" s="49"/>
      <c r="L231" s="49"/>
      <c r="M231" s="49"/>
      <c r="N231" s="49"/>
      <c r="O231" s="49"/>
      <c r="P231" s="49"/>
      <c r="Q231" s="524"/>
      <c r="R231" s="49"/>
      <c r="S231" s="49"/>
      <c r="T231" s="49"/>
      <c r="U231" s="49"/>
      <c r="V231" s="49"/>
      <c r="W231" s="49"/>
      <c r="X231" s="49"/>
      <c r="Y231" s="49"/>
      <c r="Z231" s="49"/>
      <c r="AA231" s="49"/>
      <c r="AB231" s="51"/>
      <c r="AC231" s="49"/>
      <c r="AD231" s="49"/>
      <c r="AE231" s="49"/>
      <c r="AF231" s="49"/>
      <c r="AG231" s="49"/>
      <c r="AH231" s="49"/>
      <c r="AI231" s="49"/>
      <c r="AJ231" s="49"/>
      <c r="AK231" s="49"/>
      <c r="AL231" s="49"/>
      <c r="AM231" s="49"/>
      <c r="AN231" s="49"/>
      <c r="AO231" s="49"/>
      <c r="AP231" s="49"/>
      <c r="AQ231" s="49"/>
      <c r="AR231" s="49"/>
      <c r="AS231" s="49"/>
      <c r="AT231" s="49"/>
      <c r="AU231" s="49"/>
      <c r="AV231" s="49"/>
      <c r="AW231" s="49"/>
      <c r="AX231" s="49"/>
      <c r="AY231" s="49"/>
      <c r="AZ231" s="49"/>
      <c r="BA231" s="49"/>
      <c r="BB231" s="49"/>
      <c r="BC231" s="49"/>
      <c r="BD231" s="49"/>
      <c r="BE231" s="49"/>
      <c r="BF231" s="49"/>
      <c r="BG231" s="49"/>
      <c r="BH231" s="49"/>
      <c r="BI231" s="49"/>
      <c r="BJ231" s="49"/>
      <c r="BK231" s="49"/>
      <c r="BL231" s="49"/>
      <c r="BM231" s="49"/>
      <c r="BN231" s="49"/>
      <c r="BO231" s="49"/>
      <c r="BP231" s="49"/>
      <c r="BQ231" s="49"/>
      <c r="BR231" s="49"/>
      <c r="BS231" s="49"/>
      <c r="BT231" s="49"/>
      <c r="BU231" s="49"/>
      <c r="BV231" s="49"/>
      <c r="BW231" s="49"/>
      <c r="BX231" s="49"/>
      <c r="BY231" s="49"/>
      <c r="BZ231" s="49"/>
      <c r="CA231" s="49"/>
      <c r="CB231" s="49"/>
      <c r="CC231" s="49"/>
      <c r="CD231" s="49"/>
      <c r="CE231" s="49"/>
      <c r="CF231" s="49"/>
      <c r="CG231" s="49"/>
      <c r="CH231" s="49"/>
      <c r="CI231" s="49"/>
      <c r="CJ231" s="49"/>
      <c r="CK231" s="49"/>
      <c r="CL231" s="49"/>
      <c r="CM231" s="49"/>
      <c r="CN231" s="49"/>
    </row>
    <row r="232" spans="3:92">
      <c r="C232" s="6"/>
      <c r="E232" s="49"/>
      <c r="F232" s="49"/>
      <c r="G232" s="49"/>
      <c r="H232" s="49"/>
      <c r="I232" s="49"/>
      <c r="J232" s="49"/>
      <c r="K232" s="49"/>
      <c r="L232" s="49"/>
      <c r="M232" s="49"/>
      <c r="N232" s="49"/>
      <c r="O232" s="49"/>
      <c r="P232" s="49"/>
      <c r="Q232" s="524"/>
      <c r="R232" s="49"/>
      <c r="S232" s="49"/>
      <c r="T232" s="49"/>
      <c r="U232" s="49"/>
      <c r="V232" s="49"/>
      <c r="W232" s="49"/>
      <c r="X232" s="49"/>
      <c r="Y232" s="49"/>
      <c r="Z232" s="49"/>
      <c r="AA232" s="49"/>
      <c r="AB232" s="51"/>
      <c r="AC232" s="49"/>
      <c r="AD232" s="49"/>
      <c r="AE232" s="49"/>
      <c r="AF232" s="49"/>
      <c r="AG232" s="49"/>
      <c r="AH232" s="49"/>
      <c r="AI232" s="49"/>
      <c r="AJ232" s="49"/>
      <c r="AK232" s="49"/>
      <c r="AL232" s="49"/>
      <c r="AM232" s="49"/>
      <c r="AN232" s="49"/>
      <c r="AO232" s="49"/>
      <c r="AP232" s="49"/>
      <c r="AQ232" s="49"/>
      <c r="AR232" s="49"/>
      <c r="AS232" s="49"/>
      <c r="AT232" s="49"/>
      <c r="AU232" s="49"/>
      <c r="AV232" s="49"/>
      <c r="AW232" s="49"/>
      <c r="AX232" s="49"/>
      <c r="AY232" s="49"/>
      <c r="AZ232" s="49"/>
      <c r="BA232" s="49"/>
      <c r="BB232" s="49"/>
      <c r="BC232" s="49"/>
      <c r="BD232" s="49"/>
      <c r="BE232" s="49"/>
      <c r="BF232" s="49"/>
      <c r="BG232" s="49"/>
      <c r="BH232" s="49"/>
      <c r="BI232" s="49"/>
      <c r="BJ232" s="49"/>
      <c r="BK232" s="49"/>
      <c r="BL232" s="49"/>
      <c r="BM232" s="49"/>
      <c r="BN232" s="49"/>
      <c r="BO232" s="49"/>
      <c r="BP232" s="49"/>
      <c r="BQ232" s="49"/>
      <c r="BR232" s="49"/>
      <c r="BS232" s="49"/>
      <c r="BT232" s="49"/>
      <c r="BU232" s="49"/>
      <c r="BV232" s="49"/>
      <c r="BW232" s="49"/>
      <c r="BX232" s="49"/>
      <c r="BY232" s="49"/>
      <c r="BZ232" s="49"/>
      <c r="CA232" s="49"/>
      <c r="CB232" s="49"/>
      <c r="CC232" s="49"/>
      <c r="CD232" s="49"/>
      <c r="CE232" s="49"/>
      <c r="CF232" s="49"/>
      <c r="CG232" s="49"/>
      <c r="CH232" s="49"/>
      <c r="CI232" s="49"/>
      <c r="CJ232" s="49"/>
      <c r="CK232" s="49"/>
      <c r="CL232" s="49"/>
      <c r="CM232" s="49"/>
      <c r="CN232" s="49"/>
    </row>
    <row r="233" spans="3:92">
      <c r="C233" s="6"/>
      <c r="E233" s="49"/>
      <c r="F233" s="49"/>
      <c r="G233" s="49"/>
      <c r="H233" s="49"/>
      <c r="I233" s="49"/>
      <c r="J233" s="49"/>
      <c r="K233" s="49"/>
      <c r="L233" s="49"/>
      <c r="M233" s="49"/>
      <c r="N233" s="49"/>
      <c r="O233" s="49"/>
      <c r="P233" s="49"/>
      <c r="Q233" s="524"/>
      <c r="R233" s="49"/>
      <c r="S233" s="49"/>
      <c r="T233" s="49"/>
      <c r="U233" s="49"/>
      <c r="V233" s="49"/>
      <c r="W233" s="49"/>
      <c r="X233" s="49"/>
      <c r="Y233" s="49"/>
      <c r="Z233" s="49"/>
      <c r="AA233" s="49"/>
      <c r="AB233" s="51"/>
      <c r="AC233" s="49"/>
      <c r="AD233" s="49"/>
      <c r="AE233" s="49"/>
      <c r="AF233" s="49"/>
      <c r="AG233" s="49"/>
      <c r="AH233" s="49"/>
      <c r="AI233" s="49"/>
      <c r="AJ233" s="49"/>
      <c r="AK233" s="49"/>
      <c r="AL233" s="49"/>
      <c r="AM233" s="49"/>
      <c r="AN233" s="49"/>
      <c r="AO233" s="49"/>
      <c r="AP233" s="49"/>
      <c r="AQ233" s="49"/>
      <c r="AR233" s="49"/>
      <c r="AS233" s="49"/>
      <c r="AT233" s="49"/>
      <c r="AU233" s="49"/>
      <c r="AV233" s="49"/>
      <c r="AW233" s="49"/>
      <c r="AX233" s="49"/>
      <c r="AY233" s="49"/>
      <c r="AZ233" s="49"/>
      <c r="BA233" s="49"/>
      <c r="BB233" s="49"/>
      <c r="BC233" s="49"/>
      <c r="BD233" s="49"/>
      <c r="BE233" s="49"/>
      <c r="BF233" s="49"/>
      <c r="BG233" s="49"/>
      <c r="BH233" s="49"/>
      <c r="BI233" s="49"/>
      <c r="BJ233" s="49"/>
      <c r="BK233" s="49"/>
      <c r="BL233" s="49"/>
      <c r="BM233" s="49"/>
      <c r="BN233" s="49"/>
      <c r="BO233" s="49"/>
      <c r="BP233" s="49"/>
      <c r="BQ233" s="49"/>
      <c r="BR233" s="49"/>
      <c r="BS233" s="49"/>
      <c r="BT233" s="49"/>
      <c r="BU233" s="49"/>
      <c r="BV233" s="49"/>
      <c r="BW233" s="49"/>
      <c r="BX233" s="49"/>
      <c r="BY233" s="49"/>
      <c r="BZ233" s="49"/>
      <c r="CA233" s="49"/>
      <c r="CB233" s="49"/>
      <c r="CC233" s="49"/>
      <c r="CD233" s="49"/>
      <c r="CE233" s="49"/>
      <c r="CF233" s="49"/>
      <c r="CG233" s="49"/>
      <c r="CH233" s="49"/>
      <c r="CI233" s="49"/>
      <c r="CJ233" s="49"/>
      <c r="CK233" s="49"/>
      <c r="CL233" s="49"/>
      <c r="CM233" s="49"/>
      <c r="CN233" s="49"/>
    </row>
    <row r="234" spans="3:92">
      <c r="C234" s="6"/>
      <c r="E234" s="49"/>
      <c r="F234" s="49"/>
      <c r="G234" s="49"/>
      <c r="H234" s="49"/>
      <c r="I234" s="49"/>
      <c r="J234" s="49"/>
      <c r="K234" s="49"/>
      <c r="L234" s="49"/>
      <c r="M234" s="49"/>
      <c r="N234" s="49"/>
      <c r="O234" s="49"/>
      <c r="P234" s="49"/>
      <c r="Q234" s="524"/>
      <c r="R234" s="49"/>
      <c r="S234" s="49"/>
      <c r="T234" s="49"/>
      <c r="U234" s="49"/>
      <c r="V234" s="49"/>
      <c r="W234" s="49"/>
      <c r="X234" s="49"/>
      <c r="Y234" s="49"/>
      <c r="Z234" s="49"/>
      <c r="AA234" s="49"/>
      <c r="AB234" s="51"/>
      <c r="AC234" s="49"/>
      <c r="AD234" s="49"/>
      <c r="AE234" s="49"/>
      <c r="AF234" s="49"/>
      <c r="AG234" s="49"/>
      <c r="AH234" s="49"/>
      <c r="AI234" s="49"/>
      <c r="AJ234" s="49"/>
      <c r="AK234" s="49"/>
      <c r="AL234" s="49"/>
      <c r="AM234" s="49"/>
      <c r="AN234" s="49"/>
      <c r="AO234" s="49"/>
      <c r="AP234" s="49"/>
      <c r="AQ234" s="49"/>
      <c r="AR234" s="49"/>
      <c r="AS234" s="49"/>
      <c r="AT234" s="49"/>
      <c r="AU234" s="49"/>
      <c r="AV234" s="49"/>
      <c r="AW234" s="49"/>
      <c r="AX234" s="49"/>
      <c r="AY234" s="49"/>
      <c r="AZ234" s="49"/>
      <c r="BA234" s="49"/>
      <c r="BB234" s="49"/>
      <c r="BC234" s="49"/>
      <c r="BD234" s="49"/>
      <c r="BE234" s="49"/>
      <c r="BF234" s="49"/>
      <c r="BG234" s="49"/>
      <c r="BH234" s="49"/>
      <c r="BI234" s="49"/>
      <c r="BJ234" s="49"/>
      <c r="BK234" s="49"/>
      <c r="BL234" s="49"/>
      <c r="BM234" s="49"/>
      <c r="BN234" s="49"/>
      <c r="BO234" s="49"/>
      <c r="BP234" s="49"/>
      <c r="BQ234" s="49"/>
      <c r="BR234" s="49"/>
      <c r="BS234" s="49"/>
      <c r="BT234" s="49"/>
      <c r="BU234" s="49"/>
      <c r="BV234" s="49"/>
      <c r="BW234" s="49"/>
      <c r="BX234" s="49"/>
      <c r="BY234" s="49"/>
      <c r="BZ234" s="49"/>
      <c r="CA234" s="49"/>
      <c r="CB234" s="49"/>
      <c r="CC234" s="49"/>
      <c r="CD234" s="49"/>
      <c r="CE234" s="49"/>
      <c r="CF234" s="49"/>
      <c r="CG234" s="49"/>
      <c r="CH234" s="49"/>
      <c r="CI234" s="49"/>
      <c r="CJ234" s="49"/>
      <c r="CK234" s="49"/>
      <c r="CL234" s="49"/>
      <c r="CM234" s="49"/>
      <c r="CN234" s="49"/>
    </row>
    <row r="235" spans="3:92">
      <c r="C235" s="6"/>
      <c r="E235" s="49"/>
      <c r="F235" s="49"/>
      <c r="G235" s="49"/>
      <c r="H235" s="49"/>
      <c r="I235" s="49"/>
      <c r="J235" s="49"/>
      <c r="K235" s="49"/>
      <c r="L235" s="49"/>
      <c r="M235" s="49"/>
      <c r="N235" s="49"/>
      <c r="O235" s="49"/>
      <c r="P235" s="49"/>
      <c r="Q235" s="524"/>
      <c r="R235" s="49"/>
      <c r="S235" s="49"/>
      <c r="T235" s="49"/>
      <c r="U235" s="49"/>
      <c r="V235" s="49"/>
      <c r="W235" s="49"/>
      <c r="X235" s="49"/>
      <c r="Y235" s="49"/>
      <c r="Z235" s="49"/>
      <c r="AA235" s="49"/>
      <c r="AB235" s="51"/>
      <c r="AC235" s="49"/>
      <c r="AD235" s="49"/>
      <c r="AE235" s="49"/>
      <c r="AF235" s="49"/>
      <c r="AG235" s="49"/>
      <c r="AH235" s="49"/>
      <c r="AI235" s="49"/>
      <c r="AJ235" s="49"/>
      <c r="AK235" s="49"/>
      <c r="AL235" s="49"/>
      <c r="AM235" s="49"/>
      <c r="AN235" s="49"/>
      <c r="AO235" s="49"/>
      <c r="AP235" s="49"/>
      <c r="AQ235" s="49"/>
      <c r="AR235" s="49"/>
      <c r="AS235" s="49"/>
      <c r="AT235" s="49"/>
      <c r="AU235" s="49"/>
      <c r="AV235" s="49"/>
      <c r="AW235" s="49"/>
      <c r="AX235" s="49"/>
      <c r="AY235" s="49"/>
      <c r="AZ235" s="49"/>
      <c r="BA235" s="49"/>
      <c r="BB235" s="49"/>
      <c r="BC235" s="49"/>
      <c r="BD235" s="49"/>
      <c r="BE235" s="49"/>
      <c r="BF235" s="49"/>
      <c r="BG235" s="49"/>
      <c r="BH235" s="49"/>
      <c r="BI235" s="49"/>
      <c r="BJ235" s="49"/>
      <c r="BK235" s="49"/>
      <c r="BL235" s="49"/>
      <c r="BM235" s="49"/>
      <c r="BN235" s="49"/>
      <c r="BO235" s="49"/>
      <c r="BP235" s="49"/>
      <c r="BQ235" s="49"/>
      <c r="BR235" s="49"/>
      <c r="BS235" s="49"/>
      <c r="BT235" s="49"/>
      <c r="BU235" s="49"/>
      <c r="BV235" s="49"/>
      <c r="BW235" s="49"/>
      <c r="BX235" s="49"/>
      <c r="BY235" s="49"/>
      <c r="BZ235" s="49"/>
      <c r="CA235" s="49"/>
      <c r="CB235" s="49"/>
      <c r="CC235" s="49"/>
      <c r="CD235" s="49"/>
      <c r="CE235" s="49"/>
      <c r="CF235" s="49"/>
      <c r="CG235" s="49"/>
      <c r="CH235" s="49"/>
      <c r="CI235" s="49"/>
      <c r="CJ235" s="49"/>
      <c r="CK235" s="49"/>
      <c r="CL235" s="49"/>
      <c r="CM235" s="49"/>
      <c r="CN235" s="49"/>
    </row>
    <row r="236" spans="3:92">
      <c r="C236" s="6"/>
      <c r="E236" s="49"/>
      <c r="F236" s="49"/>
      <c r="G236" s="49"/>
      <c r="H236" s="49"/>
      <c r="I236" s="49"/>
      <c r="J236" s="49"/>
      <c r="K236" s="49"/>
      <c r="L236" s="49"/>
      <c r="M236" s="49"/>
      <c r="N236" s="49"/>
      <c r="O236" s="49"/>
      <c r="P236" s="49"/>
      <c r="Q236" s="524"/>
      <c r="R236" s="49"/>
      <c r="S236" s="49"/>
      <c r="T236" s="49"/>
      <c r="U236" s="49"/>
      <c r="V236" s="49"/>
      <c r="W236" s="49"/>
      <c r="X236" s="49"/>
      <c r="Y236" s="49"/>
      <c r="Z236" s="49"/>
      <c r="AA236" s="49"/>
      <c r="AB236" s="51"/>
      <c r="AC236" s="49"/>
      <c r="AD236" s="49"/>
      <c r="AE236" s="49"/>
      <c r="AF236" s="49"/>
      <c r="AG236" s="49"/>
      <c r="AH236" s="49"/>
      <c r="AI236" s="49"/>
      <c r="AJ236" s="49"/>
      <c r="AK236" s="49"/>
      <c r="AL236" s="49"/>
      <c r="AM236" s="49"/>
      <c r="AN236" s="49"/>
      <c r="AO236" s="49"/>
      <c r="AP236" s="49"/>
      <c r="AQ236" s="49"/>
      <c r="AR236" s="49"/>
      <c r="AS236" s="49"/>
      <c r="AT236" s="49"/>
      <c r="AU236" s="49"/>
      <c r="AV236" s="49"/>
      <c r="AW236" s="49"/>
      <c r="AX236" s="49"/>
      <c r="AY236" s="49"/>
      <c r="AZ236" s="49"/>
      <c r="BA236" s="49"/>
      <c r="BB236" s="49"/>
      <c r="BC236" s="49"/>
      <c r="BD236" s="49"/>
      <c r="BE236" s="49"/>
      <c r="BF236" s="49"/>
      <c r="BG236" s="49"/>
      <c r="BH236" s="49"/>
      <c r="BI236" s="49"/>
      <c r="BJ236" s="49"/>
      <c r="BK236" s="49"/>
      <c r="BL236" s="49"/>
      <c r="BM236" s="49"/>
      <c r="BN236" s="49"/>
      <c r="BO236" s="49"/>
      <c r="BP236" s="49"/>
      <c r="BQ236" s="49"/>
      <c r="BR236" s="49"/>
      <c r="BS236" s="49"/>
      <c r="BT236" s="49"/>
      <c r="BU236" s="49"/>
      <c r="BV236" s="49"/>
      <c r="BW236" s="49"/>
      <c r="BX236" s="49"/>
      <c r="BY236" s="49"/>
      <c r="BZ236" s="49"/>
      <c r="CA236" s="49"/>
      <c r="CB236" s="49"/>
      <c r="CC236" s="49"/>
      <c r="CD236" s="49"/>
      <c r="CE236" s="49"/>
      <c r="CF236" s="49"/>
      <c r="CG236" s="49"/>
      <c r="CH236" s="49"/>
      <c r="CI236" s="49"/>
      <c r="CJ236" s="49"/>
      <c r="CK236" s="49"/>
      <c r="CL236" s="49"/>
      <c r="CM236" s="49"/>
      <c r="CN236" s="49"/>
    </row>
    <row r="237" spans="3:92">
      <c r="C237" s="6"/>
      <c r="E237" s="49"/>
      <c r="F237" s="49"/>
      <c r="G237" s="49"/>
      <c r="H237" s="49"/>
      <c r="I237" s="49"/>
      <c r="J237" s="49"/>
      <c r="K237" s="49"/>
      <c r="L237" s="49"/>
      <c r="M237" s="49"/>
      <c r="N237" s="49"/>
      <c r="O237" s="49"/>
      <c r="P237" s="49"/>
      <c r="Q237" s="524"/>
      <c r="R237" s="49"/>
      <c r="S237" s="49"/>
      <c r="T237" s="49"/>
      <c r="U237" s="49"/>
      <c r="V237" s="49"/>
      <c r="W237" s="49"/>
      <c r="X237" s="49"/>
      <c r="Y237" s="49"/>
      <c r="Z237" s="49"/>
      <c r="AA237" s="49"/>
      <c r="AB237" s="51"/>
      <c r="AC237" s="49"/>
      <c r="AD237" s="49"/>
      <c r="AE237" s="49"/>
      <c r="AF237" s="49"/>
      <c r="AG237" s="49"/>
      <c r="AH237" s="49"/>
      <c r="AI237" s="49"/>
      <c r="AJ237" s="49"/>
      <c r="AK237" s="49"/>
      <c r="AL237" s="49"/>
      <c r="AM237" s="49"/>
      <c r="AN237" s="49"/>
      <c r="AO237" s="49"/>
      <c r="AP237" s="49"/>
      <c r="AQ237" s="49"/>
      <c r="AR237" s="49"/>
      <c r="AS237" s="49"/>
      <c r="AT237" s="49"/>
      <c r="AU237" s="49"/>
      <c r="AV237" s="49"/>
      <c r="AW237" s="49"/>
      <c r="AX237" s="49"/>
      <c r="AY237" s="49"/>
      <c r="AZ237" s="49"/>
      <c r="BA237" s="49"/>
      <c r="BB237" s="49"/>
      <c r="BC237" s="49"/>
      <c r="BD237" s="49"/>
      <c r="BE237" s="49"/>
      <c r="BF237" s="49"/>
      <c r="BG237" s="49"/>
      <c r="BH237" s="49"/>
      <c r="BI237" s="49"/>
      <c r="BJ237" s="49"/>
      <c r="BK237" s="49"/>
      <c r="BL237" s="49"/>
      <c r="BM237" s="49"/>
      <c r="BN237" s="49"/>
      <c r="BO237" s="49"/>
      <c r="BP237" s="49"/>
      <c r="BQ237" s="49"/>
      <c r="BR237" s="49"/>
      <c r="BS237" s="49"/>
      <c r="BT237" s="49"/>
      <c r="BU237" s="49"/>
      <c r="BV237" s="49"/>
      <c r="BW237" s="49"/>
      <c r="BX237" s="49"/>
      <c r="BY237" s="49"/>
      <c r="BZ237" s="49"/>
      <c r="CA237" s="49"/>
      <c r="CB237" s="49"/>
      <c r="CC237" s="49"/>
      <c r="CD237" s="49"/>
      <c r="CE237" s="49"/>
      <c r="CF237" s="49"/>
      <c r="CG237" s="49"/>
      <c r="CH237" s="49"/>
      <c r="CI237" s="49"/>
      <c r="CJ237" s="49"/>
      <c r="CK237" s="49"/>
      <c r="CL237" s="49"/>
      <c r="CM237" s="49"/>
      <c r="CN237" s="49"/>
    </row>
    <row r="238" spans="3:92">
      <c r="C238" s="6"/>
      <c r="E238" s="49"/>
      <c r="F238" s="49"/>
      <c r="G238" s="49"/>
      <c r="H238" s="49"/>
      <c r="I238" s="49"/>
      <c r="J238" s="49"/>
      <c r="K238" s="49"/>
      <c r="L238" s="49"/>
      <c r="M238" s="49"/>
      <c r="N238" s="49"/>
      <c r="O238" s="49"/>
      <c r="P238" s="49"/>
      <c r="Q238" s="524"/>
      <c r="R238" s="49"/>
      <c r="S238" s="49"/>
      <c r="T238" s="49"/>
      <c r="U238" s="49"/>
      <c r="V238" s="49"/>
      <c r="W238" s="49"/>
      <c r="X238" s="49"/>
      <c r="Y238" s="49"/>
      <c r="Z238" s="49"/>
      <c r="AA238" s="49"/>
      <c r="AB238" s="51"/>
      <c r="AC238" s="49"/>
      <c r="AD238" s="49"/>
      <c r="AE238" s="49"/>
      <c r="AF238" s="49"/>
      <c r="AG238" s="49"/>
      <c r="AH238" s="49"/>
      <c r="AI238" s="49"/>
      <c r="AJ238" s="49"/>
      <c r="AK238" s="49"/>
      <c r="AL238" s="49"/>
      <c r="AM238" s="49"/>
      <c r="AN238" s="49"/>
      <c r="AO238" s="49"/>
      <c r="AP238" s="49"/>
      <c r="AQ238" s="49"/>
      <c r="AR238" s="49"/>
      <c r="AS238" s="49"/>
      <c r="AT238" s="49"/>
      <c r="AU238" s="49"/>
      <c r="AV238" s="49"/>
      <c r="AW238" s="49"/>
      <c r="AX238" s="49"/>
      <c r="AY238" s="49"/>
      <c r="AZ238" s="49"/>
      <c r="BA238" s="49"/>
      <c r="BB238" s="49"/>
      <c r="BC238" s="49"/>
      <c r="BD238" s="49"/>
      <c r="BE238" s="49"/>
      <c r="BF238" s="49"/>
      <c r="BG238" s="49"/>
      <c r="BH238" s="49"/>
      <c r="BI238" s="49"/>
      <c r="BJ238" s="49"/>
      <c r="BK238" s="49"/>
      <c r="BL238" s="49"/>
      <c r="BM238" s="49"/>
      <c r="BN238" s="49"/>
      <c r="BO238" s="49"/>
      <c r="BP238" s="49"/>
      <c r="BQ238" s="49"/>
      <c r="BR238" s="49"/>
      <c r="BS238" s="49"/>
      <c r="BT238" s="49"/>
      <c r="BU238" s="49"/>
      <c r="BV238" s="49"/>
      <c r="BW238" s="49"/>
      <c r="BX238" s="49"/>
      <c r="BY238" s="49"/>
      <c r="BZ238" s="49"/>
      <c r="CA238" s="49"/>
      <c r="CB238" s="49"/>
      <c r="CC238" s="49"/>
      <c r="CD238" s="49"/>
      <c r="CE238" s="49"/>
      <c r="CF238" s="49"/>
      <c r="CG238" s="49"/>
      <c r="CH238" s="49"/>
      <c r="CI238" s="49"/>
      <c r="CJ238" s="49"/>
      <c r="CK238" s="49"/>
      <c r="CL238" s="49"/>
      <c r="CM238" s="49"/>
      <c r="CN238" s="49"/>
    </row>
    <row r="239" spans="3:92">
      <c r="C239" s="6"/>
      <c r="E239" s="49"/>
      <c r="F239" s="49"/>
      <c r="G239" s="49"/>
      <c r="H239" s="49"/>
      <c r="I239" s="49"/>
      <c r="J239" s="49"/>
      <c r="K239" s="49"/>
      <c r="L239" s="49"/>
      <c r="M239" s="49"/>
      <c r="N239" s="49"/>
      <c r="O239" s="49"/>
      <c r="P239" s="49"/>
      <c r="Q239" s="524"/>
      <c r="R239" s="49"/>
      <c r="S239" s="49"/>
      <c r="T239" s="49"/>
      <c r="U239" s="49"/>
      <c r="V239" s="49"/>
      <c r="W239" s="49"/>
      <c r="X239" s="49"/>
      <c r="Y239" s="49"/>
      <c r="Z239" s="49"/>
      <c r="AA239" s="49"/>
      <c r="AB239" s="51"/>
      <c r="AC239" s="49"/>
      <c r="AD239" s="49"/>
      <c r="AE239" s="49"/>
      <c r="AF239" s="49"/>
      <c r="AG239" s="49"/>
      <c r="AH239" s="49"/>
      <c r="AI239" s="49"/>
      <c r="AJ239" s="49"/>
      <c r="AK239" s="49"/>
      <c r="AL239" s="49"/>
      <c r="AM239" s="49"/>
      <c r="AN239" s="49"/>
      <c r="AO239" s="49"/>
      <c r="AP239" s="49"/>
      <c r="AQ239" s="49"/>
      <c r="AR239" s="49"/>
      <c r="AS239" s="49"/>
      <c r="AT239" s="49"/>
      <c r="AU239" s="49"/>
      <c r="AV239" s="49"/>
      <c r="AW239" s="49"/>
      <c r="AX239" s="49"/>
      <c r="AY239" s="49"/>
      <c r="AZ239" s="49"/>
      <c r="BA239" s="49"/>
      <c r="BB239" s="49"/>
      <c r="BC239" s="49"/>
      <c r="BD239" s="49"/>
      <c r="BE239" s="49"/>
      <c r="BF239" s="49"/>
      <c r="BG239" s="49"/>
      <c r="BH239" s="49"/>
      <c r="BI239" s="49"/>
      <c r="BJ239" s="49"/>
      <c r="BK239" s="49"/>
      <c r="BL239" s="49"/>
      <c r="BM239" s="49"/>
      <c r="BN239" s="49"/>
      <c r="BO239" s="49"/>
      <c r="BP239" s="49"/>
      <c r="BQ239" s="49"/>
      <c r="BR239" s="49"/>
      <c r="BS239" s="49"/>
      <c r="BT239" s="49"/>
      <c r="BU239" s="49"/>
      <c r="BV239" s="49"/>
      <c r="BW239" s="49"/>
      <c r="BX239" s="49"/>
      <c r="BY239" s="49"/>
      <c r="BZ239" s="49"/>
      <c r="CA239" s="49"/>
      <c r="CB239" s="49"/>
      <c r="CC239" s="49"/>
      <c r="CD239" s="49"/>
      <c r="CE239" s="49"/>
      <c r="CF239" s="49"/>
      <c r="CG239" s="49"/>
      <c r="CH239" s="49"/>
      <c r="CI239" s="49"/>
      <c r="CJ239" s="49"/>
      <c r="CK239" s="49"/>
      <c r="CL239" s="49"/>
      <c r="CM239" s="49"/>
      <c r="CN239" s="49"/>
    </row>
    <row r="240" spans="3:92">
      <c r="C240" s="6"/>
      <c r="E240" s="49"/>
      <c r="F240" s="49"/>
      <c r="G240" s="49"/>
      <c r="H240" s="49"/>
      <c r="I240" s="49"/>
      <c r="J240" s="49"/>
      <c r="K240" s="49"/>
      <c r="L240" s="49"/>
      <c r="M240" s="49"/>
      <c r="N240" s="49"/>
      <c r="O240" s="49"/>
      <c r="P240" s="49"/>
      <c r="Q240" s="524"/>
      <c r="R240" s="49"/>
      <c r="S240" s="49"/>
      <c r="T240" s="49"/>
      <c r="U240" s="49"/>
      <c r="V240" s="49"/>
      <c r="W240" s="49"/>
      <c r="X240" s="49"/>
      <c r="Y240" s="49"/>
      <c r="Z240" s="49"/>
      <c r="AA240" s="49"/>
      <c r="AB240" s="51"/>
      <c r="AC240" s="49"/>
      <c r="AD240" s="49"/>
      <c r="AE240" s="49"/>
      <c r="AF240" s="49"/>
      <c r="AG240" s="49"/>
      <c r="AH240" s="49"/>
      <c r="AI240" s="49"/>
      <c r="AJ240" s="49"/>
      <c r="AK240" s="49"/>
      <c r="AL240" s="49"/>
      <c r="AM240" s="49"/>
      <c r="AN240" s="49"/>
      <c r="AO240" s="49"/>
      <c r="AP240" s="49"/>
      <c r="AQ240" s="49"/>
      <c r="AR240" s="49"/>
      <c r="AS240" s="49"/>
      <c r="AT240" s="49"/>
      <c r="AU240" s="49"/>
      <c r="AV240" s="49"/>
      <c r="AW240" s="49"/>
      <c r="AX240" s="49"/>
      <c r="AY240" s="49"/>
      <c r="AZ240" s="49"/>
      <c r="BA240" s="49"/>
      <c r="BB240" s="49"/>
      <c r="BC240" s="49"/>
      <c r="BD240" s="49"/>
      <c r="BE240" s="49"/>
      <c r="BF240" s="49"/>
      <c r="BG240" s="49"/>
      <c r="BH240" s="49"/>
      <c r="BI240" s="49"/>
      <c r="BJ240" s="49"/>
      <c r="BK240" s="49"/>
      <c r="BL240" s="49"/>
      <c r="BM240" s="49"/>
      <c r="BN240" s="49"/>
      <c r="BO240" s="49"/>
      <c r="BP240" s="49"/>
      <c r="BQ240" s="49"/>
      <c r="BR240" s="49"/>
      <c r="BS240" s="49"/>
      <c r="BT240" s="49"/>
      <c r="BU240" s="49"/>
      <c r="BV240" s="49"/>
      <c r="BW240" s="49"/>
      <c r="BX240" s="49"/>
      <c r="BY240" s="49"/>
      <c r="BZ240" s="49"/>
      <c r="CA240" s="49"/>
      <c r="CB240" s="49"/>
      <c r="CC240" s="49"/>
      <c r="CD240" s="49"/>
      <c r="CE240" s="49"/>
      <c r="CF240" s="49"/>
      <c r="CG240" s="49"/>
      <c r="CH240" s="49"/>
      <c r="CI240" s="49"/>
      <c r="CJ240" s="49"/>
      <c r="CK240" s="49"/>
      <c r="CL240" s="49"/>
      <c r="CM240" s="49"/>
      <c r="CN240" s="49"/>
    </row>
    <row r="241" spans="3:92">
      <c r="C241" s="6"/>
      <c r="E241" s="49"/>
      <c r="F241" s="49"/>
      <c r="G241" s="49"/>
      <c r="H241" s="49"/>
      <c r="I241" s="49"/>
      <c r="J241" s="49"/>
      <c r="K241" s="49"/>
      <c r="L241" s="49"/>
      <c r="M241" s="49"/>
      <c r="N241" s="49"/>
      <c r="O241" s="49"/>
      <c r="P241" s="49"/>
      <c r="Q241" s="524"/>
      <c r="R241" s="49"/>
      <c r="S241" s="49"/>
      <c r="T241" s="49"/>
      <c r="U241" s="49"/>
      <c r="V241" s="49"/>
      <c r="W241" s="49"/>
      <c r="X241" s="49"/>
      <c r="Y241" s="49"/>
      <c r="Z241" s="49"/>
      <c r="AA241" s="49"/>
      <c r="AB241" s="51"/>
      <c r="AC241" s="49"/>
      <c r="AD241" s="49"/>
      <c r="AE241" s="49"/>
      <c r="AF241" s="49"/>
      <c r="AG241" s="49"/>
      <c r="AH241" s="49"/>
      <c r="AI241" s="49"/>
      <c r="AJ241" s="49"/>
      <c r="AK241" s="49"/>
      <c r="AL241" s="49"/>
      <c r="AM241" s="49"/>
      <c r="AN241" s="49"/>
      <c r="AO241" s="49"/>
      <c r="AP241" s="49"/>
      <c r="AQ241" s="49"/>
      <c r="AR241" s="49"/>
      <c r="AS241" s="49"/>
      <c r="AT241" s="49"/>
      <c r="AU241" s="49"/>
      <c r="AV241" s="49"/>
      <c r="AW241" s="49"/>
      <c r="AX241" s="49"/>
      <c r="AY241" s="49"/>
      <c r="AZ241" s="49"/>
      <c r="BA241" s="49"/>
      <c r="BB241" s="49"/>
      <c r="BC241" s="49"/>
      <c r="BD241" s="49"/>
      <c r="BE241" s="49"/>
      <c r="BF241" s="49"/>
      <c r="BG241" s="49"/>
      <c r="BH241" s="49"/>
      <c r="BI241" s="49"/>
      <c r="BJ241" s="49"/>
      <c r="BK241" s="49"/>
      <c r="BL241" s="49"/>
      <c r="BM241" s="49"/>
      <c r="BN241" s="49"/>
      <c r="BO241" s="49"/>
      <c r="BP241" s="49"/>
      <c r="BQ241" s="49"/>
      <c r="BR241" s="49"/>
      <c r="BS241" s="49"/>
      <c r="BT241" s="49"/>
      <c r="BU241" s="49"/>
      <c r="BV241" s="49"/>
      <c r="BW241" s="49"/>
      <c r="BX241" s="49"/>
      <c r="BY241" s="49"/>
      <c r="BZ241" s="49"/>
      <c r="CA241" s="49"/>
      <c r="CB241" s="49"/>
      <c r="CC241" s="49"/>
      <c r="CD241" s="49"/>
      <c r="CE241" s="49"/>
      <c r="CF241" s="49"/>
      <c r="CG241" s="49"/>
      <c r="CH241" s="49"/>
      <c r="CI241" s="49"/>
      <c r="CJ241" s="49"/>
      <c r="CK241" s="49"/>
      <c r="CL241" s="49"/>
      <c r="CM241" s="49"/>
      <c r="CN241" s="49"/>
    </row>
    <row r="242" spans="3:92">
      <c r="C242" s="6"/>
      <c r="E242" s="49"/>
      <c r="F242" s="49"/>
      <c r="G242" s="49"/>
      <c r="H242" s="49"/>
      <c r="I242" s="49"/>
      <c r="J242" s="49"/>
      <c r="K242" s="49"/>
      <c r="L242" s="49"/>
      <c r="M242" s="49"/>
      <c r="N242" s="49"/>
      <c r="O242" s="49"/>
      <c r="P242" s="49"/>
      <c r="Q242" s="524"/>
      <c r="R242" s="49"/>
      <c r="S242" s="49"/>
      <c r="T242" s="49"/>
      <c r="U242" s="49"/>
      <c r="V242" s="49"/>
      <c r="W242" s="49"/>
      <c r="X242" s="49"/>
      <c r="Y242" s="49"/>
      <c r="Z242" s="49"/>
      <c r="AA242" s="49"/>
      <c r="AB242" s="51"/>
      <c r="AC242" s="49"/>
      <c r="AD242" s="49"/>
      <c r="AE242" s="49"/>
      <c r="AF242" s="49"/>
      <c r="AG242" s="49"/>
      <c r="AH242" s="49"/>
      <c r="AI242" s="49"/>
      <c r="AJ242" s="49"/>
      <c r="AK242" s="49"/>
      <c r="AL242" s="49"/>
      <c r="AM242" s="49"/>
      <c r="AN242" s="49"/>
      <c r="AO242" s="49"/>
      <c r="AP242" s="49"/>
      <c r="AQ242" s="49"/>
      <c r="AR242" s="49"/>
      <c r="AS242" s="49"/>
      <c r="AT242" s="49"/>
      <c r="AU242" s="49"/>
      <c r="AV242" s="49"/>
      <c r="AW242" s="49"/>
      <c r="AX242" s="49"/>
      <c r="AY242" s="49"/>
      <c r="AZ242" s="49"/>
      <c r="BA242" s="49"/>
      <c r="BB242" s="49"/>
      <c r="BC242" s="49"/>
      <c r="BD242" s="49"/>
      <c r="BE242" s="49"/>
      <c r="BF242" s="49"/>
      <c r="BG242" s="49"/>
      <c r="BH242" s="49"/>
      <c r="BI242" s="49"/>
      <c r="BJ242" s="49"/>
      <c r="BK242" s="49"/>
      <c r="BL242" s="49"/>
      <c r="BM242" s="49"/>
      <c r="BN242" s="49"/>
      <c r="BO242" s="49"/>
      <c r="BP242" s="49"/>
      <c r="BQ242" s="49"/>
      <c r="BR242" s="49"/>
      <c r="BS242" s="49"/>
      <c r="BT242" s="49"/>
      <c r="BU242" s="49"/>
      <c r="BV242" s="49"/>
      <c r="BW242" s="49"/>
      <c r="BX242" s="49"/>
      <c r="BY242" s="49"/>
      <c r="BZ242" s="49"/>
      <c r="CA242" s="49"/>
      <c r="CB242" s="49"/>
      <c r="CC242" s="49"/>
      <c r="CD242" s="49"/>
      <c r="CE242" s="49"/>
      <c r="CF242" s="49"/>
      <c r="CG242" s="49"/>
      <c r="CH242" s="49"/>
      <c r="CI242" s="49"/>
      <c r="CJ242" s="49"/>
      <c r="CK242" s="49"/>
      <c r="CL242" s="49"/>
      <c r="CM242" s="49"/>
      <c r="CN242" s="49"/>
    </row>
    <row r="243" spans="3:92">
      <c r="C243" s="6"/>
      <c r="E243" s="49"/>
      <c r="F243" s="49"/>
      <c r="G243" s="49"/>
      <c r="H243" s="49"/>
      <c r="I243" s="49"/>
      <c r="J243" s="49"/>
      <c r="K243" s="49"/>
      <c r="L243" s="49"/>
      <c r="M243" s="49"/>
      <c r="N243" s="49"/>
      <c r="O243" s="49"/>
      <c r="P243" s="49"/>
      <c r="Q243" s="524"/>
      <c r="R243" s="49"/>
      <c r="S243" s="49"/>
      <c r="T243" s="49"/>
      <c r="U243" s="49"/>
      <c r="V243" s="49"/>
      <c r="W243" s="49"/>
      <c r="X243" s="49"/>
      <c r="Y243" s="49"/>
      <c r="Z243" s="49"/>
      <c r="AA243" s="49"/>
      <c r="AB243" s="51"/>
      <c r="AC243" s="49"/>
      <c r="AD243" s="49"/>
      <c r="AE243" s="49"/>
      <c r="AF243" s="49"/>
      <c r="AG243" s="49"/>
      <c r="AH243" s="49"/>
      <c r="AI243" s="49"/>
      <c r="AJ243" s="49"/>
      <c r="AK243" s="49"/>
      <c r="AL243" s="49"/>
      <c r="AM243" s="49"/>
      <c r="AN243" s="49"/>
      <c r="AO243" s="49"/>
      <c r="AP243" s="49"/>
      <c r="AQ243" s="49"/>
      <c r="AR243" s="49"/>
      <c r="AS243" s="49"/>
      <c r="AT243" s="49"/>
      <c r="AU243" s="49"/>
      <c r="AV243" s="49"/>
      <c r="AW243" s="49"/>
      <c r="AX243" s="49"/>
      <c r="AY243" s="49"/>
      <c r="AZ243" s="49"/>
      <c r="BA243" s="49"/>
      <c r="BB243" s="49"/>
      <c r="BC243" s="49"/>
      <c r="BD243" s="49"/>
      <c r="BE243" s="49"/>
      <c r="BF243" s="49"/>
      <c r="BG243" s="49"/>
      <c r="BH243" s="49"/>
      <c r="BI243" s="49"/>
      <c r="BJ243" s="49"/>
      <c r="BK243" s="49"/>
      <c r="BL243" s="49"/>
      <c r="BM243" s="49"/>
      <c r="BN243" s="49"/>
      <c r="BO243" s="49"/>
      <c r="BP243" s="49"/>
      <c r="BQ243" s="49"/>
      <c r="BR243" s="49"/>
      <c r="BS243" s="49"/>
      <c r="BT243" s="49"/>
      <c r="BU243" s="49"/>
      <c r="BV243" s="49"/>
      <c r="BW243" s="49"/>
      <c r="BX243" s="49"/>
      <c r="BY243" s="49"/>
      <c r="BZ243" s="49"/>
      <c r="CA243" s="49"/>
      <c r="CB243" s="49"/>
      <c r="CC243" s="49"/>
      <c r="CD243" s="49"/>
      <c r="CE243" s="49"/>
      <c r="CF243" s="49"/>
      <c r="CG243" s="49"/>
      <c r="CH243" s="49"/>
      <c r="CI243" s="49"/>
      <c r="CJ243" s="49"/>
      <c r="CK243" s="49"/>
      <c r="CL243" s="49"/>
      <c r="CM243" s="49"/>
      <c r="CN243" s="49"/>
    </row>
    <row r="244" spans="3:92">
      <c r="C244" s="6"/>
      <c r="E244" s="49"/>
      <c r="F244" s="49"/>
      <c r="G244" s="49"/>
      <c r="H244" s="49"/>
      <c r="I244" s="49"/>
      <c r="J244" s="49"/>
      <c r="K244" s="49"/>
      <c r="L244" s="49"/>
      <c r="M244" s="49"/>
      <c r="N244" s="49"/>
      <c r="O244" s="49"/>
      <c r="P244" s="49"/>
      <c r="Q244" s="524"/>
      <c r="R244" s="49"/>
      <c r="S244" s="49"/>
      <c r="T244" s="49"/>
      <c r="U244" s="49"/>
      <c r="V244" s="49"/>
      <c r="W244" s="49"/>
      <c r="X244" s="49"/>
      <c r="Y244" s="49"/>
      <c r="Z244" s="49"/>
      <c r="AA244" s="49"/>
      <c r="AB244" s="51"/>
      <c r="AC244" s="49"/>
      <c r="AD244" s="49"/>
      <c r="AE244" s="49"/>
      <c r="AF244" s="49"/>
      <c r="AG244" s="49"/>
      <c r="AH244" s="49"/>
      <c r="AI244" s="49"/>
      <c r="AJ244" s="49"/>
      <c r="AK244" s="49"/>
      <c r="AL244" s="49"/>
      <c r="AM244" s="49"/>
      <c r="AN244" s="49"/>
      <c r="AO244" s="49"/>
      <c r="AP244" s="49"/>
      <c r="AQ244" s="49"/>
      <c r="AR244" s="49"/>
      <c r="AS244" s="49"/>
      <c r="AT244" s="49"/>
      <c r="AU244" s="49"/>
      <c r="AV244" s="49"/>
      <c r="AW244" s="49"/>
      <c r="AX244" s="49"/>
      <c r="AY244" s="49"/>
      <c r="AZ244" s="49"/>
      <c r="BA244" s="49"/>
      <c r="BB244" s="49"/>
      <c r="BC244" s="49"/>
      <c r="BD244" s="49"/>
      <c r="BE244" s="49"/>
      <c r="BF244" s="49"/>
      <c r="BG244" s="49"/>
      <c r="BH244" s="49"/>
      <c r="BI244" s="49"/>
      <c r="BJ244" s="49"/>
      <c r="BK244" s="49"/>
      <c r="BL244" s="49"/>
      <c r="BM244" s="49"/>
      <c r="BN244" s="49"/>
      <c r="BO244" s="49"/>
      <c r="BP244" s="49"/>
      <c r="BQ244" s="49"/>
      <c r="BR244" s="49"/>
      <c r="BS244" s="49"/>
      <c r="BT244" s="49"/>
      <c r="BU244" s="49"/>
      <c r="BV244" s="49"/>
      <c r="BW244" s="49"/>
      <c r="BX244" s="49"/>
      <c r="BY244" s="49"/>
      <c r="BZ244" s="49"/>
      <c r="CA244" s="49"/>
      <c r="CB244" s="49"/>
      <c r="CC244" s="49"/>
      <c r="CD244" s="49"/>
      <c r="CE244" s="49"/>
      <c r="CF244" s="49"/>
      <c r="CG244" s="49"/>
      <c r="CH244" s="49"/>
      <c r="CI244" s="49"/>
      <c r="CJ244" s="49"/>
      <c r="CK244" s="49"/>
      <c r="CL244" s="49"/>
      <c r="CM244" s="49"/>
      <c r="CN244" s="49"/>
    </row>
    <row r="245" spans="3:92">
      <c r="C245" s="6"/>
      <c r="E245" s="49"/>
      <c r="F245" s="49"/>
      <c r="G245" s="49"/>
      <c r="H245" s="49"/>
      <c r="I245" s="49"/>
      <c r="J245" s="49"/>
      <c r="K245" s="49"/>
      <c r="L245" s="49"/>
      <c r="M245" s="49"/>
      <c r="N245" s="49"/>
      <c r="O245" s="49"/>
      <c r="P245" s="49"/>
      <c r="Q245" s="524"/>
      <c r="R245" s="49"/>
      <c r="S245" s="49"/>
      <c r="T245" s="49"/>
      <c r="U245" s="49"/>
      <c r="V245" s="49"/>
      <c r="W245" s="49"/>
      <c r="X245" s="49"/>
      <c r="Y245" s="49"/>
      <c r="Z245" s="49"/>
      <c r="AA245" s="49"/>
      <c r="AB245" s="51"/>
      <c r="AC245" s="49"/>
      <c r="AD245" s="49"/>
      <c r="AE245" s="49"/>
      <c r="AF245" s="49"/>
      <c r="AG245" s="49"/>
      <c r="AH245" s="49"/>
      <c r="AI245" s="49"/>
      <c r="AJ245" s="49"/>
      <c r="AK245" s="49"/>
      <c r="AL245" s="49"/>
      <c r="AM245" s="49"/>
      <c r="AN245" s="49"/>
      <c r="AO245" s="49"/>
      <c r="AP245" s="49"/>
      <c r="AQ245" s="49"/>
      <c r="AR245" s="49"/>
      <c r="AS245" s="49"/>
      <c r="AT245" s="49"/>
      <c r="AU245" s="49"/>
      <c r="AV245" s="49"/>
      <c r="AW245" s="49"/>
      <c r="AX245" s="49"/>
      <c r="AY245" s="49"/>
      <c r="AZ245" s="49"/>
      <c r="BA245" s="49"/>
      <c r="BB245" s="49"/>
      <c r="BC245" s="49"/>
      <c r="BD245" s="49"/>
      <c r="BE245" s="49"/>
      <c r="BF245" s="49"/>
      <c r="BG245" s="49"/>
      <c r="BH245" s="49"/>
      <c r="BI245" s="49"/>
      <c r="BJ245" s="49"/>
      <c r="BK245" s="49"/>
      <c r="BL245" s="49"/>
      <c r="BM245" s="49"/>
      <c r="BN245" s="49"/>
      <c r="BO245" s="49"/>
      <c r="BP245" s="49"/>
      <c r="BQ245" s="49"/>
      <c r="BR245" s="49"/>
      <c r="BS245" s="49"/>
      <c r="BT245" s="49"/>
      <c r="BU245" s="49"/>
      <c r="BV245" s="49"/>
      <c r="BW245" s="49"/>
      <c r="BX245" s="49"/>
      <c r="BY245" s="49"/>
      <c r="BZ245" s="49"/>
      <c r="CA245" s="49"/>
      <c r="CB245" s="49"/>
      <c r="CC245" s="49"/>
      <c r="CD245" s="49"/>
      <c r="CE245" s="49"/>
      <c r="CF245" s="49"/>
      <c r="CG245" s="49"/>
      <c r="CH245" s="49"/>
      <c r="CI245" s="49"/>
      <c r="CJ245" s="49"/>
      <c r="CK245" s="49"/>
      <c r="CL245" s="49"/>
      <c r="CM245" s="49"/>
      <c r="CN245" s="49"/>
    </row>
    <row r="246" spans="3:92">
      <c r="C246" s="6"/>
      <c r="E246" s="49"/>
      <c r="F246" s="49"/>
      <c r="G246" s="49"/>
      <c r="H246" s="49"/>
      <c r="I246" s="49"/>
      <c r="J246" s="49"/>
      <c r="K246" s="49"/>
      <c r="L246" s="49"/>
      <c r="M246" s="49"/>
      <c r="N246" s="49"/>
      <c r="O246" s="49"/>
      <c r="P246" s="49"/>
      <c r="Q246" s="524"/>
      <c r="R246" s="49"/>
      <c r="S246" s="49"/>
      <c r="T246" s="49"/>
      <c r="U246" s="49"/>
      <c r="V246" s="49"/>
      <c r="W246" s="49"/>
      <c r="X246" s="49"/>
      <c r="Y246" s="49"/>
      <c r="Z246" s="49"/>
      <c r="AA246" s="49"/>
      <c r="AB246" s="51"/>
      <c r="AC246" s="49"/>
      <c r="AD246" s="49"/>
      <c r="AE246" s="49"/>
      <c r="AF246" s="49"/>
      <c r="AG246" s="49"/>
      <c r="AH246" s="49"/>
      <c r="AI246" s="49"/>
      <c r="AJ246" s="49"/>
      <c r="AK246" s="49"/>
      <c r="AL246" s="49"/>
      <c r="AM246" s="49"/>
      <c r="AN246" s="49"/>
      <c r="AO246" s="49"/>
      <c r="AP246" s="49"/>
      <c r="AQ246" s="49"/>
      <c r="AR246" s="49"/>
      <c r="AS246" s="49"/>
      <c r="AT246" s="49"/>
      <c r="AU246" s="49"/>
      <c r="AV246" s="49"/>
      <c r="AW246" s="49"/>
      <c r="AX246" s="49"/>
      <c r="AY246" s="49"/>
      <c r="AZ246" s="49"/>
      <c r="BA246" s="49"/>
      <c r="BB246" s="49"/>
      <c r="BC246" s="49"/>
      <c r="BD246" s="49"/>
      <c r="BE246" s="49"/>
      <c r="BF246" s="49"/>
      <c r="BG246" s="49"/>
      <c r="BH246" s="49"/>
      <c r="BI246" s="49"/>
      <c r="BJ246" s="49"/>
      <c r="BK246" s="49"/>
      <c r="BL246" s="49"/>
      <c r="BM246" s="49"/>
      <c r="BN246" s="49"/>
      <c r="BO246" s="49"/>
      <c r="BP246" s="49"/>
      <c r="BQ246" s="49"/>
      <c r="BR246" s="49"/>
      <c r="BS246" s="49"/>
      <c r="BT246" s="49"/>
      <c r="BU246" s="49"/>
      <c r="BV246" s="49"/>
      <c r="BW246" s="49"/>
      <c r="BX246" s="49"/>
      <c r="BY246" s="49"/>
      <c r="BZ246" s="49"/>
      <c r="CA246" s="49"/>
      <c r="CB246" s="49"/>
      <c r="CC246" s="49"/>
      <c r="CD246" s="49"/>
      <c r="CE246" s="49"/>
      <c r="CF246" s="49"/>
      <c r="CG246" s="49"/>
      <c r="CH246" s="49"/>
      <c r="CI246" s="49"/>
      <c r="CJ246" s="49"/>
      <c r="CK246" s="49"/>
      <c r="CL246" s="49"/>
      <c r="CM246" s="49"/>
      <c r="CN246" s="49"/>
    </row>
    <row r="247" spans="3:92">
      <c r="C247" s="6"/>
      <c r="E247" s="49"/>
      <c r="F247" s="49"/>
      <c r="G247" s="49"/>
      <c r="H247" s="49"/>
      <c r="I247" s="49"/>
      <c r="J247" s="49"/>
      <c r="K247" s="49"/>
      <c r="L247" s="49"/>
      <c r="M247" s="49"/>
      <c r="N247" s="49"/>
      <c r="O247" s="49"/>
      <c r="P247" s="49"/>
      <c r="Q247" s="524"/>
      <c r="R247" s="49"/>
      <c r="S247" s="49"/>
      <c r="T247" s="49"/>
      <c r="U247" s="49"/>
      <c r="V247" s="49"/>
      <c r="W247" s="49"/>
      <c r="X247" s="49"/>
      <c r="Y247" s="49"/>
      <c r="Z247" s="49"/>
      <c r="AA247" s="49"/>
      <c r="AB247" s="51"/>
      <c r="AC247" s="49"/>
      <c r="AD247" s="49"/>
      <c r="AE247" s="49"/>
      <c r="AF247" s="49"/>
      <c r="AG247" s="49"/>
      <c r="AH247" s="49"/>
      <c r="AI247" s="49"/>
      <c r="AJ247" s="49"/>
      <c r="AK247" s="49"/>
      <c r="AL247" s="49"/>
      <c r="AM247" s="49"/>
      <c r="AN247" s="49"/>
      <c r="AO247" s="49"/>
      <c r="AP247" s="49"/>
      <c r="AQ247" s="49"/>
      <c r="AR247" s="49"/>
      <c r="AS247" s="49"/>
      <c r="AT247" s="49"/>
      <c r="AU247" s="49"/>
      <c r="AV247" s="49"/>
      <c r="AW247" s="49"/>
      <c r="AX247" s="49"/>
      <c r="AY247" s="49"/>
      <c r="AZ247" s="49"/>
      <c r="BA247" s="49"/>
      <c r="BB247" s="49"/>
      <c r="BC247" s="49"/>
      <c r="BD247" s="49"/>
      <c r="BE247" s="49"/>
      <c r="BF247" s="49"/>
      <c r="BG247" s="49"/>
      <c r="BH247" s="49"/>
      <c r="BI247" s="49"/>
      <c r="BJ247" s="49"/>
      <c r="BK247" s="49"/>
      <c r="BL247" s="49"/>
      <c r="BM247" s="49"/>
      <c r="BN247" s="49"/>
      <c r="BO247" s="49"/>
      <c r="BP247" s="49"/>
      <c r="BQ247" s="49"/>
      <c r="BR247" s="49"/>
      <c r="BS247" s="49"/>
      <c r="BT247" s="49"/>
      <c r="BU247" s="49"/>
      <c r="BV247" s="49"/>
      <c r="BW247" s="49"/>
      <c r="BX247" s="49"/>
      <c r="BY247" s="49"/>
      <c r="BZ247" s="49"/>
      <c r="CA247" s="49"/>
      <c r="CB247" s="49"/>
      <c r="CC247" s="49"/>
      <c r="CD247" s="49"/>
      <c r="CE247" s="49"/>
      <c r="CF247" s="49"/>
      <c r="CG247" s="49"/>
      <c r="CH247" s="49"/>
      <c r="CI247" s="49"/>
      <c r="CJ247" s="49"/>
      <c r="CK247" s="49"/>
      <c r="CL247" s="49"/>
      <c r="CM247" s="49"/>
      <c r="CN247" s="49"/>
    </row>
    <row r="248" spans="3:92">
      <c r="C248" s="6"/>
      <c r="E248" s="49"/>
      <c r="F248" s="49"/>
      <c r="G248" s="49"/>
      <c r="H248" s="49"/>
      <c r="I248" s="49"/>
      <c r="J248" s="49"/>
      <c r="K248" s="49"/>
      <c r="L248" s="49"/>
      <c r="M248" s="49"/>
      <c r="N248" s="49"/>
      <c r="O248" s="49"/>
      <c r="P248" s="49"/>
      <c r="Q248" s="524"/>
      <c r="R248" s="49"/>
      <c r="S248" s="49"/>
      <c r="T248" s="49"/>
      <c r="U248" s="49"/>
      <c r="V248" s="49"/>
      <c r="W248" s="49"/>
      <c r="X248" s="49"/>
      <c r="Y248" s="49"/>
      <c r="Z248" s="49"/>
      <c r="AA248" s="49"/>
      <c r="AB248" s="51"/>
      <c r="AC248" s="49"/>
      <c r="AD248" s="49"/>
      <c r="AE248" s="49"/>
      <c r="AF248" s="49"/>
      <c r="AG248" s="49"/>
      <c r="AH248" s="49"/>
      <c r="AI248" s="49"/>
      <c r="AJ248" s="49"/>
      <c r="AK248" s="49"/>
      <c r="AL248" s="49"/>
      <c r="AM248" s="49"/>
      <c r="AN248" s="49"/>
      <c r="AO248" s="49"/>
      <c r="AP248" s="49"/>
      <c r="AQ248" s="49"/>
      <c r="AR248" s="49"/>
      <c r="AS248" s="49"/>
      <c r="AT248" s="49"/>
      <c r="AU248" s="49"/>
      <c r="AV248" s="49"/>
      <c r="AW248" s="49"/>
      <c r="AX248" s="49"/>
      <c r="AY248" s="49"/>
      <c r="AZ248" s="49"/>
      <c r="BA248" s="49"/>
      <c r="BB248" s="49"/>
      <c r="BC248" s="49"/>
      <c r="BD248" s="49"/>
      <c r="BE248" s="49"/>
      <c r="BF248" s="49"/>
      <c r="BG248" s="49"/>
      <c r="BH248" s="49"/>
      <c r="BI248" s="49"/>
      <c r="BJ248" s="49"/>
      <c r="BK248" s="49"/>
      <c r="BL248" s="49"/>
      <c r="BM248" s="49"/>
      <c r="BN248" s="49"/>
      <c r="BO248" s="49"/>
      <c r="BP248" s="49"/>
      <c r="BQ248" s="49"/>
      <c r="BR248" s="49"/>
      <c r="BS248" s="49"/>
      <c r="BT248" s="49"/>
      <c r="BU248" s="49"/>
      <c r="BV248" s="49"/>
      <c r="BW248" s="49"/>
      <c r="BX248" s="49"/>
      <c r="BY248" s="49"/>
      <c r="BZ248" s="49"/>
      <c r="CA248" s="49"/>
      <c r="CB248" s="49"/>
      <c r="CC248" s="49"/>
      <c r="CD248" s="49"/>
      <c r="CE248" s="49"/>
      <c r="CF248" s="49"/>
      <c r="CG248" s="49"/>
      <c r="CH248" s="49"/>
      <c r="CI248" s="49"/>
      <c r="CJ248" s="49"/>
      <c r="CK248" s="49"/>
      <c r="CL248" s="49"/>
      <c r="CM248" s="49"/>
      <c r="CN248" s="49"/>
    </row>
    <row r="249" spans="3:92">
      <c r="C249" s="6"/>
      <c r="E249" s="49"/>
      <c r="F249" s="49"/>
      <c r="G249" s="49"/>
      <c r="H249" s="49"/>
      <c r="I249" s="49"/>
      <c r="J249" s="49"/>
      <c r="K249" s="49"/>
      <c r="L249" s="49"/>
      <c r="M249" s="49"/>
      <c r="N249" s="49"/>
      <c r="O249" s="49"/>
      <c r="P249" s="49"/>
      <c r="Q249" s="524"/>
      <c r="R249" s="49"/>
      <c r="S249" s="49"/>
      <c r="T249" s="49"/>
      <c r="U249" s="49"/>
      <c r="V249" s="49"/>
      <c r="W249" s="49"/>
      <c r="X249" s="49"/>
      <c r="Y249" s="49"/>
      <c r="Z249" s="49"/>
      <c r="AA249" s="49"/>
      <c r="AB249" s="51"/>
      <c r="AC249" s="49"/>
      <c r="AD249" s="49"/>
      <c r="AE249" s="49"/>
      <c r="AF249" s="49"/>
      <c r="AG249" s="49"/>
      <c r="AH249" s="49"/>
      <c r="AI249" s="49"/>
      <c r="AJ249" s="49"/>
      <c r="AK249" s="49"/>
      <c r="AL249" s="49"/>
      <c r="AM249" s="49"/>
      <c r="AN249" s="49"/>
      <c r="AO249" s="49"/>
      <c r="AP249" s="49"/>
      <c r="AQ249" s="49"/>
      <c r="AR249" s="49"/>
      <c r="AS249" s="49"/>
      <c r="AT249" s="49"/>
      <c r="AU249" s="49"/>
      <c r="AV249" s="49"/>
      <c r="AW249" s="49"/>
      <c r="AX249" s="49"/>
      <c r="AY249" s="49"/>
      <c r="AZ249" s="49"/>
      <c r="BA249" s="49"/>
      <c r="BB249" s="49"/>
      <c r="BC249" s="49"/>
      <c r="BD249" s="49"/>
      <c r="BE249" s="49"/>
      <c r="BF249" s="49"/>
      <c r="BG249" s="49"/>
      <c r="BH249" s="49"/>
      <c r="BI249" s="49"/>
      <c r="BJ249" s="49"/>
      <c r="BK249" s="49"/>
      <c r="BL249" s="49"/>
      <c r="BM249" s="49"/>
      <c r="BN249" s="49"/>
      <c r="BO249" s="49"/>
      <c r="BP249" s="49"/>
      <c r="BQ249" s="49"/>
      <c r="BR249" s="49"/>
      <c r="BS249" s="49"/>
      <c r="BT249" s="49"/>
      <c r="BU249" s="49"/>
      <c r="BV249" s="49"/>
      <c r="BW249" s="49"/>
      <c r="BX249" s="49"/>
      <c r="BY249" s="49"/>
      <c r="BZ249" s="49"/>
      <c r="CA249" s="49"/>
      <c r="CB249" s="49"/>
      <c r="CC249" s="49"/>
      <c r="CD249" s="49"/>
      <c r="CE249" s="49"/>
      <c r="CF249" s="49"/>
      <c r="CG249" s="49"/>
      <c r="CH249" s="49"/>
      <c r="CI249" s="49"/>
      <c r="CJ249" s="49"/>
      <c r="CK249" s="49"/>
      <c r="CL249" s="49"/>
      <c r="CM249" s="49"/>
      <c r="CN249" s="49"/>
    </row>
    <row r="250" spans="3:92">
      <c r="C250" s="6"/>
      <c r="E250" s="49"/>
      <c r="F250" s="49"/>
      <c r="G250" s="49"/>
      <c r="H250" s="49"/>
      <c r="I250" s="49"/>
      <c r="J250" s="49"/>
      <c r="K250" s="49"/>
      <c r="L250" s="49"/>
      <c r="M250" s="49"/>
      <c r="N250" s="49"/>
      <c r="O250" s="49"/>
      <c r="P250" s="49"/>
      <c r="Q250" s="524"/>
      <c r="R250" s="49"/>
      <c r="S250" s="49"/>
      <c r="T250" s="49"/>
      <c r="U250" s="49"/>
      <c r="V250" s="49"/>
      <c r="W250" s="49"/>
      <c r="X250" s="49"/>
      <c r="Y250" s="49"/>
      <c r="Z250" s="49"/>
      <c r="AA250" s="49"/>
      <c r="AB250" s="51"/>
      <c r="AC250" s="49"/>
      <c r="AD250" s="49"/>
      <c r="AE250" s="49"/>
      <c r="AF250" s="49"/>
      <c r="AG250" s="49"/>
      <c r="AH250" s="49"/>
      <c r="AI250" s="49"/>
      <c r="AJ250" s="49"/>
      <c r="AK250" s="49"/>
      <c r="AL250" s="49"/>
      <c r="AM250" s="49"/>
      <c r="AN250" s="49"/>
      <c r="AO250" s="49"/>
      <c r="AP250" s="49"/>
      <c r="AQ250" s="49"/>
      <c r="AR250" s="49"/>
      <c r="AS250" s="49"/>
      <c r="AT250" s="49"/>
      <c r="AU250" s="49"/>
      <c r="AV250" s="49"/>
      <c r="AW250" s="49"/>
      <c r="AX250" s="49"/>
      <c r="AY250" s="49"/>
      <c r="AZ250" s="49"/>
      <c r="BA250" s="49"/>
      <c r="BB250" s="49"/>
      <c r="BC250" s="49"/>
      <c r="BD250" s="49"/>
      <c r="BE250" s="49"/>
      <c r="BF250" s="49"/>
      <c r="BG250" s="49"/>
      <c r="BH250" s="49"/>
      <c r="BI250" s="49"/>
      <c r="BJ250" s="49"/>
      <c r="BK250" s="49"/>
      <c r="BL250" s="49"/>
      <c r="BM250" s="49"/>
      <c r="BN250" s="49"/>
      <c r="BO250" s="49"/>
      <c r="BP250" s="49"/>
      <c r="BQ250" s="49"/>
      <c r="BR250" s="49"/>
      <c r="BS250" s="49"/>
      <c r="BT250" s="49"/>
      <c r="BU250" s="49"/>
      <c r="BV250" s="49"/>
      <c r="BW250" s="49"/>
      <c r="BX250" s="49"/>
      <c r="BY250" s="49"/>
      <c r="BZ250" s="49"/>
      <c r="CA250" s="49"/>
      <c r="CB250" s="49"/>
      <c r="CC250" s="49"/>
      <c r="CD250" s="49"/>
      <c r="CE250" s="49"/>
      <c r="CF250" s="49"/>
      <c r="CG250" s="49"/>
      <c r="CH250" s="49"/>
      <c r="CI250" s="49"/>
      <c r="CJ250" s="49"/>
      <c r="CK250" s="49"/>
      <c r="CL250" s="49"/>
      <c r="CM250" s="49"/>
      <c r="CN250" s="49"/>
    </row>
    <row r="251" spans="3:92">
      <c r="C251" s="6"/>
      <c r="E251" s="49"/>
      <c r="F251" s="49"/>
      <c r="G251" s="49"/>
      <c r="H251" s="49"/>
      <c r="I251" s="49"/>
      <c r="J251" s="49"/>
      <c r="K251" s="49"/>
      <c r="L251" s="49"/>
      <c r="M251" s="49"/>
      <c r="N251" s="49"/>
      <c r="O251" s="49"/>
      <c r="P251" s="49"/>
      <c r="Q251" s="524"/>
      <c r="R251" s="49"/>
      <c r="S251" s="49"/>
      <c r="T251" s="49"/>
      <c r="U251" s="49"/>
      <c r="V251" s="49"/>
      <c r="W251" s="49"/>
      <c r="X251" s="49"/>
      <c r="Y251" s="49"/>
      <c r="Z251" s="49"/>
      <c r="AA251" s="49"/>
      <c r="AB251" s="51"/>
      <c r="AC251" s="49"/>
      <c r="AD251" s="49"/>
      <c r="AE251" s="49"/>
      <c r="AF251" s="49"/>
      <c r="AG251" s="49"/>
      <c r="AH251" s="49"/>
      <c r="AI251" s="49"/>
      <c r="AJ251" s="49"/>
      <c r="AK251" s="49"/>
      <c r="AL251" s="49"/>
      <c r="AM251" s="49"/>
      <c r="AN251" s="49"/>
      <c r="AO251" s="49"/>
      <c r="AP251" s="49"/>
      <c r="AQ251" s="49"/>
      <c r="AR251" s="49"/>
      <c r="AS251" s="49"/>
      <c r="AT251" s="49"/>
      <c r="AU251" s="49"/>
      <c r="AV251" s="49"/>
      <c r="AW251" s="49"/>
      <c r="AX251" s="49"/>
      <c r="AY251" s="49"/>
      <c r="AZ251" s="49"/>
      <c r="BA251" s="49"/>
      <c r="BB251" s="49"/>
      <c r="BC251" s="49"/>
      <c r="BD251" s="49"/>
      <c r="BE251" s="49"/>
      <c r="BF251" s="49"/>
      <c r="BG251" s="49"/>
      <c r="BH251" s="49"/>
      <c r="BI251" s="49"/>
      <c r="BJ251" s="49"/>
      <c r="BK251" s="49"/>
      <c r="BL251" s="49"/>
      <c r="BM251" s="49"/>
      <c r="BN251" s="49"/>
      <c r="BO251" s="49"/>
      <c r="BP251" s="49"/>
      <c r="BQ251" s="49"/>
      <c r="BR251" s="49"/>
      <c r="BS251" s="49"/>
      <c r="BT251" s="49"/>
      <c r="BU251" s="49"/>
      <c r="BV251" s="49"/>
      <c r="BW251" s="49"/>
      <c r="BX251" s="49"/>
      <c r="BY251" s="49"/>
      <c r="BZ251" s="49"/>
      <c r="CA251" s="49"/>
      <c r="CB251" s="49"/>
      <c r="CC251" s="49"/>
      <c r="CD251" s="49"/>
      <c r="CE251" s="49"/>
      <c r="CF251" s="49"/>
      <c r="CG251" s="49"/>
      <c r="CH251" s="49"/>
      <c r="CI251" s="49"/>
      <c r="CJ251" s="49"/>
      <c r="CK251" s="49"/>
      <c r="CL251" s="49"/>
      <c r="CM251" s="49"/>
      <c r="CN251" s="49"/>
    </row>
    <row r="252" spans="3:92">
      <c r="C252" s="6"/>
      <c r="E252" s="49"/>
      <c r="F252" s="49"/>
      <c r="G252" s="49"/>
      <c r="H252" s="49"/>
      <c r="I252" s="49"/>
      <c r="J252" s="49"/>
      <c r="K252" s="49"/>
      <c r="L252" s="49"/>
      <c r="M252" s="49"/>
      <c r="N252" s="49"/>
      <c r="O252" s="49"/>
      <c r="P252" s="49"/>
      <c r="Q252" s="524"/>
      <c r="R252" s="49"/>
      <c r="S252" s="49"/>
      <c r="T252" s="49"/>
      <c r="U252" s="49"/>
      <c r="V252" s="49"/>
      <c r="W252" s="49"/>
      <c r="X252" s="49"/>
      <c r="Y252" s="49"/>
      <c r="Z252" s="49"/>
      <c r="AA252" s="49"/>
      <c r="AB252" s="51"/>
      <c r="AC252" s="49"/>
      <c r="AD252" s="49"/>
      <c r="AE252" s="49"/>
      <c r="AF252" s="49"/>
      <c r="AG252" s="49"/>
      <c r="AH252" s="49"/>
      <c r="AI252" s="49"/>
      <c r="AJ252" s="49"/>
      <c r="AK252" s="49"/>
      <c r="AL252" s="49"/>
      <c r="AM252" s="49"/>
      <c r="AN252" s="49"/>
      <c r="AO252" s="49"/>
      <c r="AP252" s="49"/>
      <c r="AQ252" s="49"/>
      <c r="AR252" s="49"/>
      <c r="AS252" s="49"/>
      <c r="AT252" s="49"/>
      <c r="AU252" s="49"/>
      <c r="AV252" s="49"/>
      <c r="AW252" s="49"/>
      <c r="AX252" s="49"/>
      <c r="AY252" s="49"/>
      <c r="AZ252" s="49"/>
      <c r="BA252" s="49"/>
      <c r="BB252" s="49"/>
      <c r="BC252" s="49"/>
      <c r="BD252" s="49"/>
      <c r="BE252" s="49"/>
      <c r="BF252" s="49"/>
      <c r="BG252" s="49"/>
      <c r="BH252" s="49"/>
      <c r="BI252" s="49"/>
      <c r="BJ252" s="49"/>
      <c r="BK252" s="49"/>
      <c r="BL252" s="49"/>
      <c r="BM252" s="49"/>
      <c r="BN252" s="49"/>
      <c r="BO252" s="49"/>
      <c r="BP252" s="49"/>
      <c r="BQ252" s="49"/>
      <c r="BR252" s="49"/>
      <c r="BS252" s="49"/>
      <c r="BT252" s="49"/>
      <c r="BU252" s="49"/>
      <c r="BV252" s="49"/>
      <c r="BW252" s="49"/>
      <c r="BX252" s="49"/>
      <c r="BY252" s="49"/>
      <c r="BZ252" s="49"/>
      <c r="CA252" s="49"/>
      <c r="CB252" s="49"/>
      <c r="CC252" s="49"/>
      <c r="CD252" s="49"/>
      <c r="CE252" s="49"/>
      <c r="CF252" s="49"/>
      <c r="CG252" s="49"/>
      <c r="CH252" s="49"/>
      <c r="CI252" s="49"/>
      <c r="CJ252" s="49"/>
      <c r="CK252" s="49"/>
      <c r="CL252" s="49"/>
      <c r="CM252" s="49"/>
      <c r="CN252" s="49"/>
    </row>
    <row r="253" spans="3:92">
      <c r="C253" s="6"/>
      <c r="E253" s="49"/>
      <c r="F253" s="49"/>
      <c r="G253" s="49"/>
      <c r="H253" s="49"/>
      <c r="I253" s="49"/>
      <c r="J253" s="49"/>
      <c r="K253" s="49"/>
      <c r="L253" s="49"/>
      <c r="M253" s="49"/>
      <c r="N253" s="49"/>
      <c r="O253" s="49"/>
      <c r="P253" s="49"/>
      <c r="Q253" s="524"/>
      <c r="R253" s="49"/>
      <c r="S253" s="49"/>
      <c r="T253" s="49"/>
      <c r="U253" s="49"/>
      <c r="V253" s="49"/>
      <c r="W253" s="49"/>
      <c r="X253" s="49"/>
      <c r="Y253" s="49"/>
      <c r="Z253" s="49"/>
      <c r="AA253" s="49"/>
      <c r="AB253" s="51"/>
      <c r="AC253" s="49"/>
      <c r="AD253" s="49"/>
      <c r="AE253" s="49"/>
      <c r="AF253" s="49"/>
      <c r="AG253" s="49"/>
      <c r="AH253" s="49"/>
      <c r="AI253" s="49"/>
      <c r="AJ253" s="49"/>
      <c r="AK253" s="49"/>
      <c r="AL253" s="49"/>
      <c r="AM253" s="49"/>
      <c r="AN253" s="49"/>
      <c r="AO253" s="49"/>
      <c r="AP253" s="49"/>
      <c r="AQ253" s="49"/>
      <c r="AR253" s="49"/>
      <c r="AS253" s="49"/>
      <c r="AT253" s="49"/>
      <c r="AU253" s="49"/>
      <c r="AV253" s="49"/>
      <c r="AW253" s="49"/>
      <c r="AX253" s="49"/>
      <c r="AY253" s="49"/>
      <c r="AZ253" s="49"/>
      <c r="BA253" s="49"/>
      <c r="BB253" s="49"/>
      <c r="BC253" s="49"/>
      <c r="BD253" s="49"/>
      <c r="BE253" s="49"/>
      <c r="BF253" s="49"/>
      <c r="BG253" s="49"/>
      <c r="BH253" s="49"/>
      <c r="BI253" s="49"/>
      <c r="BJ253" s="49"/>
      <c r="BK253" s="49"/>
      <c r="BL253" s="49"/>
      <c r="BM253" s="49"/>
      <c r="BN253" s="49"/>
      <c r="BO253" s="49"/>
      <c r="BP253" s="49"/>
      <c r="BQ253" s="49"/>
      <c r="BR253" s="49"/>
      <c r="BS253" s="49"/>
      <c r="BT253" s="49"/>
      <c r="BU253" s="49"/>
      <c r="BV253" s="49"/>
      <c r="BW253" s="49"/>
      <c r="BX253" s="49"/>
      <c r="BY253" s="49"/>
      <c r="BZ253" s="49"/>
      <c r="CA253" s="49"/>
      <c r="CB253" s="49"/>
      <c r="CC253" s="49"/>
      <c r="CD253" s="49"/>
      <c r="CE253" s="49"/>
      <c r="CF253" s="49"/>
      <c r="CG253" s="49"/>
      <c r="CH253" s="49"/>
      <c r="CI253" s="49"/>
      <c r="CJ253" s="49"/>
      <c r="CK253" s="49"/>
      <c r="CL253" s="49"/>
      <c r="CM253" s="49"/>
      <c r="CN253" s="49"/>
    </row>
    <row r="254" spans="3:92">
      <c r="C254" s="6"/>
      <c r="E254" s="49"/>
      <c r="F254" s="49"/>
      <c r="G254" s="49"/>
      <c r="H254" s="49"/>
      <c r="I254" s="49"/>
      <c r="J254" s="49"/>
      <c r="K254" s="49"/>
      <c r="L254" s="49"/>
      <c r="M254" s="49"/>
      <c r="N254" s="49"/>
      <c r="O254" s="49"/>
      <c r="P254" s="49"/>
      <c r="Q254" s="524"/>
      <c r="R254" s="49"/>
      <c r="S254" s="49"/>
      <c r="T254" s="49"/>
      <c r="U254" s="49"/>
      <c r="V254" s="49"/>
      <c r="W254" s="49"/>
      <c r="X254" s="49"/>
      <c r="Y254" s="49"/>
      <c r="Z254" s="49"/>
      <c r="AA254" s="49"/>
      <c r="AB254" s="51"/>
      <c r="AC254" s="49"/>
      <c r="AD254" s="49"/>
      <c r="AE254" s="49"/>
      <c r="AF254" s="49"/>
      <c r="AG254" s="49"/>
      <c r="AH254" s="49"/>
      <c r="AI254" s="49"/>
      <c r="AJ254" s="49"/>
      <c r="AK254" s="49"/>
      <c r="AL254" s="49"/>
      <c r="AM254" s="49"/>
      <c r="AN254" s="49"/>
      <c r="AO254" s="49"/>
      <c r="AP254" s="49"/>
      <c r="AQ254" s="49"/>
      <c r="AR254" s="49"/>
      <c r="AS254" s="49"/>
      <c r="AT254" s="49"/>
      <c r="AU254" s="49"/>
      <c r="AV254" s="49"/>
      <c r="AW254" s="49"/>
      <c r="AX254" s="49"/>
      <c r="AY254" s="49"/>
      <c r="AZ254" s="49"/>
      <c r="BA254" s="49"/>
      <c r="BB254" s="49"/>
      <c r="BC254" s="49"/>
      <c r="BD254" s="49"/>
      <c r="BE254" s="49"/>
      <c r="BF254" s="49"/>
      <c r="BG254" s="49"/>
      <c r="BH254" s="49"/>
      <c r="BI254" s="49"/>
      <c r="BJ254" s="49"/>
      <c r="BK254" s="49"/>
      <c r="BL254" s="49"/>
      <c r="BM254" s="49"/>
      <c r="BN254" s="49"/>
      <c r="BO254" s="49"/>
      <c r="BP254" s="49"/>
      <c r="BQ254" s="49"/>
      <c r="BR254" s="49"/>
      <c r="BS254" s="49"/>
      <c r="BT254" s="49"/>
      <c r="BU254" s="49"/>
      <c r="BV254" s="49"/>
      <c r="BW254" s="49"/>
      <c r="BX254" s="49"/>
      <c r="BY254" s="49"/>
      <c r="BZ254" s="49"/>
      <c r="CA254" s="49"/>
      <c r="CB254" s="49"/>
      <c r="CC254" s="49"/>
      <c r="CD254" s="49"/>
      <c r="CE254" s="49"/>
      <c r="CF254" s="49"/>
      <c r="CG254" s="49"/>
      <c r="CH254" s="49"/>
      <c r="CI254" s="49"/>
      <c r="CJ254" s="49"/>
      <c r="CK254" s="49"/>
      <c r="CL254" s="49"/>
      <c r="CM254" s="49"/>
      <c r="CN254" s="49"/>
    </row>
    <row r="255" spans="3:92">
      <c r="C255" s="6"/>
      <c r="E255" s="49"/>
      <c r="F255" s="49"/>
      <c r="G255" s="49"/>
      <c r="H255" s="49"/>
      <c r="I255" s="49"/>
      <c r="J255" s="49"/>
      <c r="K255" s="49"/>
      <c r="L255" s="49"/>
      <c r="M255" s="49"/>
      <c r="N255" s="49"/>
      <c r="O255" s="49"/>
      <c r="P255" s="49"/>
      <c r="Q255" s="524"/>
      <c r="R255" s="49"/>
      <c r="S255" s="49"/>
      <c r="T255" s="49"/>
      <c r="U255" s="49"/>
      <c r="V255" s="49"/>
      <c r="W255" s="49"/>
      <c r="X255" s="49"/>
      <c r="Y255" s="49"/>
      <c r="Z255" s="49"/>
      <c r="AA255" s="49"/>
      <c r="AB255" s="51"/>
      <c r="AC255" s="49"/>
      <c r="AD255" s="49"/>
      <c r="AE255" s="49"/>
      <c r="AF255" s="49"/>
      <c r="AG255" s="49"/>
      <c r="AH255" s="49"/>
      <c r="AI255" s="49"/>
      <c r="AJ255" s="49"/>
      <c r="AK255" s="49"/>
      <c r="AL255" s="49"/>
      <c r="AM255" s="49"/>
      <c r="AN255" s="49"/>
      <c r="AO255" s="49"/>
      <c r="AP255" s="49"/>
      <c r="AQ255" s="49"/>
      <c r="AR255" s="49"/>
      <c r="AS255" s="49"/>
      <c r="AT255" s="49"/>
      <c r="AU255" s="49"/>
      <c r="AV255" s="49"/>
      <c r="AW255" s="49"/>
      <c r="AX255" s="49"/>
      <c r="AY255" s="49"/>
      <c r="AZ255" s="49"/>
      <c r="BA255" s="49"/>
      <c r="BB255" s="49"/>
      <c r="BC255" s="49"/>
      <c r="BD255" s="49"/>
      <c r="BE255" s="49"/>
      <c r="BF255" s="49"/>
      <c r="BG255" s="49"/>
      <c r="BH255" s="49"/>
      <c r="BI255" s="49"/>
      <c r="BJ255" s="49"/>
      <c r="BK255" s="49"/>
      <c r="BL255" s="49"/>
      <c r="BM255" s="49"/>
      <c r="BN255" s="49"/>
      <c r="BO255" s="49"/>
      <c r="BP255" s="49"/>
      <c r="BQ255" s="49"/>
      <c r="BR255" s="49"/>
      <c r="BS255" s="49"/>
      <c r="BT255" s="49"/>
      <c r="BU255" s="49"/>
      <c r="BV255" s="49"/>
      <c r="BW255" s="49"/>
      <c r="BX255" s="49"/>
      <c r="BY255" s="49"/>
      <c r="BZ255" s="49"/>
      <c r="CA255" s="49"/>
      <c r="CB255" s="49"/>
      <c r="CC255" s="49"/>
      <c r="CD255" s="49"/>
      <c r="CE255" s="49"/>
      <c r="CF255" s="49"/>
      <c r="CG255" s="49"/>
      <c r="CH255" s="49"/>
      <c r="CI255" s="49"/>
      <c r="CJ255" s="49"/>
      <c r="CK255" s="49"/>
      <c r="CL255" s="49"/>
      <c r="CM255" s="49"/>
      <c r="CN255" s="49"/>
    </row>
    <row r="256" spans="3:92">
      <c r="C256" s="6"/>
      <c r="E256" s="49"/>
      <c r="F256" s="49"/>
      <c r="G256" s="49"/>
      <c r="H256" s="49"/>
      <c r="I256" s="49"/>
      <c r="J256" s="49"/>
      <c r="K256" s="49"/>
      <c r="L256" s="49"/>
      <c r="M256" s="49"/>
      <c r="N256" s="49"/>
      <c r="O256" s="49"/>
      <c r="P256" s="49"/>
      <c r="Q256" s="524"/>
      <c r="R256" s="49"/>
      <c r="S256" s="49"/>
      <c r="T256" s="49"/>
      <c r="U256" s="49"/>
      <c r="V256" s="49"/>
      <c r="W256" s="49"/>
      <c r="X256" s="49"/>
      <c r="Y256" s="49"/>
      <c r="Z256" s="49"/>
      <c r="AA256" s="49"/>
      <c r="AB256" s="51"/>
      <c r="AC256" s="49"/>
      <c r="AD256" s="49"/>
      <c r="AE256" s="49"/>
      <c r="AF256" s="49"/>
      <c r="AG256" s="49"/>
      <c r="AH256" s="49"/>
      <c r="AI256" s="49"/>
      <c r="AJ256" s="49"/>
      <c r="AK256" s="49"/>
      <c r="AL256" s="49"/>
      <c r="AM256" s="49"/>
      <c r="AN256" s="49"/>
      <c r="AO256" s="49"/>
      <c r="AP256" s="49"/>
      <c r="AQ256" s="49"/>
      <c r="AR256" s="49"/>
      <c r="AS256" s="49"/>
      <c r="AT256" s="49"/>
      <c r="AU256" s="49"/>
      <c r="AV256" s="49"/>
      <c r="AW256" s="49"/>
      <c r="AX256" s="49"/>
      <c r="AY256" s="49"/>
      <c r="AZ256" s="49"/>
      <c r="BA256" s="49"/>
      <c r="BB256" s="49"/>
      <c r="BC256" s="49"/>
      <c r="BD256" s="49"/>
      <c r="BE256" s="49"/>
      <c r="BF256" s="49"/>
      <c r="BG256" s="49"/>
      <c r="BH256" s="49"/>
      <c r="BI256" s="49"/>
      <c r="BJ256" s="49"/>
      <c r="BK256" s="49"/>
      <c r="BL256" s="49"/>
      <c r="BM256" s="49"/>
      <c r="BN256" s="49"/>
      <c r="BO256" s="49"/>
      <c r="BP256" s="49"/>
      <c r="BQ256" s="49"/>
      <c r="BR256" s="49"/>
      <c r="BS256" s="49"/>
      <c r="BT256" s="49"/>
      <c r="BU256" s="49"/>
      <c r="BV256" s="49"/>
      <c r="BW256" s="49"/>
      <c r="BX256" s="49"/>
      <c r="BY256" s="49"/>
      <c r="BZ256" s="49"/>
      <c r="CA256" s="49"/>
      <c r="CB256" s="49"/>
      <c r="CC256" s="49"/>
      <c r="CD256" s="49"/>
      <c r="CE256" s="49"/>
      <c r="CF256" s="49"/>
      <c r="CG256" s="49"/>
      <c r="CH256" s="49"/>
      <c r="CI256" s="49"/>
      <c r="CJ256" s="49"/>
      <c r="CK256" s="49"/>
      <c r="CL256" s="49"/>
      <c r="CM256" s="49"/>
      <c r="CN256" s="49"/>
    </row>
    <row r="257" spans="3:92">
      <c r="C257" s="6"/>
      <c r="E257" s="49"/>
      <c r="F257" s="49"/>
      <c r="G257" s="49"/>
      <c r="H257" s="49"/>
      <c r="I257" s="49"/>
      <c r="J257" s="49"/>
      <c r="K257" s="49"/>
      <c r="L257" s="49"/>
      <c r="M257" s="49"/>
      <c r="N257" s="49"/>
      <c r="O257" s="49"/>
      <c r="P257" s="49"/>
      <c r="Q257" s="524"/>
      <c r="R257" s="49"/>
      <c r="S257" s="49"/>
      <c r="T257" s="49"/>
      <c r="U257" s="49"/>
      <c r="V257" s="49"/>
      <c r="W257" s="49"/>
      <c r="X257" s="49"/>
      <c r="Y257" s="49"/>
      <c r="Z257" s="49"/>
      <c r="AA257" s="49"/>
      <c r="AB257" s="51"/>
      <c r="AC257" s="49"/>
      <c r="AD257" s="49"/>
      <c r="AE257" s="49"/>
      <c r="AF257" s="49"/>
      <c r="AG257" s="49"/>
      <c r="AH257" s="49"/>
      <c r="AI257" s="49"/>
      <c r="AJ257" s="49"/>
      <c r="AK257" s="49"/>
      <c r="AL257" s="49"/>
      <c r="AM257" s="49"/>
      <c r="AN257" s="49"/>
      <c r="AO257" s="49"/>
      <c r="AP257" s="49"/>
      <c r="AQ257" s="49"/>
      <c r="AR257" s="49"/>
      <c r="AS257" s="49"/>
      <c r="AT257" s="49"/>
      <c r="AU257" s="49"/>
      <c r="AV257" s="49"/>
      <c r="AW257" s="49"/>
      <c r="AX257" s="49"/>
      <c r="AY257" s="49"/>
      <c r="AZ257" s="49"/>
      <c r="BA257" s="49"/>
      <c r="BB257" s="49"/>
      <c r="BC257" s="49"/>
      <c r="BD257" s="49"/>
      <c r="BE257" s="49"/>
      <c r="BF257" s="49"/>
      <c r="BG257" s="49"/>
      <c r="BH257" s="49"/>
      <c r="BI257" s="49"/>
      <c r="BJ257" s="49"/>
      <c r="BK257" s="49"/>
      <c r="BL257" s="49"/>
      <c r="BM257" s="49"/>
      <c r="BN257" s="49"/>
      <c r="BO257" s="49"/>
      <c r="BP257" s="49"/>
      <c r="BQ257" s="49"/>
      <c r="BR257" s="49"/>
      <c r="BS257" s="49"/>
      <c r="BT257" s="49"/>
      <c r="BU257" s="49"/>
      <c r="BV257" s="49"/>
      <c r="BW257" s="49"/>
      <c r="BX257" s="49"/>
      <c r="BY257" s="49"/>
      <c r="BZ257" s="49"/>
      <c r="CA257" s="49"/>
      <c r="CB257" s="49"/>
      <c r="CC257" s="49"/>
      <c r="CD257" s="49"/>
      <c r="CE257" s="49"/>
      <c r="CF257" s="49"/>
      <c r="CG257" s="49"/>
      <c r="CH257" s="49"/>
      <c r="CI257" s="49"/>
      <c r="CJ257" s="49"/>
      <c r="CK257" s="49"/>
      <c r="CL257" s="49"/>
      <c r="CM257" s="49"/>
      <c r="CN257" s="49"/>
    </row>
    <row r="258" spans="3:92">
      <c r="C258" s="6"/>
      <c r="E258" s="49"/>
      <c r="F258" s="49"/>
      <c r="G258" s="49"/>
      <c r="H258" s="49"/>
      <c r="I258" s="49"/>
      <c r="J258" s="49"/>
      <c r="K258" s="49"/>
      <c r="L258" s="49"/>
      <c r="M258" s="49"/>
      <c r="N258" s="49"/>
      <c r="O258" s="49"/>
      <c r="P258" s="49"/>
      <c r="Q258" s="524"/>
      <c r="R258" s="49"/>
      <c r="S258" s="49"/>
      <c r="T258" s="49"/>
      <c r="U258" s="49"/>
      <c r="V258" s="49"/>
      <c r="W258" s="49"/>
      <c r="X258" s="49"/>
      <c r="Y258" s="49"/>
      <c r="Z258" s="49"/>
      <c r="AA258" s="49"/>
      <c r="AB258" s="51"/>
      <c r="AC258" s="49"/>
      <c r="AD258" s="49"/>
      <c r="AE258" s="49"/>
      <c r="AF258" s="49"/>
      <c r="AG258" s="49"/>
      <c r="AH258" s="49"/>
      <c r="AI258" s="49"/>
      <c r="AJ258" s="49"/>
      <c r="AK258" s="49"/>
      <c r="AL258" s="49"/>
      <c r="AM258" s="49"/>
      <c r="AN258" s="49"/>
      <c r="AO258" s="49"/>
      <c r="AP258" s="49"/>
      <c r="AQ258" s="49"/>
      <c r="AR258" s="49"/>
      <c r="AS258" s="49"/>
      <c r="AT258" s="49"/>
      <c r="AU258" s="49"/>
      <c r="AV258" s="49"/>
      <c r="AW258" s="49"/>
      <c r="AX258" s="49"/>
      <c r="AY258" s="49"/>
      <c r="AZ258" s="49"/>
      <c r="BA258" s="49"/>
      <c r="BB258" s="49"/>
      <c r="BC258" s="49"/>
      <c r="BD258" s="49"/>
      <c r="BE258" s="49"/>
      <c r="BF258" s="49"/>
      <c r="BG258" s="49"/>
      <c r="BH258" s="49"/>
      <c r="BI258" s="49"/>
      <c r="BJ258" s="49"/>
      <c r="BK258" s="49"/>
      <c r="BL258" s="49"/>
      <c r="BM258" s="49"/>
      <c r="BN258" s="49"/>
      <c r="BO258" s="49"/>
      <c r="BP258" s="49"/>
      <c r="BQ258" s="49"/>
      <c r="BR258" s="49"/>
      <c r="BS258" s="49"/>
      <c r="BT258" s="49"/>
      <c r="BU258" s="49"/>
      <c r="BV258" s="49"/>
      <c r="BW258" s="49"/>
      <c r="BX258" s="49"/>
      <c r="BY258" s="49"/>
      <c r="BZ258" s="49"/>
      <c r="CA258" s="49"/>
      <c r="CB258" s="49"/>
      <c r="CC258" s="49"/>
      <c r="CD258" s="49"/>
      <c r="CE258" s="49"/>
      <c r="CF258" s="49"/>
      <c r="CG258" s="49"/>
      <c r="CH258" s="49"/>
      <c r="CI258" s="49"/>
      <c r="CJ258" s="49"/>
      <c r="CK258" s="49"/>
      <c r="CL258" s="49"/>
      <c r="CM258" s="49"/>
      <c r="CN258" s="49"/>
    </row>
    <row r="259" spans="3:92">
      <c r="C259" s="6"/>
      <c r="E259" s="49"/>
      <c r="F259" s="49"/>
      <c r="G259" s="49"/>
      <c r="H259" s="49"/>
      <c r="I259" s="49"/>
      <c r="J259" s="49"/>
      <c r="K259" s="49"/>
      <c r="L259" s="49"/>
      <c r="M259" s="49"/>
      <c r="N259" s="49"/>
      <c r="O259" s="49"/>
      <c r="P259" s="49"/>
      <c r="Q259" s="524"/>
      <c r="R259" s="49"/>
      <c r="S259" s="49"/>
      <c r="T259" s="49"/>
      <c r="U259" s="49"/>
      <c r="V259" s="49"/>
      <c r="W259" s="49"/>
      <c r="X259" s="49"/>
      <c r="Y259" s="49"/>
      <c r="Z259" s="49"/>
      <c r="AA259" s="49"/>
      <c r="AB259" s="51"/>
      <c r="AC259" s="49"/>
      <c r="AD259" s="49"/>
      <c r="AE259" s="49"/>
      <c r="AF259" s="49"/>
      <c r="AG259" s="49"/>
      <c r="AH259" s="49"/>
      <c r="AI259" s="49"/>
      <c r="AJ259" s="49"/>
      <c r="AK259" s="49"/>
      <c r="AL259" s="49"/>
      <c r="AM259" s="49"/>
      <c r="AN259" s="49"/>
      <c r="AO259" s="49"/>
      <c r="AP259" s="49"/>
      <c r="AQ259" s="49"/>
      <c r="AR259" s="49"/>
      <c r="AS259" s="49"/>
      <c r="AT259" s="49"/>
      <c r="AU259" s="49"/>
      <c r="AV259" s="49"/>
      <c r="AW259" s="49"/>
      <c r="AX259" s="49"/>
      <c r="AY259" s="49"/>
      <c r="AZ259" s="49"/>
      <c r="BA259" s="49"/>
      <c r="BB259" s="49"/>
      <c r="BC259" s="49"/>
      <c r="BD259" s="49"/>
      <c r="BE259" s="49"/>
      <c r="BF259" s="49"/>
      <c r="BG259" s="49"/>
      <c r="BH259" s="49"/>
      <c r="BI259" s="49"/>
      <c r="BJ259" s="49"/>
      <c r="BK259" s="49"/>
      <c r="BL259" s="49"/>
      <c r="BM259" s="49"/>
      <c r="BN259" s="49"/>
      <c r="BO259" s="49"/>
      <c r="BP259" s="49"/>
      <c r="BQ259" s="49"/>
      <c r="BR259" s="49"/>
      <c r="BS259" s="49"/>
      <c r="BT259" s="49"/>
      <c r="BU259" s="49"/>
      <c r="BV259" s="49"/>
      <c r="BW259" s="49"/>
      <c r="BX259" s="49"/>
      <c r="BY259" s="49"/>
      <c r="BZ259" s="49"/>
      <c r="CA259" s="49"/>
      <c r="CB259" s="49"/>
      <c r="CC259" s="49"/>
      <c r="CD259" s="49"/>
      <c r="CE259" s="49"/>
      <c r="CF259" s="49"/>
      <c r="CG259" s="49"/>
      <c r="CH259" s="49"/>
      <c r="CI259" s="49"/>
      <c r="CJ259" s="49"/>
      <c r="CK259" s="49"/>
      <c r="CL259" s="49"/>
      <c r="CM259" s="49"/>
      <c r="CN259" s="49"/>
    </row>
    <row r="260" spans="3:92">
      <c r="C260" s="6"/>
      <c r="E260" s="49"/>
      <c r="F260" s="49"/>
      <c r="G260" s="49"/>
      <c r="H260" s="49"/>
      <c r="I260" s="49"/>
      <c r="J260" s="49"/>
      <c r="K260" s="49"/>
      <c r="L260" s="49"/>
      <c r="M260" s="49"/>
      <c r="N260" s="49"/>
      <c r="O260" s="49"/>
      <c r="P260" s="49"/>
      <c r="Q260" s="524"/>
      <c r="R260" s="49"/>
      <c r="S260" s="49"/>
      <c r="T260" s="49"/>
      <c r="U260" s="49"/>
      <c r="V260" s="49"/>
      <c r="W260" s="49"/>
      <c r="X260" s="49"/>
      <c r="Y260" s="49"/>
      <c r="Z260" s="49"/>
      <c r="AA260" s="49"/>
      <c r="AB260" s="51"/>
      <c r="AC260" s="49"/>
      <c r="AD260" s="49"/>
      <c r="AE260" s="49"/>
      <c r="AF260" s="49"/>
      <c r="AG260" s="49"/>
      <c r="AH260" s="49"/>
      <c r="AI260" s="49"/>
      <c r="AJ260" s="49"/>
      <c r="AK260" s="49"/>
      <c r="AL260" s="49"/>
      <c r="AM260" s="49"/>
      <c r="AN260" s="49"/>
      <c r="AO260" s="49"/>
      <c r="AP260" s="49"/>
      <c r="AQ260" s="49"/>
      <c r="AR260" s="49"/>
      <c r="AS260" s="49"/>
      <c r="AT260" s="49"/>
      <c r="AU260" s="49"/>
      <c r="AV260" s="49"/>
      <c r="AW260" s="49"/>
      <c r="AX260" s="49"/>
      <c r="AY260" s="49"/>
      <c r="AZ260" s="49"/>
      <c r="BA260" s="49"/>
      <c r="BB260" s="49"/>
      <c r="BC260" s="49"/>
      <c r="BD260" s="49"/>
      <c r="BE260" s="49"/>
      <c r="BF260" s="49"/>
      <c r="BG260" s="49"/>
      <c r="BH260" s="49"/>
      <c r="BI260" s="49"/>
      <c r="BJ260" s="49"/>
      <c r="BK260" s="49"/>
      <c r="BL260" s="49"/>
      <c r="BM260" s="49"/>
      <c r="BN260" s="49"/>
      <c r="BO260" s="49"/>
      <c r="BP260" s="49"/>
      <c r="BQ260" s="49"/>
      <c r="BR260" s="49"/>
      <c r="BS260" s="49"/>
      <c r="BT260" s="49"/>
      <c r="BU260" s="49"/>
      <c r="BV260" s="49"/>
      <c r="BW260" s="49"/>
      <c r="BX260" s="49"/>
      <c r="BY260" s="49"/>
      <c r="BZ260" s="49"/>
      <c r="CA260" s="49"/>
      <c r="CB260" s="49"/>
      <c r="CC260" s="49"/>
      <c r="CD260" s="49"/>
      <c r="CE260" s="49"/>
      <c r="CF260" s="49"/>
      <c r="CG260" s="49"/>
      <c r="CH260" s="49"/>
      <c r="CI260" s="49"/>
      <c r="CJ260" s="49"/>
      <c r="CK260" s="49"/>
      <c r="CL260" s="49"/>
      <c r="CM260" s="49"/>
      <c r="CN260" s="49"/>
    </row>
    <row r="261" spans="3:92">
      <c r="C261" s="6"/>
      <c r="E261" s="49"/>
      <c r="F261" s="49"/>
      <c r="G261" s="49"/>
      <c r="H261" s="49"/>
      <c r="I261" s="49"/>
      <c r="J261" s="49"/>
      <c r="K261" s="49"/>
      <c r="L261" s="49"/>
      <c r="M261" s="49"/>
      <c r="N261" s="49"/>
      <c r="O261" s="49"/>
      <c r="P261" s="49"/>
      <c r="Q261" s="524"/>
      <c r="R261" s="49"/>
      <c r="S261" s="49"/>
      <c r="T261" s="49"/>
      <c r="U261" s="49"/>
      <c r="V261" s="49"/>
      <c r="W261" s="49"/>
      <c r="X261" s="49"/>
      <c r="Y261" s="49"/>
      <c r="Z261" s="49"/>
      <c r="AA261" s="49"/>
      <c r="AB261" s="51"/>
      <c r="AC261" s="49"/>
      <c r="AD261" s="49"/>
      <c r="AE261" s="49"/>
      <c r="AF261" s="49"/>
      <c r="AG261" s="49"/>
      <c r="AH261" s="49"/>
      <c r="AI261" s="49"/>
      <c r="AJ261" s="49"/>
      <c r="AK261" s="49"/>
      <c r="AL261" s="49"/>
      <c r="AM261" s="49"/>
      <c r="AN261" s="49"/>
      <c r="AO261" s="49"/>
      <c r="AP261" s="49"/>
      <c r="AQ261" s="49"/>
      <c r="AR261" s="49"/>
      <c r="AS261" s="49"/>
      <c r="AT261" s="49"/>
      <c r="AU261" s="49"/>
      <c r="AV261" s="49"/>
      <c r="AW261" s="49"/>
      <c r="AX261" s="49"/>
      <c r="AY261" s="49"/>
      <c r="AZ261" s="49"/>
      <c r="BA261" s="49"/>
      <c r="BB261" s="49"/>
      <c r="BC261" s="49"/>
      <c r="BD261" s="49"/>
      <c r="BE261" s="49"/>
      <c r="BF261" s="49"/>
      <c r="BG261" s="49"/>
      <c r="BH261" s="49"/>
      <c r="BI261" s="49"/>
      <c r="BJ261" s="49"/>
      <c r="BK261" s="49"/>
      <c r="BL261" s="49"/>
      <c r="BM261" s="49"/>
      <c r="BN261" s="49"/>
      <c r="BO261" s="49"/>
      <c r="BP261" s="49"/>
      <c r="BQ261" s="49"/>
      <c r="BR261" s="49"/>
      <c r="BS261" s="49"/>
      <c r="BT261" s="49"/>
      <c r="BU261" s="49"/>
      <c r="BV261" s="49"/>
      <c r="BW261" s="49"/>
      <c r="BX261" s="49"/>
      <c r="BY261" s="49"/>
      <c r="BZ261" s="49"/>
      <c r="CA261" s="49"/>
      <c r="CB261" s="49"/>
      <c r="CC261" s="49"/>
      <c r="CD261" s="49"/>
      <c r="CE261" s="49"/>
      <c r="CF261" s="49"/>
      <c r="CG261" s="49"/>
      <c r="CH261" s="49"/>
      <c r="CI261" s="49"/>
      <c r="CJ261" s="49"/>
      <c r="CK261" s="49"/>
      <c r="CL261" s="49"/>
      <c r="CM261" s="49"/>
      <c r="CN261" s="49"/>
    </row>
    <row r="262" spans="3:92">
      <c r="C262" s="6"/>
      <c r="E262" s="49"/>
      <c r="F262" s="49"/>
      <c r="G262" s="49"/>
      <c r="H262" s="49"/>
      <c r="I262" s="49"/>
      <c r="J262" s="49"/>
      <c r="K262" s="49"/>
      <c r="L262" s="49"/>
      <c r="M262" s="49"/>
      <c r="N262" s="49"/>
      <c r="O262" s="49"/>
      <c r="P262" s="49"/>
      <c r="Q262" s="524"/>
      <c r="R262" s="49"/>
      <c r="S262" s="49"/>
      <c r="T262" s="49"/>
      <c r="U262" s="49"/>
      <c r="V262" s="49"/>
      <c r="W262" s="49"/>
      <c r="X262" s="49"/>
      <c r="Y262" s="49"/>
      <c r="Z262" s="49"/>
      <c r="AA262" s="49"/>
      <c r="AB262" s="51"/>
      <c r="AC262" s="49"/>
      <c r="AD262" s="49"/>
      <c r="AE262" s="49"/>
      <c r="AF262" s="49"/>
      <c r="AG262" s="49"/>
      <c r="AH262" s="49"/>
      <c r="AI262" s="49"/>
      <c r="AJ262" s="49"/>
      <c r="AK262" s="49"/>
      <c r="AL262" s="49"/>
      <c r="AM262" s="49"/>
      <c r="AN262" s="49"/>
      <c r="AO262" s="49"/>
      <c r="AP262" s="49"/>
      <c r="AQ262" s="49"/>
      <c r="AR262" s="49"/>
      <c r="AS262" s="49"/>
      <c r="AT262" s="49"/>
      <c r="AU262" s="49"/>
      <c r="AV262" s="49"/>
      <c r="AW262" s="49"/>
      <c r="AX262" s="49"/>
      <c r="AY262" s="49"/>
      <c r="AZ262" s="49"/>
      <c r="BA262" s="49"/>
      <c r="BB262" s="49"/>
      <c r="BC262" s="49"/>
      <c r="BD262" s="49"/>
      <c r="BE262" s="49"/>
      <c r="BF262" s="49"/>
      <c r="BG262" s="49"/>
      <c r="BH262" s="49"/>
      <c r="BI262" s="49"/>
      <c r="BJ262" s="49"/>
      <c r="BK262" s="49"/>
      <c r="BL262" s="49"/>
      <c r="BM262" s="49"/>
      <c r="BN262" s="49"/>
      <c r="BO262" s="49"/>
      <c r="BP262" s="49"/>
      <c r="BQ262" s="49"/>
      <c r="BR262" s="49"/>
      <c r="BS262" s="49"/>
      <c r="BT262" s="49"/>
      <c r="BU262" s="49"/>
      <c r="BV262" s="49"/>
      <c r="BW262" s="49"/>
      <c r="BX262" s="49"/>
      <c r="BY262" s="49"/>
      <c r="BZ262" s="49"/>
      <c r="CA262" s="49"/>
      <c r="CB262" s="49"/>
      <c r="CC262" s="49"/>
      <c r="CD262" s="49"/>
      <c r="CE262" s="49"/>
      <c r="CF262" s="49"/>
      <c r="CG262" s="49"/>
      <c r="CH262" s="49"/>
      <c r="CI262" s="49"/>
      <c r="CJ262" s="49"/>
      <c r="CK262" s="49"/>
      <c r="CL262" s="49"/>
      <c r="CM262" s="49"/>
      <c r="CN262" s="49"/>
    </row>
    <row r="263" spans="3:92">
      <c r="C263" s="6"/>
      <c r="E263" s="49"/>
      <c r="F263" s="49"/>
      <c r="G263" s="49"/>
      <c r="H263" s="49"/>
      <c r="I263" s="49"/>
      <c r="J263" s="49"/>
      <c r="K263" s="49"/>
      <c r="L263" s="49"/>
      <c r="M263" s="49"/>
      <c r="N263" s="49"/>
      <c r="O263" s="49"/>
      <c r="P263" s="49"/>
      <c r="Q263" s="524"/>
      <c r="R263" s="49"/>
      <c r="S263" s="49"/>
      <c r="T263" s="49"/>
      <c r="U263" s="49"/>
      <c r="V263" s="49"/>
      <c r="W263" s="49"/>
      <c r="X263" s="49"/>
      <c r="Y263" s="49"/>
      <c r="Z263" s="49"/>
      <c r="AA263" s="49"/>
      <c r="AB263" s="51"/>
      <c r="AC263" s="49"/>
      <c r="AD263" s="49"/>
      <c r="AE263" s="49"/>
      <c r="AF263" s="49"/>
      <c r="AG263" s="49"/>
      <c r="AH263" s="49"/>
      <c r="AI263" s="49"/>
      <c r="AJ263" s="49"/>
      <c r="AK263" s="49"/>
      <c r="AL263" s="49"/>
      <c r="AM263" s="49"/>
      <c r="AN263" s="49"/>
      <c r="AO263" s="49"/>
      <c r="AP263" s="49"/>
      <c r="AQ263" s="49"/>
      <c r="AR263" s="49"/>
      <c r="AS263" s="49"/>
      <c r="AT263" s="49"/>
      <c r="AU263" s="49"/>
      <c r="AV263" s="49"/>
      <c r="AW263" s="49"/>
      <c r="AX263" s="49"/>
      <c r="AY263" s="49"/>
      <c r="AZ263" s="49"/>
      <c r="BA263" s="49"/>
      <c r="BB263" s="49"/>
      <c r="BC263" s="49"/>
      <c r="BD263" s="49"/>
      <c r="BE263" s="49"/>
      <c r="BF263" s="49"/>
      <c r="BG263" s="49"/>
      <c r="BH263" s="49"/>
      <c r="BI263" s="49"/>
      <c r="BJ263" s="49"/>
      <c r="BK263" s="49"/>
      <c r="BL263" s="49"/>
      <c r="BM263" s="49"/>
      <c r="BN263" s="49"/>
      <c r="BO263" s="49"/>
      <c r="BP263" s="49"/>
      <c r="BQ263" s="49"/>
      <c r="BR263" s="49"/>
      <c r="BS263" s="49"/>
      <c r="BT263" s="49"/>
      <c r="BU263" s="49"/>
      <c r="BV263" s="49"/>
      <c r="BW263" s="49"/>
      <c r="BX263" s="49"/>
      <c r="BY263" s="49"/>
      <c r="BZ263" s="49"/>
      <c r="CA263" s="49"/>
      <c r="CB263" s="49"/>
      <c r="CC263" s="49"/>
      <c r="CD263" s="49"/>
      <c r="CE263" s="49"/>
      <c r="CF263" s="49"/>
      <c r="CG263" s="49"/>
      <c r="CH263" s="49"/>
      <c r="CI263" s="49"/>
      <c r="CJ263" s="49"/>
      <c r="CK263" s="49"/>
      <c r="CL263" s="49"/>
      <c r="CM263" s="49"/>
      <c r="CN263" s="49"/>
    </row>
    <row r="264" spans="3:92">
      <c r="C264" s="6"/>
      <c r="E264" s="49"/>
      <c r="F264" s="49"/>
      <c r="G264" s="49"/>
      <c r="H264" s="49"/>
      <c r="I264" s="49"/>
      <c r="J264" s="49"/>
      <c r="K264" s="49"/>
      <c r="L264" s="49"/>
      <c r="M264" s="49"/>
      <c r="N264" s="49"/>
      <c r="O264" s="49"/>
      <c r="P264" s="49"/>
      <c r="Q264" s="524"/>
      <c r="R264" s="49"/>
      <c r="S264" s="49"/>
      <c r="T264" s="49"/>
      <c r="U264" s="49"/>
      <c r="V264" s="49"/>
      <c r="W264" s="49"/>
      <c r="X264" s="49"/>
      <c r="Y264" s="49"/>
      <c r="Z264" s="49"/>
      <c r="AA264" s="49"/>
      <c r="AB264" s="51"/>
      <c r="AC264" s="49"/>
      <c r="AD264" s="49"/>
      <c r="AE264" s="49"/>
      <c r="AF264" s="49"/>
      <c r="AG264" s="49"/>
      <c r="AH264" s="49"/>
      <c r="AI264" s="49"/>
      <c r="AJ264" s="49"/>
      <c r="AK264" s="49"/>
      <c r="AL264" s="49"/>
      <c r="AM264" s="49"/>
      <c r="AN264" s="49"/>
      <c r="AO264" s="49"/>
      <c r="AP264" s="49"/>
      <c r="AQ264" s="49"/>
      <c r="AR264" s="49"/>
      <c r="AS264" s="49"/>
      <c r="AT264" s="49"/>
      <c r="AU264" s="49"/>
      <c r="AV264" s="49"/>
      <c r="AW264" s="49"/>
      <c r="AX264" s="49"/>
      <c r="AY264" s="49"/>
      <c r="AZ264" s="49"/>
      <c r="BA264" s="49"/>
      <c r="BB264" s="49"/>
      <c r="BC264" s="49"/>
      <c r="BD264" s="49"/>
      <c r="BE264" s="49"/>
      <c r="BF264" s="49"/>
      <c r="BG264" s="49"/>
      <c r="BH264" s="49"/>
      <c r="BI264" s="49"/>
      <c r="BJ264" s="49"/>
      <c r="BK264" s="49"/>
      <c r="BL264" s="49"/>
      <c r="BM264" s="49"/>
      <c r="BN264" s="49"/>
      <c r="BO264" s="49"/>
      <c r="BP264" s="49"/>
      <c r="BQ264" s="49"/>
      <c r="BR264" s="49"/>
      <c r="BS264" s="49"/>
      <c r="BT264" s="49"/>
      <c r="BU264" s="49"/>
      <c r="BV264" s="49"/>
      <c r="BW264" s="49"/>
      <c r="BX264" s="49"/>
      <c r="BY264" s="49"/>
      <c r="BZ264" s="49"/>
      <c r="CA264" s="49"/>
      <c r="CB264" s="49"/>
      <c r="CC264" s="49"/>
      <c r="CD264" s="49"/>
      <c r="CE264" s="49"/>
      <c r="CF264" s="49"/>
      <c r="CG264" s="49"/>
      <c r="CH264" s="49"/>
      <c r="CI264" s="49"/>
      <c r="CJ264" s="49"/>
      <c r="CK264" s="49"/>
      <c r="CL264" s="49"/>
      <c r="CM264" s="49"/>
      <c r="CN264" s="49"/>
    </row>
    <row r="265" spans="3:92">
      <c r="C265" s="6"/>
      <c r="E265" s="49"/>
      <c r="F265" s="49"/>
      <c r="G265" s="49"/>
      <c r="H265" s="49"/>
      <c r="I265" s="49"/>
      <c r="J265" s="49"/>
      <c r="K265" s="49"/>
      <c r="L265" s="49"/>
      <c r="M265" s="49"/>
      <c r="N265" s="49"/>
      <c r="O265" s="49"/>
      <c r="P265" s="49"/>
      <c r="Q265" s="524"/>
      <c r="R265" s="49"/>
      <c r="S265" s="49"/>
      <c r="T265" s="49"/>
      <c r="U265" s="49"/>
      <c r="V265" s="49"/>
      <c r="W265" s="49"/>
      <c r="X265" s="49"/>
      <c r="Y265" s="49"/>
      <c r="Z265" s="49"/>
      <c r="AA265" s="49"/>
      <c r="AB265" s="51"/>
      <c r="AC265" s="49"/>
      <c r="AD265" s="49"/>
      <c r="AE265" s="49"/>
      <c r="AF265" s="49"/>
      <c r="AG265" s="49"/>
      <c r="AH265" s="49"/>
      <c r="AI265" s="49"/>
      <c r="AJ265" s="49"/>
      <c r="AK265" s="49"/>
      <c r="AL265" s="49"/>
      <c r="AM265" s="49"/>
      <c r="AN265" s="49"/>
      <c r="AO265" s="49"/>
      <c r="AP265" s="49"/>
      <c r="AQ265" s="49"/>
      <c r="AR265" s="49"/>
      <c r="AS265" s="49"/>
      <c r="AT265" s="49"/>
      <c r="AU265" s="49"/>
      <c r="AV265" s="49"/>
      <c r="AW265" s="49"/>
      <c r="AX265" s="49"/>
      <c r="AY265" s="49"/>
      <c r="AZ265" s="49"/>
      <c r="BA265" s="49"/>
      <c r="BB265" s="49"/>
      <c r="BC265" s="49"/>
      <c r="BD265" s="49"/>
      <c r="BE265" s="49"/>
      <c r="BF265" s="49"/>
      <c r="BG265" s="49"/>
      <c r="BH265" s="49"/>
      <c r="BI265" s="49"/>
      <c r="BJ265" s="49"/>
      <c r="BK265" s="49"/>
      <c r="BL265" s="49"/>
      <c r="BM265" s="49"/>
      <c r="BN265" s="49"/>
      <c r="BO265" s="49"/>
      <c r="BP265" s="49"/>
      <c r="BQ265" s="49"/>
      <c r="BR265" s="49"/>
      <c r="BS265" s="49"/>
      <c r="BT265" s="49"/>
      <c r="BU265" s="49"/>
      <c r="BV265" s="49"/>
      <c r="BW265" s="49"/>
      <c r="BX265" s="49"/>
      <c r="BY265" s="49"/>
      <c r="BZ265" s="49"/>
      <c r="CA265" s="49"/>
      <c r="CB265" s="49"/>
      <c r="CC265" s="49"/>
      <c r="CD265" s="49"/>
      <c r="CE265" s="49"/>
      <c r="CF265" s="49"/>
      <c r="CG265" s="49"/>
      <c r="CH265" s="49"/>
      <c r="CI265" s="49"/>
      <c r="CJ265" s="49"/>
      <c r="CK265" s="49"/>
      <c r="CL265" s="49"/>
      <c r="CM265" s="49"/>
      <c r="CN265" s="49"/>
    </row>
    <row r="266" spans="3:92">
      <c r="C266" s="6"/>
      <c r="E266" s="49"/>
      <c r="F266" s="49"/>
      <c r="G266" s="49"/>
      <c r="H266" s="49"/>
      <c r="I266" s="49"/>
      <c r="J266" s="49"/>
      <c r="K266" s="49"/>
      <c r="L266" s="49"/>
      <c r="M266" s="49"/>
      <c r="N266" s="49"/>
      <c r="O266" s="49"/>
      <c r="P266" s="49"/>
      <c r="Q266" s="524"/>
      <c r="R266" s="49"/>
      <c r="S266" s="49"/>
      <c r="T266" s="49"/>
      <c r="U266" s="49"/>
      <c r="V266" s="49"/>
      <c r="W266" s="49"/>
      <c r="X266" s="49"/>
      <c r="Y266" s="49"/>
      <c r="Z266" s="49"/>
      <c r="AA266" s="49"/>
      <c r="AB266" s="51"/>
      <c r="AC266" s="49"/>
      <c r="AD266" s="49"/>
      <c r="AE266" s="49"/>
      <c r="AF266" s="49"/>
      <c r="AG266" s="49"/>
      <c r="AH266" s="49"/>
      <c r="AI266" s="49"/>
      <c r="AJ266" s="49"/>
      <c r="AK266" s="49"/>
      <c r="AL266" s="49"/>
      <c r="AM266" s="49"/>
      <c r="AN266" s="49"/>
      <c r="AO266" s="49"/>
      <c r="AP266" s="49"/>
      <c r="AQ266" s="49"/>
      <c r="AR266" s="49"/>
      <c r="AS266" s="49"/>
      <c r="AT266" s="49"/>
      <c r="AU266" s="49"/>
      <c r="AV266" s="49"/>
      <c r="AW266" s="49"/>
      <c r="AX266" s="49"/>
      <c r="AY266" s="49"/>
      <c r="AZ266" s="49"/>
      <c r="BA266" s="49"/>
      <c r="BB266" s="49"/>
      <c r="BC266" s="49"/>
      <c r="BD266" s="49"/>
      <c r="BE266" s="49"/>
      <c r="BF266" s="49"/>
      <c r="BG266" s="49"/>
      <c r="BH266" s="49"/>
      <c r="BI266" s="49"/>
      <c r="BJ266" s="49"/>
      <c r="BK266" s="49"/>
      <c r="BL266" s="49"/>
      <c r="BM266" s="49"/>
      <c r="BN266" s="49"/>
      <c r="BO266" s="49"/>
      <c r="BP266" s="49"/>
      <c r="BQ266" s="49"/>
      <c r="BR266" s="49"/>
      <c r="BS266" s="49"/>
      <c r="BT266" s="49"/>
      <c r="BU266" s="49"/>
      <c r="BV266" s="49"/>
      <c r="BW266" s="49"/>
      <c r="BX266" s="49"/>
      <c r="BY266" s="49"/>
      <c r="BZ266" s="49"/>
      <c r="CA266" s="49"/>
      <c r="CB266" s="49"/>
      <c r="CC266" s="49"/>
      <c r="CD266" s="49"/>
      <c r="CE266" s="49"/>
      <c r="CF266" s="49"/>
      <c r="CG266" s="49"/>
      <c r="CH266" s="49"/>
      <c r="CI266" s="49"/>
      <c r="CJ266" s="49"/>
      <c r="CK266" s="49"/>
      <c r="CL266" s="49"/>
      <c r="CM266" s="49"/>
      <c r="CN266" s="49"/>
    </row>
    <row r="267" spans="3:92">
      <c r="C267" s="6"/>
      <c r="E267" s="49"/>
      <c r="F267" s="49"/>
      <c r="G267" s="49"/>
      <c r="H267" s="49"/>
      <c r="I267" s="49"/>
      <c r="J267" s="49"/>
      <c r="K267" s="49"/>
      <c r="L267" s="49"/>
      <c r="M267" s="49"/>
      <c r="N267" s="49"/>
      <c r="O267" s="49"/>
      <c r="P267" s="49"/>
      <c r="Q267" s="524"/>
      <c r="R267" s="49"/>
      <c r="S267" s="49"/>
      <c r="T267" s="49"/>
      <c r="U267" s="49"/>
      <c r="V267" s="49"/>
      <c r="W267" s="49"/>
      <c r="X267" s="49"/>
      <c r="Y267" s="49"/>
      <c r="Z267" s="49"/>
      <c r="AA267" s="49"/>
      <c r="AB267" s="51"/>
      <c r="AC267" s="49"/>
      <c r="AD267" s="49"/>
      <c r="AE267" s="49"/>
      <c r="AF267" s="49"/>
      <c r="AG267" s="49"/>
      <c r="AH267" s="49"/>
      <c r="AI267" s="49"/>
      <c r="AJ267" s="49"/>
      <c r="AK267" s="49"/>
      <c r="AL267" s="49"/>
      <c r="AM267" s="49"/>
      <c r="AN267" s="49"/>
      <c r="AO267" s="49"/>
      <c r="AP267" s="49"/>
      <c r="AQ267" s="49"/>
      <c r="AR267" s="49"/>
      <c r="AS267" s="49"/>
      <c r="AT267" s="49"/>
      <c r="AU267" s="49"/>
      <c r="AV267" s="49"/>
      <c r="AW267" s="49"/>
      <c r="AX267" s="49"/>
      <c r="AY267" s="49"/>
      <c r="AZ267" s="49"/>
      <c r="BA267" s="49"/>
      <c r="BB267" s="49"/>
      <c r="BC267" s="49"/>
      <c r="BD267" s="49"/>
      <c r="BE267" s="49"/>
      <c r="BF267" s="49"/>
      <c r="BG267" s="49"/>
      <c r="BH267" s="49"/>
      <c r="BI267" s="49"/>
      <c r="BJ267" s="49"/>
      <c r="BK267" s="49"/>
      <c r="BL267" s="49"/>
      <c r="BM267" s="49"/>
      <c r="BN267" s="49"/>
      <c r="BO267" s="49"/>
      <c r="BP267" s="49"/>
      <c r="BQ267" s="49"/>
      <c r="BR267" s="49"/>
      <c r="BS267" s="49"/>
      <c r="BT267" s="49"/>
      <c r="BU267" s="49"/>
      <c r="BV267" s="49"/>
      <c r="BW267" s="49"/>
      <c r="BX267" s="49"/>
      <c r="BY267" s="49"/>
      <c r="BZ267" s="49"/>
      <c r="CA267" s="49"/>
      <c r="CB267" s="49"/>
      <c r="CC267" s="49"/>
      <c r="CD267" s="49"/>
      <c r="CE267" s="49"/>
      <c r="CF267" s="49"/>
      <c r="CG267" s="49"/>
      <c r="CH267" s="49"/>
      <c r="CI267" s="49"/>
      <c r="CJ267" s="49"/>
      <c r="CK267" s="49"/>
      <c r="CL267" s="49"/>
      <c r="CM267" s="49"/>
      <c r="CN267" s="49"/>
    </row>
    <row r="268" spans="3:92">
      <c r="C268" s="6"/>
      <c r="E268" s="49"/>
      <c r="F268" s="49"/>
      <c r="G268" s="49"/>
      <c r="H268" s="49"/>
      <c r="I268" s="49"/>
      <c r="J268" s="49"/>
      <c r="K268" s="49"/>
      <c r="L268" s="49"/>
      <c r="M268" s="49"/>
      <c r="N268" s="49"/>
      <c r="O268" s="49"/>
      <c r="P268" s="49"/>
      <c r="Q268" s="524"/>
      <c r="R268" s="49"/>
      <c r="S268" s="49"/>
      <c r="T268" s="49"/>
      <c r="U268" s="49"/>
      <c r="V268" s="49"/>
      <c r="W268" s="49"/>
      <c r="X268" s="49"/>
      <c r="Y268" s="49"/>
      <c r="Z268" s="49"/>
      <c r="AA268" s="49"/>
      <c r="AB268" s="51"/>
      <c r="AC268" s="49"/>
      <c r="AD268" s="49"/>
      <c r="AE268" s="49"/>
      <c r="AF268" s="49"/>
      <c r="AG268" s="49"/>
      <c r="AH268" s="49"/>
      <c r="AI268" s="49"/>
      <c r="AJ268" s="49"/>
      <c r="AK268" s="49"/>
      <c r="AL268" s="49"/>
      <c r="AM268" s="49"/>
      <c r="AN268" s="49"/>
      <c r="AO268" s="49"/>
      <c r="AP268" s="49"/>
      <c r="AQ268" s="49"/>
      <c r="AR268" s="49"/>
      <c r="AS268" s="49"/>
      <c r="AT268" s="49"/>
      <c r="AU268" s="49"/>
      <c r="AV268" s="49"/>
      <c r="AW268" s="49"/>
      <c r="AX268" s="49"/>
      <c r="AY268" s="49"/>
      <c r="AZ268" s="49"/>
      <c r="BA268" s="49"/>
      <c r="BB268" s="49"/>
      <c r="BC268" s="49"/>
      <c r="BD268" s="49"/>
      <c r="BE268" s="49"/>
      <c r="BF268" s="49"/>
      <c r="BG268" s="49"/>
      <c r="BH268" s="49"/>
      <c r="BI268" s="49"/>
      <c r="BJ268" s="49"/>
      <c r="BK268" s="49"/>
      <c r="BL268" s="49"/>
      <c r="BM268" s="49"/>
      <c r="BN268" s="49"/>
      <c r="BO268" s="49"/>
      <c r="BP268" s="49"/>
      <c r="BQ268" s="49"/>
      <c r="BR268" s="49"/>
      <c r="BS268" s="49"/>
      <c r="BT268" s="49"/>
      <c r="BU268" s="49"/>
      <c r="BV268" s="49"/>
      <c r="BW268" s="49"/>
      <c r="BX268" s="49"/>
      <c r="BY268" s="49"/>
      <c r="BZ268" s="49"/>
      <c r="CA268" s="49"/>
      <c r="CB268" s="49"/>
      <c r="CC268" s="49"/>
      <c r="CD268" s="49"/>
      <c r="CE268" s="49"/>
      <c r="CF268" s="49"/>
      <c r="CG268" s="49"/>
      <c r="CH268" s="49"/>
      <c r="CI268" s="49"/>
      <c r="CJ268" s="49"/>
      <c r="CK268" s="49"/>
      <c r="CL268" s="49"/>
      <c r="CM268" s="49"/>
      <c r="CN268" s="49"/>
    </row>
    <row r="269" spans="3:92">
      <c r="C269" s="6"/>
      <c r="E269" s="49"/>
      <c r="F269" s="49"/>
      <c r="G269" s="49"/>
      <c r="H269" s="49"/>
      <c r="I269" s="49"/>
      <c r="J269" s="49"/>
      <c r="K269" s="49"/>
      <c r="L269" s="49"/>
      <c r="M269" s="49"/>
      <c r="N269" s="49"/>
      <c r="O269" s="49"/>
      <c r="P269" s="49"/>
      <c r="Q269" s="524"/>
      <c r="R269" s="49"/>
      <c r="S269" s="49"/>
      <c r="T269" s="49"/>
      <c r="U269" s="49"/>
      <c r="V269" s="49"/>
      <c r="W269" s="49"/>
      <c r="X269" s="49"/>
      <c r="Y269" s="49"/>
      <c r="Z269" s="49"/>
      <c r="AA269" s="49"/>
      <c r="AB269" s="51"/>
      <c r="AC269" s="49"/>
      <c r="AD269" s="49"/>
      <c r="AE269" s="49"/>
      <c r="AF269" s="49"/>
      <c r="AG269" s="49"/>
      <c r="AH269" s="49"/>
      <c r="AI269" s="49"/>
      <c r="AJ269" s="49"/>
      <c r="AK269" s="49"/>
      <c r="AL269" s="49"/>
      <c r="AM269" s="49"/>
      <c r="AN269" s="49"/>
      <c r="AO269" s="49"/>
      <c r="AP269" s="49"/>
      <c r="AQ269" s="49"/>
      <c r="AR269" s="49"/>
      <c r="AS269" s="49"/>
      <c r="AT269" s="49"/>
      <c r="AU269" s="49"/>
      <c r="AV269" s="49"/>
      <c r="AW269" s="49"/>
      <c r="AX269" s="49"/>
      <c r="AY269" s="49"/>
      <c r="AZ269" s="49"/>
      <c r="BA269" s="49"/>
      <c r="BB269" s="49"/>
      <c r="BC269" s="49"/>
      <c r="BD269" s="49"/>
      <c r="BE269" s="49"/>
      <c r="BF269" s="49"/>
      <c r="BG269" s="49"/>
      <c r="BH269" s="49"/>
      <c r="BI269" s="49"/>
      <c r="BJ269" s="49"/>
      <c r="BK269" s="49"/>
      <c r="BL269" s="49"/>
      <c r="BM269" s="49"/>
      <c r="BN269" s="49"/>
      <c r="BO269" s="49"/>
      <c r="BP269" s="49"/>
      <c r="BQ269" s="49"/>
      <c r="BR269" s="49"/>
      <c r="BS269" s="49"/>
      <c r="BT269" s="49"/>
      <c r="BU269" s="49"/>
      <c r="BV269" s="49"/>
      <c r="BW269" s="49"/>
      <c r="BX269" s="49"/>
      <c r="BY269" s="49"/>
      <c r="BZ269" s="49"/>
      <c r="CA269" s="49"/>
      <c r="CB269" s="49"/>
      <c r="CC269" s="49"/>
      <c r="CD269" s="49"/>
      <c r="CE269" s="49"/>
      <c r="CF269" s="49"/>
      <c r="CG269" s="49"/>
      <c r="CH269" s="49"/>
      <c r="CI269" s="49"/>
      <c r="CJ269" s="49"/>
      <c r="CK269" s="49"/>
      <c r="CL269" s="49"/>
      <c r="CM269" s="49"/>
      <c r="CN269" s="49"/>
    </row>
    <row r="270" spans="3:92">
      <c r="C270" s="6"/>
      <c r="E270" s="49"/>
      <c r="F270" s="49"/>
      <c r="G270" s="49"/>
      <c r="H270" s="49"/>
      <c r="I270" s="49"/>
      <c r="J270" s="49"/>
      <c r="K270" s="49"/>
      <c r="L270" s="49"/>
      <c r="M270" s="49"/>
      <c r="N270" s="49"/>
      <c r="O270" s="49"/>
      <c r="P270" s="49"/>
      <c r="Q270" s="524"/>
      <c r="R270" s="49"/>
      <c r="S270" s="49"/>
      <c r="T270" s="49"/>
      <c r="U270" s="49"/>
      <c r="V270" s="49"/>
      <c r="W270" s="49"/>
      <c r="X270" s="49"/>
      <c r="Y270" s="49"/>
      <c r="Z270" s="49"/>
      <c r="AA270" s="49"/>
      <c r="AB270" s="51"/>
      <c r="AC270" s="49"/>
      <c r="AD270" s="49"/>
      <c r="AE270" s="49"/>
      <c r="AF270" s="49"/>
      <c r="AG270" s="49"/>
      <c r="AH270" s="49"/>
      <c r="AI270" s="49"/>
      <c r="AJ270" s="49"/>
      <c r="AK270" s="49"/>
      <c r="AL270" s="49"/>
      <c r="AM270" s="49"/>
      <c r="AN270" s="49"/>
      <c r="AO270" s="49"/>
      <c r="AP270" s="49"/>
      <c r="AQ270" s="49"/>
      <c r="AR270" s="49"/>
      <c r="AS270" s="49"/>
      <c r="AT270" s="49"/>
      <c r="AU270" s="49"/>
      <c r="AV270" s="49"/>
      <c r="AW270" s="49"/>
      <c r="AX270" s="49"/>
      <c r="AY270" s="49"/>
      <c r="AZ270" s="49"/>
      <c r="BA270" s="49"/>
      <c r="BB270" s="49"/>
      <c r="BC270" s="49"/>
      <c r="BD270" s="49"/>
      <c r="BE270" s="49"/>
      <c r="BF270" s="49"/>
      <c r="BG270" s="49"/>
      <c r="BH270" s="49"/>
      <c r="BI270" s="49"/>
      <c r="BJ270" s="49"/>
      <c r="BK270" s="49"/>
      <c r="BL270" s="49"/>
      <c r="BM270" s="49"/>
      <c r="BN270" s="49"/>
      <c r="BO270" s="49"/>
      <c r="BP270" s="49"/>
      <c r="BQ270" s="49"/>
      <c r="BR270" s="49"/>
      <c r="BS270" s="49"/>
      <c r="BT270" s="49"/>
      <c r="BU270" s="49"/>
      <c r="BV270" s="49"/>
      <c r="BW270" s="49"/>
      <c r="BX270" s="49"/>
      <c r="BY270" s="49"/>
      <c r="BZ270" s="49"/>
      <c r="CA270" s="49"/>
      <c r="CB270" s="49"/>
      <c r="CC270" s="49"/>
      <c r="CD270" s="49"/>
      <c r="CE270" s="49"/>
      <c r="CF270" s="49"/>
      <c r="CG270" s="49"/>
      <c r="CH270" s="49"/>
      <c r="CI270" s="49"/>
      <c r="CJ270" s="49"/>
      <c r="CK270" s="49"/>
      <c r="CL270" s="49"/>
      <c r="CM270" s="49"/>
      <c r="CN270" s="49"/>
    </row>
    <row r="271" spans="3:92">
      <c r="C271" s="6"/>
      <c r="E271" s="49"/>
      <c r="F271" s="49"/>
      <c r="G271" s="49"/>
      <c r="H271" s="49"/>
      <c r="I271" s="49"/>
      <c r="J271" s="49"/>
      <c r="K271" s="49"/>
      <c r="L271" s="49"/>
      <c r="M271" s="49"/>
      <c r="N271" s="49"/>
      <c r="O271" s="49"/>
      <c r="P271" s="49"/>
      <c r="Q271" s="524"/>
      <c r="R271" s="49"/>
      <c r="S271" s="49"/>
      <c r="T271" s="49"/>
      <c r="U271" s="49"/>
      <c r="V271" s="49"/>
      <c r="W271" s="49"/>
      <c r="X271" s="49"/>
      <c r="Y271" s="49"/>
      <c r="Z271" s="49"/>
      <c r="AA271" s="49"/>
      <c r="AB271" s="51"/>
      <c r="AC271" s="49"/>
      <c r="AD271" s="49"/>
      <c r="AE271" s="49"/>
      <c r="AF271" s="49"/>
      <c r="AG271" s="49"/>
      <c r="AH271" s="49"/>
      <c r="AI271" s="49"/>
      <c r="AJ271" s="49"/>
      <c r="AK271" s="49"/>
      <c r="AL271" s="49"/>
      <c r="AM271" s="49"/>
      <c r="AN271" s="49"/>
      <c r="AO271" s="49"/>
      <c r="AP271" s="49"/>
      <c r="AQ271" s="49"/>
      <c r="AR271" s="49"/>
      <c r="AS271" s="49"/>
      <c r="AT271" s="49"/>
      <c r="AU271" s="49"/>
      <c r="AV271" s="49"/>
      <c r="AW271" s="49"/>
      <c r="AX271" s="49"/>
      <c r="AY271" s="49"/>
      <c r="AZ271" s="49"/>
      <c r="BA271" s="49"/>
      <c r="BB271" s="49"/>
      <c r="BC271" s="49"/>
      <c r="BD271" s="49"/>
      <c r="BE271" s="49"/>
      <c r="BF271" s="49"/>
      <c r="BG271" s="49"/>
      <c r="BH271" s="49"/>
      <c r="BI271" s="49"/>
      <c r="BJ271" s="49"/>
      <c r="BK271" s="49"/>
      <c r="BL271" s="49"/>
      <c r="BM271" s="49"/>
      <c r="BN271" s="49"/>
      <c r="BO271" s="49"/>
      <c r="BP271" s="49"/>
      <c r="BQ271" s="49"/>
      <c r="BR271" s="49"/>
      <c r="BS271" s="49"/>
      <c r="BT271" s="49"/>
      <c r="BU271" s="49"/>
      <c r="BV271" s="49"/>
      <c r="BW271" s="49"/>
      <c r="BX271" s="49"/>
      <c r="BY271" s="49"/>
      <c r="BZ271" s="49"/>
      <c r="CA271" s="49"/>
      <c r="CB271" s="49"/>
      <c r="CC271" s="49"/>
      <c r="CD271" s="49"/>
      <c r="CE271" s="49"/>
      <c r="CF271" s="49"/>
      <c r="CG271" s="49"/>
      <c r="CH271" s="49"/>
      <c r="CI271" s="49"/>
      <c r="CJ271" s="49"/>
      <c r="CK271" s="49"/>
      <c r="CL271" s="49"/>
      <c r="CM271" s="49"/>
      <c r="CN271" s="49"/>
    </row>
    <row r="272" spans="3:92">
      <c r="C272" s="6"/>
      <c r="E272" s="49"/>
      <c r="F272" s="49"/>
      <c r="G272" s="49"/>
      <c r="H272" s="49"/>
      <c r="I272" s="49"/>
      <c r="J272" s="49"/>
      <c r="K272" s="49"/>
      <c r="L272" s="49"/>
      <c r="M272" s="49"/>
      <c r="N272" s="49"/>
      <c r="O272" s="49"/>
      <c r="P272" s="49"/>
      <c r="Q272" s="524"/>
      <c r="R272" s="49"/>
      <c r="S272" s="49"/>
      <c r="T272" s="49"/>
      <c r="U272" s="49"/>
      <c r="V272" s="49"/>
      <c r="W272" s="49"/>
      <c r="X272" s="49"/>
      <c r="Y272" s="49"/>
      <c r="Z272" s="49"/>
      <c r="AA272" s="49"/>
      <c r="AB272" s="51"/>
      <c r="AC272" s="49"/>
      <c r="AD272" s="49"/>
      <c r="AE272" s="49"/>
      <c r="AF272" s="49"/>
      <c r="AG272" s="49"/>
      <c r="AH272" s="49"/>
      <c r="AI272" s="49"/>
      <c r="AJ272" s="49"/>
      <c r="AK272" s="49"/>
      <c r="AL272" s="49"/>
      <c r="AM272" s="49"/>
      <c r="AN272" s="49"/>
      <c r="AO272" s="49"/>
      <c r="AP272" s="49"/>
      <c r="AQ272" s="49"/>
      <c r="AR272" s="49"/>
      <c r="AS272" s="49"/>
      <c r="AT272" s="49"/>
      <c r="AU272" s="49"/>
      <c r="AV272" s="49"/>
      <c r="AW272" s="49"/>
      <c r="AX272" s="49"/>
      <c r="AY272" s="49"/>
      <c r="AZ272" s="49"/>
      <c r="BA272" s="49"/>
      <c r="BB272" s="49"/>
      <c r="BC272" s="49"/>
      <c r="BD272" s="49"/>
      <c r="BE272" s="49"/>
      <c r="BF272" s="49"/>
      <c r="BG272" s="49"/>
      <c r="BH272" s="49"/>
      <c r="BI272" s="49"/>
      <c r="BJ272" s="49"/>
      <c r="BK272" s="49"/>
      <c r="BL272" s="49"/>
      <c r="BM272" s="49"/>
      <c r="BN272" s="49"/>
      <c r="BO272" s="49"/>
      <c r="BP272" s="49"/>
      <c r="BQ272" s="49"/>
      <c r="BR272" s="49"/>
      <c r="BS272" s="49"/>
      <c r="BT272" s="49"/>
      <c r="BU272" s="49"/>
      <c r="BV272" s="49"/>
      <c r="BW272" s="49"/>
      <c r="BX272" s="49"/>
      <c r="BY272" s="49"/>
      <c r="BZ272" s="49"/>
      <c r="CA272" s="49"/>
      <c r="CB272" s="49"/>
      <c r="CC272" s="49"/>
      <c r="CD272" s="49"/>
      <c r="CE272" s="49"/>
      <c r="CF272" s="49"/>
      <c r="CG272" s="49"/>
      <c r="CH272" s="49"/>
      <c r="CI272" s="49"/>
      <c r="CJ272" s="49"/>
      <c r="CK272" s="49"/>
      <c r="CL272" s="49"/>
      <c r="CM272" s="49"/>
      <c r="CN272" s="49"/>
    </row>
    <row r="273" spans="3:92">
      <c r="C273" s="6"/>
      <c r="E273" s="49"/>
      <c r="F273" s="49"/>
      <c r="G273" s="49"/>
      <c r="H273" s="49"/>
      <c r="I273" s="49"/>
      <c r="J273" s="49"/>
      <c r="K273" s="49"/>
      <c r="L273" s="49"/>
      <c r="M273" s="49"/>
      <c r="N273" s="49"/>
      <c r="O273" s="49"/>
      <c r="P273" s="49"/>
      <c r="Q273" s="524"/>
      <c r="R273" s="49"/>
      <c r="S273" s="49"/>
      <c r="T273" s="49"/>
      <c r="U273" s="49"/>
      <c r="V273" s="49"/>
      <c r="W273" s="49"/>
      <c r="X273" s="49"/>
      <c r="Y273" s="49"/>
      <c r="Z273" s="49"/>
      <c r="AA273" s="49"/>
      <c r="AB273" s="51"/>
      <c r="AC273" s="49"/>
      <c r="AD273" s="49"/>
      <c r="AE273" s="49"/>
      <c r="AF273" s="49"/>
      <c r="AG273" s="49"/>
      <c r="AH273" s="49"/>
      <c r="AI273" s="49"/>
      <c r="AJ273" s="49"/>
      <c r="AK273" s="49"/>
      <c r="AL273" s="49"/>
      <c r="AM273" s="49"/>
      <c r="AN273" s="49"/>
      <c r="AO273" s="49"/>
      <c r="AP273" s="49"/>
      <c r="AQ273" s="49"/>
      <c r="AR273" s="49"/>
      <c r="AS273" s="49"/>
      <c r="AT273" s="49"/>
      <c r="AU273" s="49"/>
      <c r="AV273" s="49"/>
      <c r="AW273" s="49"/>
      <c r="AX273" s="49"/>
      <c r="AY273" s="49"/>
      <c r="AZ273" s="49"/>
      <c r="BA273" s="49"/>
      <c r="BB273" s="49"/>
      <c r="BC273" s="49"/>
      <c r="BD273" s="49"/>
      <c r="BE273" s="49"/>
      <c r="BF273" s="49"/>
      <c r="BG273" s="49"/>
      <c r="BH273" s="49"/>
      <c r="BI273" s="49"/>
      <c r="BJ273" s="49"/>
      <c r="BK273" s="49"/>
      <c r="BL273" s="49"/>
      <c r="BM273" s="49"/>
      <c r="BN273" s="49"/>
      <c r="BO273" s="49"/>
      <c r="BP273" s="49"/>
      <c r="BQ273" s="49"/>
      <c r="BR273" s="49"/>
      <c r="BS273" s="49"/>
      <c r="BT273" s="49"/>
      <c r="BU273" s="49"/>
      <c r="BV273" s="49"/>
      <c r="BW273" s="49"/>
      <c r="BX273" s="49"/>
      <c r="BY273" s="49"/>
      <c r="BZ273" s="49"/>
      <c r="CA273" s="49"/>
      <c r="CB273" s="49"/>
      <c r="CC273" s="49"/>
      <c r="CD273" s="49"/>
      <c r="CE273" s="49"/>
      <c r="CF273" s="49"/>
      <c r="CG273" s="49"/>
      <c r="CH273" s="49"/>
      <c r="CI273" s="49"/>
      <c r="CJ273" s="49"/>
      <c r="CK273" s="49"/>
      <c r="CL273" s="49"/>
      <c r="CM273" s="49"/>
      <c r="CN273" s="49"/>
    </row>
    <row r="274" spans="3:92">
      <c r="C274" s="6"/>
      <c r="E274" s="49"/>
      <c r="F274" s="49"/>
      <c r="G274" s="49"/>
      <c r="H274" s="49"/>
      <c r="I274" s="49"/>
      <c r="J274" s="49"/>
      <c r="K274" s="49"/>
      <c r="L274" s="49"/>
      <c r="M274" s="49"/>
      <c r="N274" s="49"/>
      <c r="O274" s="49"/>
      <c r="P274" s="49"/>
      <c r="Q274" s="524"/>
      <c r="R274" s="49"/>
      <c r="S274" s="49"/>
      <c r="T274" s="49"/>
      <c r="U274" s="49"/>
      <c r="V274" s="49"/>
      <c r="W274" s="49"/>
      <c r="X274" s="49"/>
      <c r="Y274" s="49"/>
      <c r="Z274" s="49"/>
      <c r="AA274" s="49"/>
      <c r="AB274" s="51"/>
      <c r="AC274" s="49"/>
      <c r="AD274" s="49"/>
      <c r="AE274" s="49"/>
      <c r="AF274" s="49"/>
      <c r="AG274" s="49"/>
      <c r="AH274" s="49"/>
      <c r="AI274" s="49"/>
      <c r="AJ274" s="49"/>
      <c r="AK274" s="49"/>
      <c r="AL274" s="49"/>
      <c r="AM274" s="49"/>
      <c r="AN274" s="49"/>
      <c r="AO274" s="49"/>
      <c r="AP274" s="49"/>
      <c r="AQ274" s="49"/>
      <c r="AR274" s="49"/>
      <c r="AS274" s="49"/>
      <c r="AT274" s="49"/>
      <c r="AU274" s="49"/>
      <c r="AV274" s="49"/>
      <c r="AW274" s="49"/>
      <c r="AX274" s="49"/>
      <c r="AY274" s="49"/>
      <c r="AZ274" s="49"/>
      <c r="BA274" s="49"/>
      <c r="BB274" s="49"/>
      <c r="BC274" s="49"/>
      <c r="BD274" s="49"/>
      <c r="BE274" s="49"/>
      <c r="BF274" s="49"/>
      <c r="BG274" s="49"/>
      <c r="BH274" s="49"/>
      <c r="BI274" s="49"/>
      <c r="BJ274" s="49"/>
      <c r="BK274" s="49"/>
      <c r="BL274" s="49"/>
      <c r="BM274" s="49"/>
      <c r="BN274" s="49"/>
      <c r="BO274" s="49"/>
      <c r="BP274" s="49"/>
      <c r="BQ274" s="49"/>
      <c r="BR274" s="49"/>
      <c r="BS274" s="49"/>
      <c r="BT274" s="49"/>
      <c r="BU274" s="49"/>
      <c r="BV274" s="49"/>
      <c r="BW274" s="49"/>
      <c r="BX274" s="49"/>
      <c r="BY274" s="49"/>
      <c r="BZ274" s="49"/>
      <c r="CA274" s="49"/>
      <c r="CB274" s="49"/>
      <c r="CC274" s="49"/>
      <c r="CD274" s="49"/>
      <c r="CE274" s="49"/>
      <c r="CF274" s="49"/>
      <c r="CG274" s="49"/>
      <c r="CH274" s="49"/>
      <c r="CI274" s="49"/>
      <c r="CJ274" s="49"/>
      <c r="CK274" s="49"/>
      <c r="CL274" s="49"/>
      <c r="CM274" s="49"/>
      <c r="CN274" s="49"/>
    </row>
    <row r="275" spans="3:92">
      <c r="C275" s="6"/>
      <c r="E275" s="49"/>
      <c r="F275" s="49"/>
      <c r="G275" s="49"/>
      <c r="H275" s="49"/>
      <c r="I275" s="49"/>
      <c r="J275" s="49"/>
      <c r="K275" s="49"/>
      <c r="L275" s="49"/>
      <c r="M275" s="49"/>
      <c r="N275" s="49"/>
      <c r="O275" s="49"/>
      <c r="P275" s="49"/>
      <c r="Q275" s="524"/>
      <c r="R275" s="49"/>
      <c r="S275" s="49"/>
      <c r="T275" s="49"/>
      <c r="U275" s="49"/>
      <c r="V275" s="49"/>
      <c r="W275" s="49"/>
      <c r="X275" s="49"/>
      <c r="Y275" s="49"/>
      <c r="Z275" s="49"/>
      <c r="AA275" s="49"/>
      <c r="AB275" s="51"/>
      <c r="AC275" s="49"/>
      <c r="AD275" s="49"/>
      <c r="AE275" s="49"/>
      <c r="AF275" s="49"/>
      <c r="AG275" s="49"/>
      <c r="AH275" s="49"/>
      <c r="AI275" s="49"/>
      <c r="AJ275" s="49"/>
      <c r="AK275" s="49"/>
      <c r="AL275" s="49"/>
      <c r="AM275" s="49"/>
      <c r="AN275" s="49"/>
      <c r="AO275" s="49"/>
      <c r="AP275" s="49"/>
      <c r="AQ275" s="49"/>
      <c r="AR275" s="49"/>
      <c r="AS275" s="49"/>
      <c r="AT275" s="49"/>
      <c r="AU275" s="49"/>
      <c r="AV275" s="49"/>
      <c r="AW275" s="49"/>
      <c r="AX275" s="49"/>
      <c r="AY275" s="49"/>
      <c r="AZ275" s="49"/>
      <c r="BA275" s="49"/>
      <c r="BB275" s="49"/>
      <c r="BC275" s="49"/>
      <c r="BD275" s="49"/>
      <c r="BE275" s="49"/>
      <c r="BF275" s="49"/>
      <c r="BG275" s="49"/>
      <c r="BH275" s="49"/>
      <c r="BI275" s="49"/>
      <c r="BJ275" s="49"/>
      <c r="BK275" s="49"/>
      <c r="BL275" s="49"/>
      <c r="BM275" s="49"/>
      <c r="BN275" s="49"/>
      <c r="BO275" s="49"/>
      <c r="BP275" s="49"/>
      <c r="BQ275" s="49"/>
      <c r="BR275" s="49"/>
      <c r="BS275" s="49"/>
      <c r="BT275" s="49"/>
      <c r="BU275" s="49"/>
      <c r="BV275" s="49"/>
      <c r="BW275" s="49"/>
      <c r="BX275" s="49"/>
      <c r="BY275" s="49"/>
      <c r="BZ275" s="49"/>
      <c r="CA275" s="49"/>
      <c r="CB275" s="49"/>
      <c r="CC275" s="49"/>
      <c r="CD275" s="49"/>
      <c r="CE275" s="49"/>
      <c r="CF275" s="49"/>
      <c r="CG275" s="49"/>
      <c r="CH275" s="49"/>
      <c r="CI275" s="49"/>
      <c r="CJ275" s="49"/>
      <c r="CK275" s="49"/>
      <c r="CL275" s="49"/>
      <c r="CM275" s="49"/>
      <c r="CN275" s="49"/>
    </row>
    <row r="276" spans="3:92">
      <c r="C276" s="6"/>
      <c r="E276" s="49"/>
      <c r="F276" s="49"/>
      <c r="G276" s="49"/>
      <c r="H276" s="49"/>
      <c r="I276" s="49"/>
      <c r="J276" s="49"/>
      <c r="K276" s="49"/>
      <c r="L276" s="49"/>
      <c r="M276" s="49"/>
      <c r="N276" s="49"/>
      <c r="O276" s="49"/>
      <c r="P276" s="49"/>
      <c r="Q276" s="524"/>
      <c r="R276" s="49"/>
      <c r="S276" s="49"/>
      <c r="T276" s="49"/>
      <c r="U276" s="49"/>
      <c r="V276" s="49"/>
      <c r="W276" s="49"/>
      <c r="X276" s="49"/>
      <c r="Y276" s="49"/>
      <c r="Z276" s="49"/>
      <c r="AA276" s="49"/>
      <c r="AB276" s="51"/>
      <c r="AC276" s="49"/>
      <c r="AD276" s="49"/>
      <c r="AE276" s="49"/>
      <c r="AF276" s="49"/>
      <c r="AG276" s="49"/>
      <c r="AH276" s="49"/>
      <c r="AI276" s="49"/>
      <c r="AJ276" s="49"/>
      <c r="AK276" s="49"/>
      <c r="AL276" s="49"/>
      <c r="AM276" s="49"/>
      <c r="AN276" s="49"/>
      <c r="AO276" s="49"/>
      <c r="AP276" s="49"/>
      <c r="AQ276" s="49"/>
      <c r="AR276" s="49"/>
      <c r="AS276" s="49"/>
      <c r="AT276" s="49"/>
      <c r="AU276" s="49"/>
      <c r="AV276" s="49"/>
      <c r="AW276" s="49"/>
      <c r="AX276" s="49"/>
      <c r="AY276" s="49"/>
      <c r="AZ276" s="49"/>
      <c r="BA276" s="49"/>
      <c r="BB276" s="49"/>
      <c r="BC276" s="49"/>
      <c r="BD276" s="49"/>
      <c r="BE276" s="49"/>
      <c r="BF276" s="49"/>
      <c r="BG276" s="49"/>
      <c r="BH276" s="49"/>
      <c r="BI276" s="49"/>
      <c r="BJ276" s="49"/>
      <c r="BK276" s="49"/>
      <c r="BL276" s="49"/>
      <c r="BM276" s="49"/>
      <c r="BN276" s="49"/>
      <c r="BO276" s="49"/>
      <c r="BP276" s="49"/>
      <c r="BQ276" s="49"/>
      <c r="BR276" s="49"/>
      <c r="BS276" s="49"/>
      <c r="BT276" s="49"/>
      <c r="BU276" s="49"/>
      <c r="BV276" s="49"/>
      <c r="BW276" s="49"/>
      <c r="BX276" s="49"/>
      <c r="BY276" s="49"/>
      <c r="BZ276" s="49"/>
      <c r="CA276" s="49"/>
      <c r="CB276" s="49"/>
      <c r="CC276" s="49"/>
      <c r="CD276" s="49"/>
      <c r="CE276" s="49"/>
      <c r="CF276" s="49"/>
      <c r="CG276" s="49"/>
      <c r="CH276" s="49"/>
      <c r="CI276" s="49"/>
      <c r="CJ276" s="49"/>
      <c r="CK276" s="49"/>
      <c r="CL276" s="49"/>
      <c r="CM276" s="49"/>
      <c r="CN276" s="49"/>
    </row>
    <row r="277" spans="3:92">
      <c r="C277" s="6"/>
      <c r="E277" s="49"/>
      <c r="F277" s="49"/>
      <c r="G277" s="49"/>
      <c r="H277" s="49"/>
      <c r="I277" s="49"/>
      <c r="J277" s="49"/>
      <c r="K277" s="49"/>
      <c r="L277" s="49"/>
      <c r="M277" s="49"/>
      <c r="N277" s="49"/>
      <c r="O277" s="49"/>
      <c r="P277" s="49"/>
      <c r="Q277" s="524"/>
      <c r="R277" s="49"/>
      <c r="S277" s="49"/>
      <c r="T277" s="49"/>
      <c r="U277" s="49"/>
      <c r="V277" s="49"/>
      <c r="W277" s="49"/>
      <c r="X277" s="49"/>
      <c r="Y277" s="49"/>
      <c r="Z277" s="49"/>
      <c r="AA277" s="49"/>
      <c r="AB277" s="51"/>
      <c r="AC277" s="49"/>
      <c r="AD277" s="49"/>
      <c r="AE277" s="49"/>
      <c r="AF277" s="49"/>
      <c r="AG277" s="49"/>
      <c r="AH277" s="49"/>
      <c r="AI277" s="49"/>
      <c r="AJ277" s="49"/>
      <c r="AK277" s="49"/>
      <c r="AL277" s="49"/>
      <c r="AM277" s="49"/>
      <c r="AN277" s="49"/>
      <c r="AO277" s="49"/>
      <c r="AP277" s="49"/>
      <c r="AQ277" s="49"/>
      <c r="AR277" s="49"/>
      <c r="AS277" s="49"/>
      <c r="AT277" s="49"/>
      <c r="AU277" s="49"/>
      <c r="AV277" s="49"/>
      <c r="AW277" s="49"/>
      <c r="AX277" s="49"/>
      <c r="AY277" s="49"/>
      <c r="AZ277" s="49"/>
      <c r="BA277" s="49"/>
      <c r="BB277" s="49"/>
      <c r="BC277" s="49"/>
      <c r="BD277" s="49"/>
      <c r="BE277" s="49"/>
      <c r="BF277" s="49"/>
      <c r="BG277" s="49"/>
      <c r="BH277" s="49"/>
      <c r="BI277" s="49"/>
      <c r="BJ277" s="49"/>
      <c r="BK277" s="49"/>
      <c r="BL277" s="49"/>
      <c r="BM277" s="49"/>
      <c r="BN277" s="49"/>
      <c r="BO277" s="49"/>
      <c r="BP277" s="49"/>
      <c r="BQ277" s="49"/>
      <c r="BR277" s="49"/>
      <c r="BS277" s="49"/>
      <c r="BT277" s="49"/>
      <c r="BU277" s="49"/>
      <c r="BV277" s="49"/>
      <c r="BW277" s="49"/>
      <c r="BX277" s="49"/>
      <c r="BY277" s="49"/>
      <c r="BZ277" s="49"/>
      <c r="CA277" s="49"/>
      <c r="CB277" s="49"/>
      <c r="CC277" s="49"/>
      <c r="CD277" s="49"/>
      <c r="CE277" s="49"/>
      <c r="CF277" s="49"/>
      <c r="CG277" s="49"/>
      <c r="CH277" s="49"/>
      <c r="CI277" s="49"/>
      <c r="CJ277" s="49"/>
      <c r="CK277" s="49"/>
      <c r="CL277" s="49"/>
      <c r="CM277" s="49"/>
      <c r="CN277" s="49"/>
    </row>
    <row r="278" spans="3:92">
      <c r="C278" s="6"/>
      <c r="E278" s="49"/>
      <c r="F278" s="49"/>
      <c r="G278" s="49"/>
      <c r="H278" s="49"/>
      <c r="I278" s="49"/>
      <c r="J278" s="49"/>
      <c r="K278" s="49"/>
      <c r="L278" s="49"/>
      <c r="M278" s="49"/>
      <c r="N278" s="49"/>
      <c r="O278" s="49"/>
      <c r="P278" s="49"/>
      <c r="Q278" s="524"/>
      <c r="R278" s="49"/>
      <c r="S278" s="49"/>
      <c r="T278" s="49"/>
      <c r="U278" s="49"/>
      <c r="V278" s="49"/>
      <c r="W278" s="49"/>
      <c r="X278" s="49"/>
      <c r="Y278" s="49"/>
      <c r="Z278" s="49"/>
      <c r="AA278" s="49"/>
      <c r="AB278" s="51"/>
      <c r="AC278" s="49"/>
      <c r="AD278" s="49"/>
      <c r="AE278" s="49"/>
      <c r="AF278" s="49"/>
      <c r="AG278" s="49"/>
      <c r="AH278" s="49"/>
      <c r="AI278" s="49"/>
      <c r="AJ278" s="49"/>
      <c r="AK278" s="49"/>
      <c r="AL278" s="49"/>
      <c r="AM278" s="49"/>
      <c r="AN278" s="49"/>
      <c r="AO278" s="49"/>
      <c r="AP278" s="49"/>
      <c r="AQ278" s="49"/>
      <c r="AR278" s="49"/>
      <c r="AS278" s="49"/>
      <c r="AT278" s="49"/>
      <c r="AU278" s="49"/>
      <c r="AV278" s="49"/>
      <c r="AW278" s="49"/>
      <c r="AX278" s="49"/>
      <c r="AY278" s="49"/>
      <c r="AZ278" s="49"/>
      <c r="BA278" s="49"/>
      <c r="BB278" s="49"/>
      <c r="BC278" s="49"/>
      <c r="BD278" s="49"/>
      <c r="BE278" s="49"/>
      <c r="BF278" s="49"/>
      <c r="BG278" s="49"/>
      <c r="BH278" s="49"/>
      <c r="BI278" s="49"/>
      <c r="BJ278" s="49"/>
      <c r="BK278" s="49"/>
      <c r="BL278" s="49"/>
      <c r="BM278" s="49"/>
      <c r="BN278" s="49"/>
      <c r="BO278" s="49"/>
      <c r="BP278" s="49"/>
      <c r="BQ278" s="49"/>
      <c r="BR278" s="49"/>
      <c r="BS278" s="49"/>
      <c r="BT278" s="49"/>
      <c r="BU278" s="49"/>
      <c r="BV278" s="49"/>
      <c r="BW278" s="49"/>
      <c r="BX278" s="49"/>
      <c r="BY278" s="49"/>
      <c r="BZ278" s="49"/>
      <c r="CA278" s="49"/>
      <c r="CB278" s="49"/>
      <c r="CC278" s="49"/>
      <c r="CD278" s="49"/>
      <c r="CE278" s="49"/>
      <c r="CF278" s="49"/>
      <c r="CG278" s="49"/>
      <c r="CH278" s="49"/>
      <c r="CI278" s="49"/>
      <c r="CJ278" s="49"/>
      <c r="CK278" s="49"/>
      <c r="CL278" s="49"/>
      <c r="CM278" s="49"/>
      <c r="CN278" s="49"/>
    </row>
    <row r="279" spans="3:92">
      <c r="C279" s="6"/>
      <c r="E279" s="49"/>
      <c r="F279" s="49"/>
      <c r="G279" s="49"/>
      <c r="H279" s="49"/>
      <c r="I279" s="49"/>
      <c r="J279" s="49"/>
      <c r="K279" s="49"/>
      <c r="L279" s="49"/>
      <c r="M279" s="49"/>
      <c r="N279" s="49"/>
      <c r="O279" s="49"/>
      <c r="P279" s="49"/>
      <c r="Q279" s="524"/>
      <c r="R279" s="49"/>
      <c r="S279" s="49"/>
      <c r="T279" s="49"/>
      <c r="U279" s="49"/>
      <c r="V279" s="49"/>
      <c r="W279" s="49"/>
      <c r="X279" s="49"/>
      <c r="Y279" s="49"/>
      <c r="Z279" s="49"/>
      <c r="AA279" s="49"/>
      <c r="AB279" s="51"/>
      <c r="AC279" s="49"/>
      <c r="AD279" s="49"/>
      <c r="AE279" s="49"/>
      <c r="AF279" s="49"/>
      <c r="AG279" s="49"/>
      <c r="AH279" s="49"/>
      <c r="AI279" s="49"/>
      <c r="AJ279" s="49"/>
      <c r="AK279" s="49"/>
      <c r="AL279" s="49"/>
      <c r="AM279" s="49"/>
      <c r="AN279" s="49"/>
      <c r="AO279" s="49"/>
      <c r="AP279" s="49"/>
      <c r="AQ279" s="49"/>
      <c r="AR279" s="49"/>
      <c r="AS279" s="49"/>
      <c r="AT279" s="49"/>
      <c r="AU279" s="49"/>
      <c r="AV279" s="49"/>
      <c r="AW279" s="49"/>
      <c r="AX279" s="49"/>
      <c r="AY279" s="49"/>
      <c r="AZ279" s="49"/>
      <c r="BA279" s="49"/>
      <c r="BB279" s="49"/>
      <c r="BC279" s="49"/>
      <c r="BD279" s="49"/>
      <c r="BE279" s="49"/>
      <c r="BF279" s="49"/>
      <c r="BG279" s="49"/>
      <c r="BH279" s="49"/>
      <c r="BI279" s="49"/>
      <c r="BJ279" s="49"/>
      <c r="BK279" s="49"/>
      <c r="BL279" s="49"/>
      <c r="BM279" s="49"/>
      <c r="BN279" s="49"/>
      <c r="BO279" s="49"/>
      <c r="BP279" s="49"/>
      <c r="BQ279" s="49"/>
      <c r="BR279" s="49"/>
      <c r="BS279" s="49"/>
      <c r="BT279" s="49"/>
      <c r="BU279" s="49"/>
      <c r="BV279" s="49"/>
      <c r="BW279" s="49"/>
      <c r="BX279" s="49"/>
      <c r="BY279" s="49"/>
      <c r="BZ279" s="49"/>
      <c r="CA279" s="49"/>
      <c r="CB279" s="49"/>
      <c r="CC279" s="49"/>
      <c r="CD279" s="49"/>
      <c r="CE279" s="49"/>
      <c r="CF279" s="49"/>
      <c r="CG279" s="49"/>
      <c r="CH279" s="49"/>
      <c r="CI279" s="49"/>
      <c r="CJ279" s="49"/>
      <c r="CK279" s="49"/>
      <c r="CL279" s="49"/>
      <c r="CM279" s="49"/>
      <c r="CN279" s="49"/>
    </row>
    <row r="280" spans="3:92">
      <c r="C280" s="6"/>
      <c r="E280" s="49"/>
      <c r="F280" s="49"/>
      <c r="G280" s="49"/>
      <c r="H280" s="49"/>
      <c r="I280" s="49"/>
      <c r="J280" s="49"/>
      <c r="K280" s="49"/>
      <c r="L280" s="49"/>
      <c r="M280" s="49"/>
      <c r="N280" s="49"/>
      <c r="O280" s="49"/>
      <c r="P280" s="49"/>
      <c r="Q280" s="524"/>
      <c r="R280" s="49"/>
      <c r="S280" s="49"/>
      <c r="T280" s="49"/>
      <c r="U280" s="49"/>
      <c r="V280" s="49"/>
      <c r="W280" s="49"/>
      <c r="X280" s="49"/>
      <c r="Y280" s="49"/>
      <c r="Z280" s="49"/>
      <c r="AA280" s="49"/>
      <c r="AB280" s="51"/>
      <c r="AC280" s="49"/>
      <c r="AD280" s="49"/>
      <c r="AE280" s="49"/>
      <c r="AF280" s="49"/>
      <c r="AG280" s="49"/>
      <c r="AH280" s="49"/>
      <c r="AI280" s="49"/>
      <c r="AJ280" s="49"/>
      <c r="AK280" s="49"/>
      <c r="AL280" s="49"/>
      <c r="AM280" s="49"/>
      <c r="AN280" s="49"/>
      <c r="AO280" s="49"/>
      <c r="AP280" s="49"/>
      <c r="AQ280" s="49"/>
      <c r="AR280" s="49"/>
      <c r="AS280" s="49"/>
      <c r="AT280" s="49"/>
      <c r="AU280" s="49"/>
      <c r="AV280" s="49"/>
      <c r="AW280" s="49"/>
      <c r="AX280" s="49"/>
      <c r="AY280" s="49"/>
      <c r="AZ280" s="49"/>
      <c r="BA280" s="49"/>
      <c r="BB280" s="49"/>
      <c r="BC280" s="49"/>
      <c r="BD280" s="49"/>
      <c r="BE280" s="49"/>
      <c r="BF280" s="49"/>
      <c r="BG280" s="49"/>
      <c r="BH280" s="49"/>
      <c r="BI280" s="49"/>
      <c r="BJ280" s="49"/>
      <c r="BK280" s="49"/>
      <c r="BL280" s="49"/>
      <c r="BM280" s="49"/>
      <c r="BN280" s="49"/>
      <c r="BO280" s="49"/>
      <c r="BP280" s="49"/>
      <c r="BQ280" s="49"/>
      <c r="BR280" s="49"/>
      <c r="BS280" s="49"/>
      <c r="BT280" s="49"/>
      <c r="BU280" s="49"/>
      <c r="BV280" s="49"/>
      <c r="BW280" s="49"/>
      <c r="BX280" s="49"/>
      <c r="BY280" s="49"/>
      <c r="BZ280" s="49"/>
      <c r="CA280" s="49"/>
      <c r="CB280" s="49"/>
      <c r="CC280" s="49"/>
      <c r="CD280" s="49"/>
      <c r="CE280" s="49"/>
      <c r="CF280" s="49"/>
      <c r="CG280" s="49"/>
      <c r="CH280" s="49"/>
      <c r="CI280" s="49"/>
      <c r="CJ280" s="49"/>
      <c r="CK280" s="49"/>
      <c r="CL280" s="49"/>
      <c r="CM280" s="49"/>
      <c r="CN280" s="49"/>
    </row>
    <row r="281" spans="3:92">
      <c r="C281" s="6"/>
      <c r="E281" s="49"/>
      <c r="F281" s="49"/>
      <c r="G281" s="49"/>
      <c r="H281" s="49"/>
      <c r="I281" s="49"/>
      <c r="J281" s="49"/>
      <c r="K281" s="49"/>
      <c r="L281" s="49"/>
      <c r="M281" s="49"/>
      <c r="N281" s="49"/>
      <c r="O281" s="49"/>
      <c r="P281" s="49"/>
      <c r="Q281" s="524"/>
      <c r="R281" s="49"/>
      <c r="S281" s="49"/>
      <c r="T281" s="49"/>
      <c r="U281" s="49"/>
      <c r="V281" s="49"/>
      <c r="W281" s="49"/>
      <c r="X281" s="49"/>
      <c r="Y281" s="49"/>
      <c r="Z281" s="49"/>
      <c r="AA281" s="49"/>
      <c r="AB281" s="51"/>
      <c r="AC281" s="49"/>
      <c r="AD281" s="49"/>
      <c r="AE281" s="49"/>
      <c r="AF281" s="49"/>
      <c r="AG281" s="49"/>
      <c r="AH281" s="49"/>
      <c r="AI281" s="49"/>
      <c r="AJ281" s="49"/>
      <c r="AK281" s="49"/>
      <c r="AL281" s="49"/>
      <c r="AM281" s="49"/>
      <c r="AN281" s="49"/>
      <c r="AO281" s="49"/>
      <c r="AP281" s="49"/>
      <c r="AQ281" s="49"/>
      <c r="AR281" s="49"/>
      <c r="AS281" s="49"/>
      <c r="AT281" s="49"/>
      <c r="AU281" s="49"/>
      <c r="AV281" s="49"/>
      <c r="AW281" s="49"/>
      <c r="AX281" s="49"/>
      <c r="AY281" s="49"/>
      <c r="AZ281" s="49"/>
      <c r="BA281" s="49"/>
      <c r="BB281" s="49"/>
      <c r="BC281" s="49"/>
      <c r="BD281" s="49"/>
      <c r="BE281" s="49"/>
      <c r="BF281" s="49"/>
      <c r="BG281" s="49"/>
      <c r="BH281" s="49"/>
      <c r="BI281" s="49"/>
      <c r="BJ281" s="49"/>
      <c r="BK281" s="49"/>
      <c r="BL281" s="49"/>
      <c r="BM281" s="49"/>
      <c r="BN281" s="49"/>
      <c r="BO281" s="49"/>
      <c r="BP281" s="49"/>
      <c r="BQ281" s="49"/>
      <c r="BR281" s="49"/>
      <c r="BS281" s="49"/>
      <c r="BT281" s="49"/>
      <c r="BU281" s="49"/>
      <c r="BV281" s="49"/>
      <c r="BW281" s="49"/>
      <c r="BX281" s="49"/>
      <c r="BY281" s="49"/>
      <c r="BZ281" s="49"/>
      <c r="CA281" s="49"/>
      <c r="CB281" s="49"/>
      <c r="CC281" s="49"/>
      <c r="CD281" s="49"/>
      <c r="CE281" s="49"/>
      <c r="CF281" s="49"/>
      <c r="CG281" s="49"/>
      <c r="CH281" s="49"/>
      <c r="CI281" s="49"/>
      <c r="CJ281" s="49"/>
      <c r="CK281" s="49"/>
      <c r="CL281" s="49"/>
      <c r="CM281" s="49"/>
      <c r="CN281" s="49"/>
    </row>
    <row r="282" spans="3:92">
      <c r="C282" s="6"/>
      <c r="E282" s="49"/>
      <c r="F282" s="49"/>
      <c r="G282" s="49"/>
      <c r="H282" s="49"/>
      <c r="I282" s="49"/>
      <c r="J282" s="49"/>
      <c r="K282" s="49"/>
      <c r="L282" s="49"/>
      <c r="M282" s="49"/>
      <c r="N282" s="49"/>
      <c r="O282" s="49"/>
      <c r="P282" s="49"/>
      <c r="Q282" s="524"/>
      <c r="R282" s="49"/>
      <c r="S282" s="49"/>
      <c r="T282" s="49"/>
      <c r="U282" s="49"/>
      <c r="V282" s="49"/>
      <c r="W282" s="49"/>
      <c r="X282" s="49"/>
      <c r="Y282" s="49"/>
      <c r="Z282" s="49"/>
      <c r="AA282" s="49"/>
      <c r="AB282" s="51"/>
      <c r="AC282" s="49"/>
      <c r="AD282" s="49"/>
      <c r="AE282" s="49"/>
      <c r="AF282" s="49"/>
      <c r="AG282" s="49"/>
      <c r="AH282" s="49"/>
      <c r="AI282" s="49"/>
      <c r="AJ282" s="49"/>
      <c r="AK282" s="49"/>
      <c r="AL282" s="49"/>
      <c r="AM282" s="49"/>
      <c r="AN282" s="49"/>
      <c r="AO282" s="49"/>
      <c r="AP282" s="49"/>
      <c r="AQ282" s="49"/>
      <c r="AR282" s="49"/>
      <c r="AS282" s="49"/>
      <c r="AT282" s="49"/>
      <c r="AU282" s="49"/>
      <c r="AV282" s="49"/>
      <c r="AW282" s="49"/>
      <c r="AX282" s="49"/>
      <c r="AY282" s="49"/>
      <c r="AZ282" s="49"/>
      <c r="BA282" s="49"/>
      <c r="BB282" s="49"/>
      <c r="BC282" s="49"/>
      <c r="BD282" s="49"/>
      <c r="BE282" s="49"/>
      <c r="BF282" s="49"/>
      <c r="BG282" s="49"/>
      <c r="BH282" s="49"/>
      <c r="BI282" s="49"/>
      <c r="BJ282" s="49"/>
      <c r="BK282" s="49"/>
      <c r="BL282" s="49"/>
      <c r="BM282" s="49"/>
      <c r="BN282" s="49"/>
      <c r="BO282" s="49"/>
      <c r="BP282" s="49"/>
      <c r="BQ282" s="49"/>
      <c r="BR282" s="49"/>
      <c r="BS282" s="49"/>
      <c r="BT282" s="49"/>
      <c r="BU282" s="49"/>
      <c r="BV282" s="49"/>
      <c r="BW282" s="49"/>
      <c r="BX282" s="49"/>
      <c r="BY282" s="49"/>
      <c r="BZ282" s="49"/>
      <c r="CA282" s="49"/>
      <c r="CB282" s="49"/>
      <c r="CC282" s="49"/>
      <c r="CD282" s="49"/>
      <c r="CE282" s="49"/>
      <c r="CF282" s="49"/>
      <c r="CG282" s="49"/>
      <c r="CH282" s="49"/>
      <c r="CI282" s="49"/>
      <c r="CJ282" s="49"/>
      <c r="CK282" s="49"/>
      <c r="CL282" s="49"/>
      <c r="CM282" s="49"/>
      <c r="CN282" s="49"/>
    </row>
    <row r="283" spans="3:92">
      <c r="C283" s="6"/>
      <c r="E283" s="49"/>
      <c r="F283" s="49"/>
      <c r="G283" s="49"/>
      <c r="H283" s="49"/>
      <c r="I283" s="49"/>
      <c r="J283" s="49"/>
      <c r="K283" s="49"/>
      <c r="L283" s="49"/>
      <c r="M283" s="49"/>
      <c r="N283" s="49"/>
      <c r="O283" s="49"/>
      <c r="P283" s="49"/>
      <c r="Q283" s="524"/>
      <c r="R283" s="49"/>
      <c r="S283" s="49"/>
      <c r="T283" s="49"/>
      <c r="U283" s="49"/>
      <c r="V283" s="49"/>
      <c r="W283" s="49"/>
      <c r="X283" s="49"/>
      <c r="Y283" s="49"/>
      <c r="Z283" s="49"/>
      <c r="AA283" s="49"/>
      <c r="AB283" s="51"/>
      <c r="AC283" s="49"/>
      <c r="AD283" s="49"/>
      <c r="AE283" s="49"/>
      <c r="AF283" s="49"/>
      <c r="AG283" s="49"/>
      <c r="AH283" s="49"/>
      <c r="AI283" s="49"/>
      <c r="AJ283" s="49"/>
      <c r="AK283" s="49"/>
      <c r="AL283" s="49"/>
      <c r="AM283" s="49"/>
      <c r="AN283" s="49"/>
      <c r="AO283" s="49"/>
      <c r="AP283" s="49"/>
      <c r="AQ283" s="49"/>
      <c r="AR283" s="49"/>
      <c r="AS283" s="49"/>
      <c r="AT283" s="49"/>
      <c r="AU283" s="49"/>
      <c r="AV283" s="49"/>
      <c r="AW283" s="49"/>
      <c r="AX283" s="49"/>
      <c r="AY283" s="49"/>
      <c r="AZ283" s="49"/>
      <c r="BA283" s="49"/>
      <c r="BB283" s="49"/>
      <c r="BC283" s="49"/>
      <c r="BD283" s="49"/>
      <c r="BE283" s="49"/>
      <c r="BF283" s="49"/>
      <c r="BG283" s="49"/>
      <c r="BH283" s="49"/>
      <c r="BI283" s="49"/>
      <c r="BJ283" s="49"/>
      <c r="BK283" s="49"/>
      <c r="BL283" s="49"/>
      <c r="BM283" s="49"/>
      <c r="BN283" s="49"/>
      <c r="BO283" s="49"/>
      <c r="BP283" s="49"/>
      <c r="BQ283" s="49"/>
      <c r="BR283" s="49"/>
      <c r="BS283" s="49"/>
      <c r="BT283" s="49"/>
      <c r="BU283" s="49"/>
      <c r="BV283" s="49"/>
      <c r="BW283" s="49"/>
      <c r="BX283" s="49"/>
      <c r="BY283" s="49"/>
      <c r="BZ283" s="49"/>
      <c r="CA283" s="49"/>
      <c r="CB283" s="49"/>
      <c r="CC283" s="49"/>
      <c r="CD283" s="49"/>
      <c r="CE283" s="49"/>
      <c r="CF283" s="49"/>
      <c r="CG283" s="49"/>
      <c r="CH283" s="49"/>
      <c r="CI283" s="49"/>
      <c r="CJ283" s="49"/>
      <c r="CK283" s="49"/>
      <c r="CL283" s="49"/>
      <c r="CM283" s="49"/>
      <c r="CN283" s="49"/>
    </row>
    <row r="284" spans="3:92">
      <c r="C284" s="6"/>
      <c r="E284" s="49"/>
      <c r="F284" s="49"/>
      <c r="G284" s="49"/>
      <c r="H284" s="49"/>
      <c r="I284" s="49"/>
      <c r="J284" s="49"/>
      <c r="K284" s="49"/>
      <c r="L284" s="49"/>
      <c r="M284" s="49"/>
      <c r="N284" s="49"/>
      <c r="O284" s="49"/>
      <c r="P284" s="49"/>
      <c r="Q284" s="524"/>
      <c r="R284" s="49"/>
      <c r="S284" s="49"/>
      <c r="T284" s="49"/>
      <c r="U284" s="49"/>
      <c r="V284" s="49"/>
      <c r="W284" s="49"/>
      <c r="X284" s="49"/>
      <c r="Y284" s="49"/>
      <c r="Z284" s="49"/>
      <c r="AA284" s="49"/>
      <c r="AB284" s="51"/>
      <c r="AC284" s="49"/>
      <c r="AD284" s="49"/>
      <c r="AE284" s="49"/>
      <c r="AF284" s="49"/>
      <c r="AG284" s="49"/>
      <c r="AH284" s="49"/>
      <c r="AI284" s="49"/>
      <c r="AJ284" s="49"/>
      <c r="AK284" s="49"/>
      <c r="AL284" s="49"/>
      <c r="AM284" s="49"/>
      <c r="AN284" s="49"/>
      <c r="AO284" s="49"/>
      <c r="AP284" s="49"/>
      <c r="AQ284" s="49"/>
      <c r="AR284" s="49"/>
      <c r="AS284" s="49"/>
      <c r="AT284" s="49"/>
      <c r="AU284" s="49"/>
      <c r="AV284" s="49"/>
      <c r="AW284" s="49"/>
      <c r="AX284" s="49"/>
      <c r="AY284" s="49"/>
      <c r="AZ284" s="49"/>
      <c r="BA284" s="49"/>
      <c r="BB284" s="49"/>
      <c r="BC284" s="49"/>
      <c r="BD284" s="49"/>
      <c r="BE284" s="49"/>
      <c r="BF284" s="49"/>
      <c r="BG284" s="49"/>
      <c r="BH284" s="49"/>
      <c r="BI284" s="49"/>
      <c r="BJ284" s="49"/>
      <c r="BK284" s="49"/>
      <c r="BL284" s="49"/>
      <c r="BM284" s="49"/>
      <c r="BN284" s="49"/>
      <c r="BO284" s="49"/>
      <c r="BP284" s="49"/>
      <c r="BQ284" s="49"/>
      <c r="BR284" s="49"/>
      <c r="BS284" s="49"/>
      <c r="BT284" s="49"/>
      <c r="BU284" s="49"/>
      <c r="BV284" s="49"/>
      <c r="BW284" s="49"/>
      <c r="BX284" s="49"/>
      <c r="BY284" s="49"/>
      <c r="BZ284" s="49"/>
      <c r="CA284" s="49"/>
      <c r="CB284" s="49"/>
      <c r="CC284" s="49"/>
      <c r="CD284" s="49"/>
      <c r="CE284" s="49"/>
      <c r="CF284" s="49"/>
      <c r="CG284" s="49"/>
      <c r="CH284" s="49"/>
      <c r="CI284" s="49"/>
      <c r="CJ284" s="49"/>
      <c r="CK284" s="49"/>
      <c r="CL284" s="49"/>
      <c r="CM284" s="49"/>
      <c r="CN284" s="49"/>
    </row>
    <row r="285" spans="3:92">
      <c r="C285" s="6"/>
      <c r="E285" s="49"/>
      <c r="F285" s="49"/>
      <c r="G285" s="49"/>
      <c r="H285" s="49"/>
      <c r="I285" s="49"/>
      <c r="J285" s="49"/>
      <c r="K285" s="49"/>
      <c r="L285" s="49"/>
      <c r="M285" s="49"/>
      <c r="N285" s="49"/>
      <c r="O285" s="49"/>
      <c r="P285" s="49"/>
      <c r="Q285" s="524"/>
      <c r="R285" s="49"/>
      <c r="S285" s="49"/>
      <c r="T285" s="49"/>
      <c r="U285" s="49"/>
      <c r="V285" s="49"/>
      <c r="W285" s="49"/>
      <c r="X285" s="49"/>
      <c r="Y285" s="49"/>
      <c r="Z285" s="49"/>
      <c r="AA285" s="49"/>
      <c r="AB285" s="51"/>
      <c r="AC285" s="49"/>
      <c r="AD285" s="49"/>
      <c r="AE285" s="49"/>
      <c r="AF285" s="49"/>
      <c r="AG285" s="49"/>
      <c r="AH285" s="49"/>
      <c r="AI285" s="49"/>
      <c r="AJ285" s="49"/>
      <c r="AK285" s="49"/>
      <c r="AL285" s="49"/>
      <c r="AM285" s="49"/>
      <c r="AN285" s="49"/>
      <c r="AO285" s="49"/>
      <c r="AP285" s="49"/>
      <c r="AQ285" s="49"/>
      <c r="AR285" s="49"/>
      <c r="AS285" s="49"/>
      <c r="AT285" s="49"/>
      <c r="AU285" s="49"/>
      <c r="AV285" s="49"/>
      <c r="AW285" s="49"/>
      <c r="AX285" s="49"/>
      <c r="AY285" s="49"/>
      <c r="AZ285" s="49"/>
      <c r="BA285" s="49"/>
      <c r="BB285" s="49"/>
      <c r="BC285" s="49"/>
      <c r="BD285" s="49"/>
      <c r="BE285" s="49"/>
      <c r="BF285" s="49"/>
      <c r="BG285" s="49"/>
      <c r="BH285" s="49"/>
      <c r="BI285" s="49"/>
      <c r="BJ285" s="49"/>
      <c r="BK285" s="49"/>
      <c r="BL285" s="49"/>
      <c r="BM285" s="49"/>
      <c r="BN285" s="49"/>
      <c r="BO285" s="49"/>
      <c r="BP285" s="49"/>
      <c r="BQ285" s="49"/>
      <c r="BR285" s="49"/>
      <c r="BS285" s="49"/>
      <c r="BT285" s="49"/>
      <c r="BU285" s="49"/>
      <c r="BV285" s="49"/>
      <c r="BW285" s="49"/>
      <c r="BX285" s="49"/>
      <c r="BY285" s="49"/>
      <c r="BZ285" s="49"/>
      <c r="CA285" s="49"/>
      <c r="CB285" s="49"/>
      <c r="CC285" s="49"/>
      <c r="CD285" s="49"/>
      <c r="CE285" s="49"/>
      <c r="CF285" s="49"/>
      <c r="CG285" s="49"/>
      <c r="CH285" s="49"/>
      <c r="CI285" s="49"/>
      <c r="CJ285" s="49"/>
      <c r="CK285" s="49"/>
      <c r="CL285" s="49"/>
      <c r="CM285" s="49"/>
      <c r="CN285" s="49"/>
    </row>
    <row r="286" spans="3:92">
      <c r="C286" s="6"/>
      <c r="E286" s="49"/>
      <c r="F286" s="49"/>
      <c r="G286" s="49"/>
      <c r="H286" s="49"/>
      <c r="I286" s="49"/>
      <c r="J286" s="49"/>
      <c r="K286" s="49"/>
      <c r="L286" s="49"/>
      <c r="M286" s="49"/>
      <c r="N286" s="49"/>
      <c r="O286" s="49"/>
      <c r="P286" s="49"/>
      <c r="Q286" s="524"/>
      <c r="R286" s="49"/>
      <c r="S286" s="49"/>
      <c r="T286" s="49"/>
      <c r="U286" s="49"/>
      <c r="V286" s="49"/>
      <c r="W286" s="49"/>
      <c r="X286" s="49"/>
      <c r="Y286" s="49"/>
      <c r="Z286" s="49"/>
      <c r="AA286" s="49"/>
      <c r="AB286" s="51"/>
      <c r="AC286" s="49"/>
      <c r="AD286" s="49"/>
      <c r="AE286" s="49"/>
      <c r="AF286" s="49"/>
      <c r="AG286" s="49"/>
      <c r="AH286" s="49"/>
      <c r="AI286" s="49"/>
      <c r="AJ286" s="49"/>
      <c r="AK286" s="49"/>
      <c r="AL286" s="49"/>
      <c r="AM286" s="49"/>
      <c r="AN286" s="49"/>
      <c r="AO286" s="49"/>
      <c r="AP286" s="49"/>
      <c r="AQ286" s="49"/>
      <c r="AR286" s="49"/>
      <c r="AS286" s="49"/>
      <c r="AT286" s="49"/>
      <c r="AU286" s="49"/>
      <c r="AV286" s="49"/>
      <c r="AW286" s="49"/>
      <c r="AX286" s="49"/>
      <c r="AY286" s="49"/>
      <c r="AZ286" s="49"/>
      <c r="BA286" s="49"/>
      <c r="BB286" s="49"/>
      <c r="BC286" s="49"/>
      <c r="BD286" s="49"/>
      <c r="BE286" s="49"/>
      <c r="BF286" s="49"/>
      <c r="BG286" s="49"/>
      <c r="BH286" s="49"/>
      <c r="BI286" s="49"/>
      <c r="BJ286" s="49"/>
      <c r="BK286" s="49"/>
      <c r="BL286" s="49"/>
      <c r="BM286" s="49"/>
      <c r="BN286" s="49"/>
      <c r="BO286" s="49"/>
      <c r="BP286" s="49"/>
      <c r="BQ286" s="49"/>
      <c r="BR286" s="49"/>
      <c r="BS286" s="49"/>
      <c r="BT286" s="49"/>
      <c r="BU286" s="49"/>
      <c r="BV286" s="49"/>
      <c r="BW286" s="49"/>
      <c r="BX286" s="49"/>
      <c r="BY286" s="49"/>
      <c r="BZ286" s="49"/>
      <c r="CA286" s="49"/>
      <c r="CB286" s="49"/>
      <c r="CC286" s="49"/>
      <c r="CD286" s="49"/>
      <c r="CE286" s="49"/>
      <c r="CF286" s="49"/>
      <c r="CG286" s="49"/>
      <c r="CH286" s="49"/>
      <c r="CI286" s="49"/>
      <c r="CJ286" s="49"/>
      <c r="CK286" s="49"/>
      <c r="CL286" s="49"/>
      <c r="CM286" s="49"/>
      <c r="CN286" s="49"/>
    </row>
    <row r="287" spans="3:92">
      <c r="C287" s="6"/>
      <c r="E287" s="49"/>
      <c r="F287" s="49"/>
      <c r="G287" s="49"/>
      <c r="H287" s="49"/>
      <c r="I287" s="49"/>
      <c r="J287" s="49"/>
      <c r="K287" s="49"/>
      <c r="L287" s="49"/>
      <c r="M287" s="49"/>
      <c r="N287" s="49"/>
      <c r="O287" s="49"/>
      <c r="P287" s="49"/>
      <c r="Q287" s="524"/>
      <c r="R287" s="49"/>
      <c r="S287" s="49"/>
      <c r="T287" s="49"/>
      <c r="U287" s="49"/>
      <c r="V287" s="49"/>
      <c r="W287" s="49"/>
      <c r="X287" s="49"/>
      <c r="Y287" s="49"/>
      <c r="Z287" s="49"/>
      <c r="AA287" s="49"/>
      <c r="AB287" s="51"/>
      <c r="AC287" s="49"/>
      <c r="AD287" s="49"/>
      <c r="AE287" s="49"/>
      <c r="AF287" s="49"/>
      <c r="AG287" s="49"/>
      <c r="AH287" s="49"/>
      <c r="AI287" s="49"/>
      <c r="AJ287" s="49"/>
      <c r="AK287" s="49"/>
      <c r="AL287" s="49"/>
      <c r="AM287" s="49"/>
      <c r="AN287" s="49"/>
      <c r="AO287" s="49"/>
      <c r="AP287" s="49"/>
      <c r="AQ287" s="49"/>
      <c r="AR287" s="49"/>
      <c r="AS287" s="49"/>
      <c r="AT287" s="49"/>
      <c r="AU287" s="49"/>
      <c r="AV287" s="49"/>
      <c r="AW287" s="49"/>
      <c r="AX287" s="49"/>
      <c r="AY287" s="49"/>
      <c r="AZ287" s="49"/>
      <c r="BA287" s="49"/>
      <c r="BB287" s="49"/>
      <c r="BC287" s="49"/>
      <c r="BD287" s="49"/>
      <c r="BE287" s="49"/>
      <c r="BF287" s="49"/>
      <c r="BG287" s="49"/>
      <c r="BH287" s="49"/>
      <c r="BI287" s="49"/>
      <c r="BJ287" s="49"/>
      <c r="BK287" s="49"/>
      <c r="BL287" s="49"/>
      <c r="BM287" s="49"/>
      <c r="BN287" s="49"/>
      <c r="BO287" s="49"/>
      <c r="BP287" s="49"/>
      <c r="BQ287" s="49"/>
      <c r="BR287" s="49"/>
      <c r="BS287" s="49"/>
      <c r="BT287" s="49"/>
      <c r="BU287" s="49"/>
      <c r="BV287" s="49"/>
      <c r="BW287" s="49"/>
      <c r="BX287" s="49"/>
      <c r="BY287" s="49"/>
      <c r="BZ287" s="49"/>
      <c r="CA287" s="49"/>
      <c r="CB287" s="49"/>
      <c r="CC287" s="49"/>
      <c r="CD287" s="49"/>
      <c r="CE287" s="49"/>
      <c r="CF287" s="49"/>
      <c r="CG287" s="49"/>
      <c r="CH287" s="49"/>
      <c r="CI287" s="49"/>
      <c r="CJ287" s="49"/>
      <c r="CK287" s="49"/>
      <c r="CL287" s="49"/>
      <c r="CM287" s="49"/>
      <c r="CN287" s="49"/>
    </row>
    <row r="288" spans="3:92">
      <c r="C288" s="6"/>
      <c r="E288" s="49"/>
      <c r="F288" s="49"/>
      <c r="G288" s="49"/>
      <c r="H288" s="49"/>
      <c r="I288" s="49"/>
      <c r="J288" s="49"/>
      <c r="K288" s="49"/>
      <c r="L288" s="49"/>
      <c r="M288" s="49"/>
      <c r="N288" s="49"/>
      <c r="O288" s="49"/>
      <c r="P288" s="49"/>
      <c r="Q288" s="524"/>
      <c r="R288" s="49"/>
      <c r="S288" s="49"/>
      <c r="T288" s="49"/>
      <c r="U288" s="49"/>
      <c r="V288" s="49"/>
      <c r="W288" s="49"/>
      <c r="X288" s="49"/>
      <c r="Y288" s="49"/>
      <c r="Z288" s="49"/>
      <c r="AA288" s="49"/>
      <c r="AB288" s="51"/>
      <c r="AC288" s="49"/>
      <c r="AD288" s="49"/>
      <c r="AE288" s="49"/>
      <c r="AF288" s="49"/>
      <c r="AG288" s="49"/>
      <c r="AH288" s="49"/>
      <c r="AI288" s="49"/>
      <c r="AJ288" s="49"/>
      <c r="AK288" s="49"/>
      <c r="AL288" s="49"/>
      <c r="AM288" s="49"/>
      <c r="AN288" s="49"/>
      <c r="AO288" s="49"/>
      <c r="AP288" s="49"/>
      <c r="AQ288" s="49"/>
      <c r="AR288" s="49"/>
      <c r="AS288" s="49"/>
      <c r="AT288" s="49"/>
      <c r="AU288" s="49"/>
      <c r="AV288" s="49"/>
      <c r="AW288" s="49"/>
      <c r="AX288" s="49"/>
      <c r="AY288" s="49"/>
      <c r="AZ288" s="49"/>
      <c r="BA288" s="49"/>
      <c r="BB288" s="49"/>
      <c r="BC288" s="49"/>
      <c r="BD288" s="49"/>
      <c r="BE288" s="49"/>
      <c r="BF288" s="49"/>
      <c r="BG288" s="49"/>
      <c r="BH288" s="49"/>
      <c r="BI288" s="49"/>
      <c r="BJ288" s="49"/>
      <c r="BK288" s="49"/>
      <c r="BL288" s="49"/>
      <c r="BM288" s="49"/>
      <c r="BN288" s="49"/>
      <c r="BO288" s="49"/>
      <c r="BP288" s="49"/>
      <c r="BQ288" s="49"/>
      <c r="BR288" s="49"/>
      <c r="BS288" s="49"/>
      <c r="BT288" s="49"/>
      <c r="BU288" s="49"/>
      <c r="BV288" s="49"/>
      <c r="BW288" s="49"/>
      <c r="BX288" s="49"/>
      <c r="BY288" s="49"/>
      <c r="BZ288" s="49"/>
      <c r="CA288" s="49"/>
      <c r="CB288" s="49"/>
      <c r="CC288" s="49"/>
      <c r="CD288" s="49"/>
      <c r="CE288" s="49"/>
      <c r="CF288" s="49"/>
      <c r="CG288" s="49"/>
      <c r="CH288" s="49"/>
      <c r="CI288" s="49"/>
      <c r="CJ288" s="49"/>
      <c r="CK288" s="49"/>
      <c r="CL288" s="49"/>
      <c r="CM288" s="49"/>
      <c r="CN288" s="49"/>
    </row>
    <row r="289" spans="3:92">
      <c r="C289" s="6"/>
      <c r="E289" s="49"/>
      <c r="F289" s="49"/>
      <c r="G289" s="49"/>
      <c r="H289" s="49"/>
      <c r="I289" s="49"/>
      <c r="J289" s="49"/>
      <c r="K289" s="49"/>
      <c r="L289" s="49"/>
      <c r="M289" s="49"/>
      <c r="N289" s="49"/>
      <c r="O289" s="49"/>
      <c r="P289" s="49"/>
      <c r="Q289" s="524"/>
      <c r="R289" s="49"/>
      <c r="S289" s="49"/>
      <c r="T289" s="49"/>
      <c r="U289" s="49"/>
      <c r="V289" s="49"/>
      <c r="W289" s="49"/>
      <c r="X289" s="49"/>
      <c r="Y289" s="49"/>
      <c r="Z289" s="49"/>
      <c r="AA289" s="49"/>
      <c r="AB289" s="51"/>
      <c r="AC289" s="49"/>
      <c r="AD289" s="49"/>
      <c r="AE289" s="49"/>
      <c r="AF289" s="49"/>
      <c r="AG289" s="49"/>
      <c r="AH289" s="49"/>
      <c r="AI289" s="49"/>
      <c r="AJ289" s="49"/>
      <c r="AK289" s="49"/>
      <c r="AL289" s="49"/>
      <c r="AM289" s="49"/>
      <c r="AN289" s="49"/>
      <c r="AO289" s="49"/>
      <c r="AP289" s="49"/>
      <c r="AQ289" s="49"/>
      <c r="AR289" s="49"/>
      <c r="AS289" s="49"/>
      <c r="AT289" s="49"/>
      <c r="AU289" s="49"/>
      <c r="AV289" s="49"/>
      <c r="AW289" s="49"/>
      <c r="AX289" s="49"/>
      <c r="AY289" s="49"/>
      <c r="AZ289" s="49"/>
      <c r="BA289" s="49"/>
      <c r="BB289" s="49"/>
      <c r="BC289" s="49"/>
      <c r="BD289" s="49"/>
      <c r="BE289" s="49"/>
      <c r="BF289" s="49"/>
      <c r="BG289" s="49"/>
      <c r="BH289" s="49"/>
      <c r="BI289" s="49"/>
      <c r="BJ289" s="49"/>
      <c r="BK289" s="49"/>
      <c r="BL289" s="49"/>
      <c r="BM289" s="49"/>
      <c r="BN289" s="49"/>
      <c r="BO289" s="49"/>
      <c r="BP289" s="49"/>
      <c r="BQ289" s="49"/>
      <c r="BR289" s="49"/>
      <c r="BS289" s="49"/>
      <c r="BT289" s="49"/>
      <c r="BU289" s="49"/>
      <c r="BV289" s="49"/>
      <c r="BW289" s="49"/>
      <c r="BX289" s="49"/>
      <c r="BY289" s="49"/>
      <c r="BZ289" s="49"/>
      <c r="CA289" s="49"/>
      <c r="CB289" s="49"/>
      <c r="CC289" s="49"/>
      <c r="CD289" s="49"/>
      <c r="CE289" s="49"/>
      <c r="CF289" s="49"/>
      <c r="CG289" s="49"/>
      <c r="CH289" s="49"/>
      <c r="CI289" s="49"/>
      <c r="CJ289" s="49"/>
      <c r="CK289" s="49"/>
      <c r="CL289" s="49"/>
      <c r="CM289" s="49"/>
      <c r="CN289" s="49"/>
    </row>
    <row r="993" spans="1:1">
      <c r="A993" s="55" t="s">
        <v>239</v>
      </c>
    </row>
  </sheetData>
  <sheetProtection formatCells="0" formatColumns="0" formatRows="0" insertColumns="0" insertRows="0" insertHyperlinks="0" deleteColumns="0" deleteRows="0" sort="0" autoFilter="0" pivotTables="0"/>
  <mergeCells count="26">
    <mergeCell ref="F6:K6"/>
    <mergeCell ref="A28:A41"/>
    <mergeCell ref="A46:A59"/>
    <mergeCell ref="E21:P21"/>
    <mergeCell ref="O23:O24"/>
    <mergeCell ref="P23:P24"/>
    <mergeCell ref="A43:C44"/>
    <mergeCell ref="F8:F10"/>
    <mergeCell ref="F12:F14"/>
    <mergeCell ref="F16:F18"/>
    <mergeCell ref="B104:C105"/>
    <mergeCell ref="Q21:AB21"/>
    <mergeCell ref="AC21:AN21"/>
    <mergeCell ref="AA23:AA24"/>
    <mergeCell ref="AB23:AB24"/>
    <mergeCell ref="AJ23:AJ24"/>
    <mergeCell ref="AM23:AM24"/>
    <mergeCell ref="AN23:AN24"/>
    <mergeCell ref="A70:C70"/>
    <mergeCell ref="A61:C62"/>
    <mergeCell ref="A64:C66"/>
    <mergeCell ref="E68:P68"/>
    <mergeCell ref="Q68:AB68"/>
    <mergeCell ref="AC68:AN68"/>
    <mergeCell ref="X23:X24"/>
    <mergeCell ref="L23:L24"/>
  </mergeCells>
  <phoneticPr fontId="22"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6C146-1D61-4F3C-9CF3-E51620AB4BFF}">
  <sheetPr>
    <tabColor rgb="FFFF15DE"/>
  </sheetPr>
  <dimension ref="B1:AT729"/>
  <sheetViews>
    <sheetView showGridLines="0" topLeftCell="A3" zoomScale="61" zoomScaleNormal="85" workbookViewId="0">
      <pane xSplit="7" topLeftCell="AD1" activePane="topRight" state="frozen"/>
      <selection pane="topRight" activeCell="AE42" sqref="AE42"/>
    </sheetView>
  </sheetViews>
  <sheetFormatPr defaultColWidth="8.796875" defaultRowHeight="15.6"/>
  <cols>
    <col min="1" max="1" width="14.19921875" customWidth="1"/>
    <col min="2" max="2" width="8.19921875" customWidth="1"/>
    <col min="6" max="6" width="3.69921875" style="391" customWidth="1"/>
    <col min="7" max="7" width="46.69921875" style="399" customWidth="1"/>
    <col min="8" max="8" width="6.69921875" style="391" customWidth="1"/>
    <col min="9" max="9" width="12.19921875" style="391" customWidth="1"/>
    <col min="10" max="19" width="10.19921875" style="391" bestFit="1" customWidth="1"/>
    <col min="20" max="20" width="10.19921875" style="440" bestFit="1" customWidth="1"/>
    <col min="21" max="21" width="12.796875" style="391" customWidth="1"/>
    <col min="22" max="31" width="10.19921875" style="391" bestFit="1" customWidth="1"/>
    <col min="32" max="32" width="10.19921875" style="398" bestFit="1" customWidth="1"/>
    <col min="33" max="41" width="10.19921875" style="391" bestFit="1" customWidth="1"/>
    <col min="42" max="43" width="9.5" style="391" customWidth="1"/>
    <col min="44" max="44" width="10.296875" style="430" customWidth="1"/>
  </cols>
  <sheetData>
    <row r="1" spans="2:46">
      <c r="T1" s="391"/>
      <c r="AF1" s="391"/>
      <c r="AR1"/>
    </row>
    <row r="2" spans="2:46" s="532" customFormat="1" ht="28.8">
      <c r="B2" s="531" t="s">
        <v>547</v>
      </c>
      <c r="G2" s="533"/>
      <c r="H2" s="534"/>
    </row>
    <row r="3" spans="2:46">
      <c r="T3" s="391"/>
      <c r="V3" s="392"/>
      <c r="AF3" s="391"/>
      <c r="AR3"/>
    </row>
    <row r="4" spans="2:46">
      <c r="F4" s="393"/>
      <c r="G4" s="400"/>
      <c r="H4" s="394"/>
      <c r="T4" s="391"/>
      <c r="U4" s="394"/>
      <c r="V4" s="394"/>
      <c r="W4" s="394"/>
      <c r="X4" s="394"/>
      <c r="Y4" s="394"/>
      <c r="Z4" s="394"/>
      <c r="AA4" s="394"/>
      <c r="AB4" s="394"/>
      <c r="AC4" s="394"/>
      <c r="AD4" s="394"/>
      <c r="AE4" s="394"/>
      <c r="AF4" s="394"/>
      <c r="AG4" s="394"/>
      <c r="AH4" s="394"/>
      <c r="AI4" s="394"/>
      <c r="AJ4" s="394"/>
      <c r="AK4" s="394"/>
      <c r="AL4" s="394"/>
      <c r="AM4" s="394"/>
      <c r="AN4" s="394"/>
      <c r="AO4" s="394"/>
      <c r="AP4" s="394"/>
      <c r="AQ4" s="394"/>
      <c r="AR4"/>
    </row>
    <row r="5" spans="2:46">
      <c r="F5" s="396"/>
      <c r="H5" s="396"/>
      <c r="I5" s="1247"/>
      <c r="J5" s="1247"/>
      <c r="K5" s="1247"/>
      <c r="L5" s="1247"/>
      <c r="M5" s="1247"/>
      <c r="N5" s="1247"/>
      <c r="O5" s="1247"/>
      <c r="P5" s="1247"/>
      <c r="Q5" s="1247"/>
      <c r="R5" s="1247"/>
      <c r="S5" s="1247"/>
      <c r="T5" s="1247"/>
      <c r="U5" s="1246"/>
      <c r="V5" s="1247"/>
      <c r="W5" s="1247"/>
      <c r="X5" s="1247"/>
      <c r="Y5" s="1247"/>
      <c r="Z5" s="1247"/>
      <c r="AA5" s="1247"/>
      <c r="AB5" s="1247"/>
      <c r="AC5" s="1247"/>
      <c r="AD5" s="1247"/>
      <c r="AE5" s="1247"/>
      <c r="AF5" s="1248"/>
      <c r="AG5" s="1246"/>
      <c r="AH5" s="1247"/>
      <c r="AI5" s="1247"/>
      <c r="AJ5" s="1247"/>
      <c r="AK5" s="1247"/>
      <c r="AL5" s="1247"/>
      <c r="AM5" s="1247"/>
      <c r="AN5" s="1247"/>
      <c r="AO5" s="1247"/>
      <c r="AP5" s="1247"/>
      <c r="AQ5" s="1247"/>
      <c r="AR5" s="1248"/>
    </row>
    <row r="6" spans="2:46">
      <c r="F6" s="396"/>
      <c r="H6" s="488" t="s">
        <v>33</v>
      </c>
      <c r="I6" s="386">
        <v>45292</v>
      </c>
      <c r="J6" s="387">
        <f>EOMONTH(I6,1)</f>
        <v>45351</v>
      </c>
      <c r="K6" s="387">
        <f t="shared" ref="K6:AR6" si="0">EOMONTH(J6,1)</f>
        <v>45382</v>
      </c>
      <c r="L6" s="387">
        <f t="shared" si="0"/>
        <v>45412</v>
      </c>
      <c r="M6" s="387">
        <f t="shared" si="0"/>
        <v>45443</v>
      </c>
      <c r="N6" s="387">
        <f t="shared" si="0"/>
        <v>45473</v>
      </c>
      <c r="O6" s="387">
        <f t="shared" si="0"/>
        <v>45504</v>
      </c>
      <c r="P6" s="387">
        <f t="shared" si="0"/>
        <v>45535</v>
      </c>
      <c r="Q6" s="387">
        <f t="shared" si="0"/>
        <v>45565</v>
      </c>
      <c r="R6" s="387">
        <f t="shared" si="0"/>
        <v>45596</v>
      </c>
      <c r="S6" s="387">
        <f t="shared" si="0"/>
        <v>45626</v>
      </c>
      <c r="T6" s="387">
        <f t="shared" si="0"/>
        <v>45657</v>
      </c>
      <c r="U6" s="821">
        <f t="shared" si="0"/>
        <v>45688</v>
      </c>
      <c r="V6" s="387">
        <f t="shared" si="0"/>
        <v>45716</v>
      </c>
      <c r="W6" s="387">
        <f t="shared" si="0"/>
        <v>45747</v>
      </c>
      <c r="X6" s="387">
        <f t="shared" si="0"/>
        <v>45777</v>
      </c>
      <c r="Y6" s="387">
        <f t="shared" si="0"/>
        <v>45808</v>
      </c>
      <c r="Z6" s="387">
        <f t="shared" si="0"/>
        <v>45838</v>
      </c>
      <c r="AA6" s="387">
        <f t="shared" si="0"/>
        <v>45869</v>
      </c>
      <c r="AB6" s="387">
        <f t="shared" si="0"/>
        <v>45900</v>
      </c>
      <c r="AC6" s="387">
        <f t="shared" si="0"/>
        <v>45930</v>
      </c>
      <c r="AD6" s="387">
        <f t="shared" si="0"/>
        <v>45961</v>
      </c>
      <c r="AE6" s="387">
        <f t="shared" si="0"/>
        <v>45991</v>
      </c>
      <c r="AF6" s="431">
        <f t="shared" si="0"/>
        <v>46022</v>
      </c>
      <c r="AG6" s="821">
        <f t="shared" si="0"/>
        <v>46053</v>
      </c>
      <c r="AH6" s="387">
        <f t="shared" si="0"/>
        <v>46081</v>
      </c>
      <c r="AI6" s="387">
        <f t="shared" si="0"/>
        <v>46112</v>
      </c>
      <c r="AJ6" s="387">
        <f t="shared" si="0"/>
        <v>46142</v>
      </c>
      <c r="AK6" s="387">
        <f t="shared" si="0"/>
        <v>46173</v>
      </c>
      <c r="AL6" s="387">
        <f t="shared" si="0"/>
        <v>46203</v>
      </c>
      <c r="AM6" s="387">
        <f t="shared" si="0"/>
        <v>46234</v>
      </c>
      <c r="AN6" s="387">
        <f t="shared" si="0"/>
        <v>46265</v>
      </c>
      <c r="AO6" s="387">
        <f t="shared" si="0"/>
        <v>46295</v>
      </c>
      <c r="AP6" s="387">
        <f t="shared" si="0"/>
        <v>46326</v>
      </c>
      <c r="AQ6" s="387">
        <f t="shared" si="0"/>
        <v>46356</v>
      </c>
      <c r="AR6" s="431">
        <f t="shared" si="0"/>
        <v>46387</v>
      </c>
      <c r="AS6" s="387"/>
      <c r="AT6" s="387"/>
    </row>
    <row r="7" spans="2:46" ht="16.2" thickBot="1">
      <c r="F7" s="396"/>
      <c r="H7" s="385"/>
      <c r="T7" s="391"/>
      <c r="U7" s="821"/>
      <c r="V7" s="387"/>
      <c r="W7" s="387"/>
      <c r="X7" s="387"/>
      <c r="Y7" s="387"/>
      <c r="Z7" s="387"/>
      <c r="AA7" s="387"/>
      <c r="AB7" s="387"/>
      <c r="AC7" s="387"/>
      <c r="AD7" s="387"/>
      <c r="AE7" s="387"/>
      <c r="AF7" s="431"/>
      <c r="AG7" s="821"/>
      <c r="AH7" s="387"/>
      <c r="AI7" s="387"/>
      <c r="AJ7" s="387"/>
      <c r="AK7" s="387"/>
      <c r="AL7" s="387"/>
      <c r="AM7" s="387"/>
      <c r="AN7" s="387"/>
      <c r="AO7" s="387"/>
      <c r="AP7" s="387"/>
      <c r="AQ7" s="387"/>
      <c r="AR7" s="431"/>
      <c r="AS7" s="387"/>
      <c r="AT7" s="387"/>
    </row>
    <row r="8" spans="2:46" ht="16.2" thickTop="1">
      <c r="B8" s="557"/>
      <c r="C8" s="558"/>
      <c r="D8" s="558"/>
      <c r="E8" s="558"/>
      <c r="F8" s="559"/>
      <c r="G8" s="414" t="s">
        <v>433</v>
      </c>
      <c r="H8" s="410">
        <v>0.3</v>
      </c>
      <c r="I8" s="416"/>
      <c r="J8" s="416"/>
      <c r="K8" s="416"/>
      <c r="L8" s="416"/>
      <c r="M8" s="416"/>
      <c r="N8" s="416"/>
      <c r="O8" s="416"/>
      <c r="P8" s="416"/>
      <c r="Q8" s="416"/>
      <c r="R8" s="416"/>
      <c r="S8" s="416"/>
      <c r="T8" s="416"/>
      <c r="U8" s="822"/>
      <c r="V8" s="416"/>
      <c r="W8" s="416"/>
      <c r="X8" s="416"/>
      <c r="Y8" s="416"/>
      <c r="Z8" s="416"/>
      <c r="AA8" s="416"/>
      <c r="AB8" s="416"/>
      <c r="AC8" s="416"/>
      <c r="AD8" s="416"/>
      <c r="AE8" s="416"/>
      <c r="AF8" s="433"/>
      <c r="AG8" s="822"/>
      <c r="AH8" s="416"/>
      <c r="AI8" s="416"/>
      <c r="AJ8" s="416"/>
      <c r="AK8" s="416"/>
      <c r="AL8" s="416"/>
      <c r="AM8" s="416"/>
      <c r="AN8" s="416"/>
      <c r="AO8" s="416"/>
      <c r="AP8" s="416"/>
      <c r="AQ8" s="416"/>
      <c r="AR8" s="433"/>
      <c r="AT8" s="387"/>
    </row>
    <row r="9" spans="2:46">
      <c r="B9" s="560"/>
      <c r="C9" s="2"/>
      <c r="D9" s="2"/>
      <c r="E9" s="2"/>
      <c r="F9" s="561"/>
      <c r="G9" s="414"/>
      <c r="H9" s="415"/>
      <c r="I9" s="416"/>
      <c r="J9" s="416"/>
      <c r="K9" s="416"/>
      <c r="L9" s="416"/>
      <c r="M9" s="416"/>
      <c r="N9" s="416"/>
      <c r="O9" s="416"/>
      <c r="P9" s="416"/>
      <c r="Q9" s="416"/>
      <c r="R9" s="416"/>
      <c r="S9" s="416"/>
      <c r="T9" s="416"/>
      <c r="U9" s="822"/>
      <c r="V9" s="416"/>
      <c r="W9" s="416"/>
      <c r="X9" s="416"/>
      <c r="Y9" s="416"/>
      <c r="Z9" s="416"/>
      <c r="AA9" s="416"/>
      <c r="AB9" s="416"/>
      <c r="AC9" s="416"/>
      <c r="AD9" s="416"/>
      <c r="AE9" s="416"/>
      <c r="AF9" s="433"/>
      <c r="AG9" s="822"/>
      <c r="AH9" s="416"/>
      <c r="AI9" s="416"/>
      <c r="AJ9" s="416"/>
      <c r="AK9" s="416"/>
      <c r="AL9" s="416"/>
      <c r="AM9" s="416"/>
      <c r="AN9" s="416"/>
      <c r="AO9" s="416"/>
      <c r="AP9" s="416"/>
      <c r="AQ9" s="416"/>
      <c r="AR9" s="433"/>
      <c r="AT9" s="387"/>
    </row>
    <row r="10" spans="2:46">
      <c r="B10" s="560"/>
      <c r="C10" s="2"/>
      <c r="D10" s="2"/>
      <c r="E10" s="2"/>
      <c r="F10" s="561"/>
      <c r="G10" s="417" t="s">
        <v>437</v>
      </c>
      <c r="H10" s="416"/>
      <c r="I10" s="418"/>
      <c r="J10" s="416"/>
      <c r="K10" s="416"/>
      <c r="L10" s="416"/>
      <c r="M10" s="416"/>
      <c r="N10" s="416"/>
      <c r="O10" s="416"/>
      <c r="P10" s="416"/>
      <c r="Q10" s="416"/>
      <c r="R10" s="416"/>
      <c r="S10" s="416"/>
      <c r="T10" s="416"/>
      <c r="U10" s="822"/>
      <c r="V10" s="416"/>
      <c r="W10" s="416"/>
      <c r="X10" s="416"/>
      <c r="Y10" s="416"/>
      <c r="Z10" s="416"/>
      <c r="AA10" s="416"/>
      <c r="AB10" s="416"/>
      <c r="AC10" s="416"/>
      <c r="AD10" s="416"/>
      <c r="AE10" s="416"/>
      <c r="AF10" s="433"/>
      <c r="AG10" s="822"/>
      <c r="AH10" s="416"/>
      <c r="AI10" s="416"/>
      <c r="AJ10" s="416"/>
      <c r="AK10" s="416"/>
      <c r="AL10" s="416"/>
      <c r="AM10" s="416"/>
      <c r="AN10" s="416"/>
      <c r="AO10" s="416"/>
      <c r="AP10" s="416"/>
      <c r="AQ10" s="416"/>
      <c r="AR10" s="433"/>
      <c r="AT10" s="387"/>
    </row>
    <row r="11" spans="2:46" ht="18">
      <c r="B11" s="560"/>
      <c r="C11" s="1249" t="s">
        <v>298</v>
      </c>
      <c r="D11" s="1249"/>
      <c r="E11" s="2"/>
      <c r="F11" s="561"/>
      <c r="G11" s="419" t="s">
        <v>423</v>
      </c>
      <c r="H11" s="416"/>
      <c r="I11" s="388">
        <v>20</v>
      </c>
      <c r="J11" s="420">
        <f>I14</f>
        <v>10</v>
      </c>
      <c r="K11" s="420">
        <f t="shared" ref="K11:AR11" si="1">J14</f>
        <v>13</v>
      </c>
      <c r="L11" s="420">
        <f t="shared" si="1"/>
        <v>14.3</v>
      </c>
      <c r="M11" s="420">
        <f t="shared" si="1"/>
        <v>15.6</v>
      </c>
      <c r="N11" s="420">
        <f t="shared" si="1"/>
        <v>16.899999999999999</v>
      </c>
      <c r="O11" s="420">
        <f t="shared" si="1"/>
        <v>18.2</v>
      </c>
      <c r="P11" s="420">
        <f t="shared" si="1"/>
        <v>19.5</v>
      </c>
      <c r="Q11" s="420">
        <f t="shared" si="1"/>
        <v>20.8</v>
      </c>
      <c r="R11" s="420">
        <f t="shared" si="1"/>
        <v>24.7</v>
      </c>
      <c r="S11" s="420">
        <f t="shared" si="1"/>
        <v>20.8</v>
      </c>
      <c r="T11" s="420">
        <f t="shared" si="1"/>
        <v>22.099999999999998</v>
      </c>
      <c r="U11" s="823">
        <f t="shared" si="1"/>
        <v>33.799999999999997</v>
      </c>
      <c r="V11" s="420">
        <f t="shared" si="1"/>
        <v>40.299999999999997</v>
      </c>
      <c r="W11" s="420">
        <f t="shared" si="1"/>
        <v>23.4</v>
      </c>
      <c r="X11" s="420">
        <f t="shared" si="1"/>
        <v>24.7</v>
      </c>
      <c r="Y11" s="420">
        <f t="shared" si="1"/>
        <v>26</v>
      </c>
      <c r="Z11" s="420">
        <f t="shared" si="1"/>
        <v>27.3</v>
      </c>
      <c r="AA11" s="420">
        <f t="shared" si="1"/>
        <v>28.599999999999998</v>
      </c>
      <c r="AB11" s="420">
        <f t="shared" si="1"/>
        <v>29.9</v>
      </c>
      <c r="AC11" s="420">
        <f t="shared" si="1"/>
        <v>31.2</v>
      </c>
      <c r="AD11" s="420">
        <f t="shared" si="1"/>
        <v>37.700000000000003</v>
      </c>
      <c r="AE11" s="420">
        <f t="shared" si="1"/>
        <v>31.2</v>
      </c>
      <c r="AF11" s="434">
        <f t="shared" si="1"/>
        <v>32.5</v>
      </c>
      <c r="AG11" s="823">
        <f t="shared" si="1"/>
        <v>33.799999999999997</v>
      </c>
      <c r="AH11" s="420">
        <f t="shared" si="1"/>
        <v>58.5</v>
      </c>
      <c r="AI11" s="420">
        <f t="shared" si="1"/>
        <v>39</v>
      </c>
      <c r="AJ11" s="420">
        <f t="shared" si="1"/>
        <v>46.8</v>
      </c>
      <c r="AK11" s="420">
        <f t="shared" si="1"/>
        <v>57.2</v>
      </c>
      <c r="AL11" s="420">
        <f t="shared" si="1"/>
        <v>68.899999999999991</v>
      </c>
      <c r="AM11" s="420">
        <f t="shared" si="1"/>
        <v>83.2</v>
      </c>
      <c r="AN11" s="420">
        <f t="shared" si="1"/>
        <v>100.1</v>
      </c>
      <c r="AO11" s="420">
        <f t="shared" si="1"/>
        <v>120.9</v>
      </c>
      <c r="AP11" s="420">
        <f t="shared" si="1"/>
        <v>126.1</v>
      </c>
      <c r="AQ11" s="420">
        <f t="shared" si="1"/>
        <v>120.9</v>
      </c>
      <c r="AR11" s="434">
        <f t="shared" si="1"/>
        <v>145.6</v>
      </c>
    </row>
    <row r="12" spans="2:46">
      <c r="B12" s="560"/>
      <c r="E12" s="2"/>
      <c r="F12" s="561"/>
      <c r="G12" s="419" t="s">
        <v>424</v>
      </c>
      <c r="H12" s="416"/>
      <c r="I12" s="418" cm="1">
        <f t="array" ref="I12:AR12">-'Sales Forecast'!E28:AN28</f>
        <v>-10</v>
      </c>
      <c r="J12" s="420">
        <v>-11</v>
      </c>
      <c r="K12" s="420">
        <v>-12</v>
      </c>
      <c r="L12" s="420">
        <v>-13</v>
      </c>
      <c r="M12" s="420">
        <v>-14</v>
      </c>
      <c r="N12" s="420">
        <v>-15</v>
      </c>
      <c r="O12" s="420">
        <v>-16</v>
      </c>
      <c r="P12" s="420">
        <v>-19</v>
      </c>
      <c r="Q12" s="420">
        <v>-16</v>
      </c>
      <c r="R12" s="420">
        <v>-17</v>
      </c>
      <c r="S12" s="420">
        <v>-26</v>
      </c>
      <c r="T12" s="420">
        <v>-31</v>
      </c>
      <c r="U12" s="823">
        <v>-18</v>
      </c>
      <c r="V12" s="420">
        <v>-19</v>
      </c>
      <c r="W12" s="420">
        <v>-20</v>
      </c>
      <c r="X12" s="420">
        <v>-21</v>
      </c>
      <c r="Y12" s="420">
        <v>-22</v>
      </c>
      <c r="Z12" s="420">
        <v>-23</v>
      </c>
      <c r="AA12" s="420">
        <v>-24</v>
      </c>
      <c r="AB12" s="420">
        <v>-29</v>
      </c>
      <c r="AC12" s="420">
        <v>-24</v>
      </c>
      <c r="AD12" s="420">
        <v>-25</v>
      </c>
      <c r="AE12" s="420">
        <v>-26</v>
      </c>
      <c r="AF12" s="434">
        <v>-45</v>
      </c>
      <c r="AG12" s="823">
        <v>-30</v>
      </c>
      <c r="AH12" s="420">
        <v>-36</v>
      </c>
      <c r="AI12" s="420">
        <v>-44</v>
      </c>
      <c r="AJ12" s="420">
        <v>-53</v>
      </c>
      <c r="AK12" s="420">
        <v>-64</v>
      </c>
      <c r="AL12" s="420">
        <v>-77</v>
      </c>
      <c r="AM12" s="420">
        <v>-93</v>
      </c>
      <c r="AN12" s="420">
        <v>-97</v>
      </c>
      <c r="AO12" s="420">
        <v>-93</v>
      </c>
      <c r="AP12" s="420">
        <v>-112</v>
      </c>
      <c r="AQ12" s="420">
        <v>-168</v>
      </c>
      <c r="AR12" s="434">
        <v>-202</v>
      </c>
      <c r="AS12" s="397"/>
    </row>
    <row r="13" spans="2:46">
      <c r="B13" s="560"/>
      <c r="C13" s="2"/>
      <c r="D13" s="2"/>
      <c r="E13" s="2"/>
      <c r="F13" s="561"/>
      <c r="G13" s="419" t="s">
        <v>425</v>
      </c>
      <c r="H13" s="416"/>
      <c r="I13" s="421">
        <v>0</v>
      </c>
      <c r="J13" s="422">
        <f>I21</f>
        <v>14</v>
      </c>
      <c r="K13" s="422">
        <f t="shared" ref="K13:AR13" si="2">J21</f>
        <v>13.3</v>
      </c>
      <c r="L13" s="422">
        <f t="shared" si="2"/>
        <v>14.299999999999999</v>
      </c>
      <c r="M13" s="422">
        <f t="shared" si="2"/>
        <v>15.3</v>
      </c>
      <c r="N13" s="422">
        <f t="shared" si="2"/>
        <v>16.3</v>
      </c>
      <c r="O13" s="422">
        <f t="shared" si="2"/>
        <v>17.3</v>
      </c>
      <c r="P13" s="422">
        <f t="shared" si="2"/>
        <v>20.3</v>
      </c>
      <c r="Q13" s="422">
        <f t="shared" si="2"/>
        <v>19.899999999999999</v>
      </c>
      <c r="R13" s="422">
        <f t="shared" si="2"/>
        <v>13.100000000000001</v>
      </c>
      <c r="S13" s="422">
        <f t="shared" si="2"/>
        <v>27.299999999999997</v>
      </c>
      <c r="T13" s="422">
        <f t="shared" si="2"/>
        <v>42.7</v>
      </c>
      <c r="U13" s="824">
        <f t="shared" si="2"/>
        <v>24.5</v>
      </c>
      <c r="V13" s="422">
        <f t="shared" si="2"/>
        <v>2.1000000000000023</v>
      </c>
      <c r="W13" s="422">
        <f t="shared" si="2"/>
        <v>21.3</v>
      </c>
      <c r="X13" s="422">
        <f t="shared" si="2"/>
        <v>22.3</v>
      </c>
      <c r="Y13" s="422">
        <f t="shared" si="2"/>
        <v>23.3</v>
      </c>
      <c r="Z13" s="422">
        <f t="shared" si="2"/>
        <v>24.299999999999997</v>
      </c>
      <c r="AA13" s="422">
        <f t="shared" si="2"/>
        <v>25.3</v>
      </c>
      <c r="AB13" s="422">
        <f t="shared" si="2"/>
        <v>30.3</v>
      </c>
      <c r="AC13" s="422">
        <f t="shared" si="2"/>
        <v>30.5</v>
      </c>
      <c r="AD13" s="422">
        <f t="shared" si="2"/>
        <v>18.499999999999996</v>
      </c>
      <c r="AE13" s="422">
        <f t="shared" si="2"/>
        <v>27.3</v>
      </c>
      <c r="AF13" s="435">
        <f t="shared" si="2"/>
        <v>46.3</v>
      </c>
      <c r="AG13" s="824">
        <f t="shared" si="2"/>
        <v>54.7</v>
      </c>
      <c r="AH13" s="422">
        <f t="shared" si="2"/>
        <v>16.5</v>
      </c>
      <c r="AI13" s="422">
        <f t="shared" si="2"/>
        <v>51.8</v>
      </c>
      <c r="AJ13" s="422">
        <f t="shared" si="2"/>
        <v>63.400000000000006</v>
      </c>
      <c r="AK13" s="422">
        <f t="shared" si="2"/>
        <v>75.699999999999989</v>
      </c>
      <c r="AL13" s="422">
        <f t="shared" si="2"/>
        <v>91.300000000000011</v>
      </c>
      <c r="AM13" s="422">
        <f t="shared" si="2"/>
        <v>109.89999999999999</v>
      </c>
      <c r="AN13" s="422">
        <f t="shared" si="2"/>
        <v>117.80000000000001</v>
      </c>
      <c r="AO13" s="422">
        <f t="shared" si="2"/>
        <v>98.199999999999989</v>
      </c>
      <c r="AP13" s="422">
        <f t="shared" si="2"/>
        <v>106.80000000000001</v>
      </c>
      <c r="AQ13" s="422">
        <f t="shared" si="2"/>
        <v>192.7</v>
      </c>
      <c r="AR13" s="435">
        <f t="shared" si="2"/>
        <v>274.8</v>
      </c>
    </row>
    <row r="14" spans="2:46">
      <c r="B14" s="560"/>
      <c r="C14" s="2"/>
      <c r="D14" s="2"/>
      <c r="E14" s="2"/>
      <c r="F14" s="562"/>
      <c r="G14" s="417" t="s">
        <v>426</v>
      </c>
      <c r="H14" s="423"/>
      <c r="I14" s="424">
        <f>SUM(I11:I13)</f>
        <v>10</v>
      </c>
      <c r="J14" s="424">
        <f>SUM(J11:J13)</f>
        <v>13</v>
      </c>
      <c r="K14" s="424">
        <f t="shared" ref="K14:AR14" si="3">SUM(K11:K13)</f>
        <v>14.3</v>
      </c>
      <c r="L14" s="424">
        <f t="shared" si="3"/>
        <v>15.6</v>
      </c>
      <c r="M14" s="424">
        <f t="shared" si="3"/>
        <v>16.899999999999999</v>
      </c>
      <c r="N14" s="424">
        <f t="shared" si="3"/>
        <v>18.2</v>
      </c>
      <c r="O14" s="424">
        <f t="shared" si="3"/>
        <v>19.5</v>
      </c>
      <c r="P14" s="424">
        <f t="shared" si="3"/>
        <v>20.8</v>
      </c>
      <c r="Q14" s="424">
        <f t="shared" si="3"/>
        <v>24.7</v>
      </c>
      <c r="R14" s="424">
        <f t="shared" si="3"/>
        <v>20.8</v>
      </c>
      <c r="S14" s="424">
        <f t="shared" si="3"/>
        <v>22.099999999999998</v>
      </c>
      <c r="T14" s="816">
        <f t="shared" si="3"/>
        <v>33.799999999999997</v>
      </c>
      <c r="U14" s="820">
        <f t="shared" si="3"/>
        <v>40.299999999999997</v>
      </c>
      <c r="V14" s="816">
        <f t="shared" si="3"/>
        <v>23.4</v>
      </c>
      <c r="W14" s="816">
        <f t="shared" si="3"/>
        <v>24.7</v>
      </c>
      <c r="X14" s="816">
        <f t="shared" si="3"/>
        <v>26</v>
      </c>
      <c r="Y14" s="816">
        <f t="shared" si="3"/>
        <v>27.3</v>
      </c>
      <c r="Z14" s="816">
        <f t="shared" si="3"/>
        <v>28.599999999999998</v>
      </c>
      <c r="AA14" s="816">
        <f t="shared" si="3"/>
        <v>29.9</v>
      </c>
      <c r="AB14" s="816">
        <f t="shared" si="3"/>
        <v>31.2</v>
      </c>
      <c r="AC14" s="816">
        <f t="shared" si="3"/>
        <v>37.700000000000003</v>
      </c>
      <c r="AD14" s="816">
        <f t="shared" si="3"/>
        <v>31.2</v>
      </c>
      <c r="AE14" s="816">
        <f t="shared" si="3"/>
        <v>32.5</v>
      </c>
      <c r="AF14" s="436">
        <f t="shared" si="3"/>
        <v>33.799999999999997</v>
      </c>
      <c r="AG14" s="820">
        <f t="shared" si="3"/>
        <v>58.5</v>
      </c>
      <c r="AH14" s="816">
        <f t="shared" si="3"/>
        <v>39</v>
      </c>
      <c r="AI14" s="816">
        <f t="shared" si="3"/>
        <v>46.8</v>
      </c>
      <c r="AJ14" s="816">
        <f t="shared" si="3"/>
        <v>57.2</v>
      </c>
      <c r="AK14" s="816">
        <f t="shared" si="3"/>
        <v>68.899999999999991</v>
      </c>
      <c r="AL14" s="816">
        <f t="shared" si="3"/>
        <v>83.2</v>
      </c>
      <c r="AM14" s="816">
        <f t="shared" si="3"/>
        <v>100.1</v>
      </c>
      <c r="AN14" s="816">
        <f t="shared" si="3"/>
        <v>120.9</v>
      </c>
      <c r="AO14" s="816">
        <f t="shared" si="3"/>
        <v>126.1</v>
      </c>
      <c r="AP14" s="816">
        <f t="shared" si="3"/>
        <v>120.9</v>
      </c>
      <c r="AQ14" s="816">
        <f t="shared" si="3"/>
        <v>145.6</v>
      </c>
      <c r="AR14" s="436">
        <f t="shared" si="3"/>
        <v>218.4</v>
      </c>
      <c r="AS14" s="1"/>
      <c r="AT14" s="397"/>
    </row>
    <row r="15" spans="2:46">
      <c r="B15" s="560"/>
      <c r="C15" s="2"/>
      <c r="D15" s="2"/>
      <c r="E15" s="2"/>
      <c r="F15" s="562"/>
      <c r="G15" s="417"/>
      <c r="H15" s="423"/>
      <c r="I15" s="424"/>
      <c r="J15" s="424"/>
      <c r="K15" s="424"/>
      <c r="L15" s="424"/>
      <c r="M15" s="424"/>
      <c r="N15" s="424"/>
      <c r="O15" s="424"/>
      <c r="P15" s="424"/>
      <c r="Q15" s="424"/>
      <c r="R15" s="424"/>
      <c r="S15" s="424"/>
      <c r="T15" s="816"/>
      <c r="U15" s="820"/>
      <c r="V15" s="816"/>
      <c r="W15" s="816"/>
      <c r="X15" s="816"/>
      <c r="Y15" s="816"/>
      <c r="Z15" s="816"/>
      <c r="AA15" s="816"/>
      <c r="AB15" s="816"/>
      <c r="AC15" s="816"/>
      <c r="AD15" s="816"/>
      <c r="AE15" s="816"/>
      <c r="AF15" s="436"/>
      <c r="AG15" s="820"/>
      <c r="AH15" s="816"/>
      <c r="AI15" s="816"/>
      <c r="AJ15" s="816"/>
      <c r="AK15" s="816"/>
      <c r="AL15" s="816"/>
      <c r="AM15" s="816"/>
      <c r="AN15" s="816"/>
      <c r="AO15" s="816"/>
      <c r="AP15" s="816"/>
      <c r="AQ15" s="816"/>
      <c r="AR15" s="436"/>
      <c r="AS15" s="1"/>
    </row>
    <row r="16" spans="2:46">
      <c r="B16" s="560"/>
      <c r="C16" s="2"/>
      <c r="D16" s="2"/>
      <c r="E16" s="2"/>
      <c r="F16" s="561"/>
      <c r="G16" s="417" t="s">
        <v>438</v>
      </c>
      <c r="H16" s="416"/>
      <c r="I16" s="418"/>
      <c r="J16" s="416"/>
      <c r="K16" s="416"/>
      <c r="L16" s="416"/>
      <c r="M16" s="416"/>
      <c r="N16" s="416"/>
      <c r="O16" s="416"/>
      <c r="P16" s="416"/>
      <c r="Q16" s="416"/>
      <c r="R16" s="416"/>
      <c r="S16" s="416"/>
      <c r="T16" s="416"/>
      <c r="U16" s="822"/>
      <c r="V16" s="416"/>
      <c r="W16" s="416"/>
      <c r="X16" s="416"/>
      <c r="Y16" s="416"/>
      <c r="Z16" s="416"/>
      <c r="AA16" s="416"/>
      <c r="AB16" s="416"/>
      <c r="AC16" s="416"/>
      <c r="AD16" s="416"/>
      <c r="AE16" s="416"/>
      <c r="AF16" s="433"/>
      <c r="AG16" s="822"/>
      <c r="AH16" s="416"/>
      <c r="AI16" s="416"/>
      <c r="AJ16" s="416"/>
      <c r="AK16" s="416"/>
      <c r="AL16" s="416"/>
      <c r="AM16" s="416"/>
      <c r="AN16" s="416"/>
      <c r="AO16" s="416"/>
      <c r="AP16" s="416"/>
      <c r="AQ16" s="416"/>
      <c r="AR16" s="433"/>
      <c r="AT16" s="1"/>
    </row>
    <row r="17" spans="2:46">
      <c r="B17" s="560"/>
      <c r="C17" s="2"/>
      <c r="D17" s="2"/>
      <c r="E17" s="2"/>
      <c r="F17" s="561"/>
      <c r="G17" s="419" t="s">
        <v>427</v>
      </c>
      <c r="H17" s="416"/>
      <c r="I17" s="418">
        <f>-(I12+J12)</f>
        <v>21</v>
      </c>
      <c r="J17" s="418">
        <f t="shared" ref="J17:AQ17" si="4">-(J12+K12)</f>
        <v>23</v>
      </c>
      <c r="K17" s="418">
        <f t="shared" si="4"/>
        <v>25</v>
      </c>
      <c r="L17" s="418">
        <f t="shared" si="4"/>
        <v>27</v>
      </c>
      <c r="M17" s="418">
        <f t="shared" si="4"/>
        <v>29</v>
      </c>
      <c r="N17" s="418">
        <f t="shared" si="4"/>
        <v>31</v>
      </c>
      <c r="O17" s="418">
        <f t="shared" si="4"/>
        <v>35</v>
      </c>
      <c r="P17" s="418">
        <f t="shared" si="4"/>
        <v>35</v>
      </c>
      <c r="Q17" s="418">
        <f t="shared" si="4"/>
        <v>33</v>
      </c>
      <c r="R17" s="418">
        <f t="shared" si="4"/>
        <v>43</v>
      </c>
      <c r="S17" s="418">
        <f t="shared" si="4"/>
        <v>57</v>
      </c>
      <c r="T17" s="817">
        <f t="shared" si="4"/>
        <v>49</v>
      </c>
      <c r="U17" s="825">
        <f t="shared" si="4"/>
        <v>37</v>
      </c>
      <c r="V17" s="817">
        <f t="shared" si="4"/>
        <v>39</v>
      </c>
      <c r="W17" s="817">
        <f t="shared" si="4"/>
        <v>41</v>
      </c>
      <c r="X17" s="817">
        <f t="shared" si="4"/>
        <v>43</v>
      </c>
      <c r="Y17" s="817">
        <f t="shared" si="4"/>
        <v>45</v>
      </c>
      <c r="Z17" s="817">
        <f t="shared" si="4"/>
        <v>47</v>
      </c>
      <c r="AA17" s="817">
        <f t="shared" si="4"/>
        <v>53</v>
      </c>
      <c r="AB17" s="817">
        <f t="shared" si="4"/>
        <v>53</v>
      </c>
      <c r="AC17" s="817">
        <f t="shared" si="4"/>
        <v>49</v>
      </c>
      <c r="AD17" s="817">
        <f t="shared" si="4"/>
        <v>51</v>
      </c>
      <c r="AE17" s="817">
        <f t="shared" si="4"/>
        <v>71</v>
      </c>
      <c r="AF17" s="437">
        <f t="shared" si="4"/>
        <v>75</v>
      </c>
      <c r="AG17" s="825">
        <f t="shared" si="4"/>
        <v>66</v>
      </c>
      <c r="AH17" s="817">
        <f t="shared" si="4"/>
        <v>80</v>
      </c>
      <c r="AI17" s="817">
        <f t="shared" si="4"/>
        <v>97</v>
      </c>
      <c r="AJ17" s="817">
        <f t="shared" si="4"/>
        <v>117</v>
      </c>
      <c r="AK17" s="817">
        <f t="shared" si="4"/>
        <v>141</v>
      </c>
      <c r="AL17" s="817">
        <f t="shared" si="4"/>
        <v>170</v>
      </c>
      <c r="AM17" s="817">
        <f t="shared" si="4"/>
        <v>190</v>
      </c>
      <c r="AN17" s="817">
        <f t="shared" si="4"/>
        <v>190</v>
      </c>
      <c r="AO17" s="817">
        <f t="shared" si="4"/>
        <v>205</v>
      </c>
      <c r="AP17" s="817">
        <f t="shared" si="4"/>
        <v>280</v>
      </c>
      <c r="AQ17" s="817">
        <f t="shared" si="4"/>
        <v>370</v>
      </c>
      <c r="AR17" s="437">
        <f>-(AR12+AS12)</f>
        <v>202</v>
      </c>
      <c r="AT17" s="1"/>
    </row>
    <row r="18" spans="2:46">
      <c r="B18" s="560"/>
      <c r="C18" s="2"/>
      <c r="D18" s="2"/>
      <c r="E18" s="2"/>
      <c r="F18" s="561"/>
      <c r="G18" s="419" t="s">
        <v>428</v>
      </c>
      <c r="H18" s="416"/>
      <c r="I18" s="418">
        <f>I14</f>
        <v>10</v>
      </c>
      <c r="J18" s="418">
        <f t="shared" ref="J18:AR18" si="5">J14</f>
        <v>13</v>
      </c>
      <c r="K18" s="418">
        <f t="shared" si="5"/>
        <v>14.3</v>
      </c>
      <c r="L18" s="418">
        <f t="shared" si="5"/>
        <v>15.6</v>
      </c>
      <c r="M18" s="418">
        <f t="shared" si="5"/>
        <v>16.899999999999999</v>
      </c>
      <c r="N18" s="418">
        <f t="shared" si="5"/>
        <v>18.2</v>
      </c>
      <c r="O18" s="418">
        <f t="shared" si="5"/>
        <v>19.5</v>
      </c>
      <c r="P18" s="418">
        <f t="shared" si="5"/>
        <v>20.8</v>
      </c>
      <c r="Q18" s="418">
        <f t="shared" si="5"/>
        <v>24.7</v>
      </c>
      <c r="R18" s="418">
        <f t="shared" si="5"/>
        <v>20.8</v>
      </c>
      <c r="S18" s="418">
        <f t="shared" si="5"/>
        <v>22.099999999999998</v>
      </c>
      <c r="T18" s="817">
        <f t="shared" si="5"/>
        <v>33.799999999999997</v>
      </c>
      <c r="U18" s="825">
        <f t="shared" si="5"/>
        <v>40.299999999999997</v>
      </c>
      <c r="V18" s="817">
        <f t="shared" si="5"/>
        <v>23.4</v>
      </c>
      <c r="W18" s="817">
        <f t="shared" si="5"/>
        <v>24.7</v>
      </c>
      <c r="X18" s="817">
        <f t="shared" si="5"/>
        <v>26</v>
      </c>
      <c r="Y18" s="817">
        <f t="shared" si="5"/>
        <v>27.3</v>
      </c>
      <c r="Z18" s="817">
        <f t="shared" si="5"/>
        <v>28.599999999999998</v>
      </c>
      <c r="AA18" s="817">
        <f t="shared" si="5"/>
        <v>29.9</v>
      </c>
      <c r="AB18" s="817">
        <f t="shared" si="5"/>
        <v>31.2</v>
      </c>
      <c r="AC18" s="817">
        <f>AC14</f>
        <v>37.700000000000003</v>
      </c>
      <c r="AD18" s="817">
        <f t="shared" si="5"/>
        <v>31.2</v>
      </c>
      <c r="AE18" s="817">
        <f t="shared" si="5"/>
        <v>32.5</v>
      </c>
      <c r="AF18" s="437">
        <f t="shared" si="5"/>
        <v>33.799999999999997</v>
      </c>
      <c r="AG18" s="825">
        <f t="shared" si="5"/>
        <v>58.5</v>
      </c>
      <c r="AH18" s="817">
        <f t="shared" si="5"/>
        <v>39</v>
      </c>
      <c r="AI18" s="817">
        <f t="shared" si="5"/>
        <v>46.8</v>
      </c>
      <c r="AJ18" s="817">
        <f t="shared" si="5"/>
        <v>57.2</v>
      </c>
      <c r="AK18" s="817">
        <f t="shared" si="5"/>
        <v>68.899999999999991</v>
      </c>
      <c r="AL18" s="817">
        <f t="shared" si="5"/>
        <v>83.2</v>
      </c>
      <c r="AM18" s="817">
        <f t="shared" si="5"/>
        <v>100.1</v>
      </c>
      <c r="AN18" s="817">
        <f t="shared" si="5"/>
        <v>120.9</v>
      </c>
      <c r="AO18" s="817">
        <f t="shared" si="5"/>
        <v>126.1</v>
      </c>
      <c r="AP18" s="817">
        <f t="shared" si="5"/>
        <v>120.9</v>
      </c>
      <c r="AQ18" s="817">
        <f t="shared" si="5"/>
        <v>145.6</v>
      </c>
      <c r="AR18" s="437">
        <f t="shared" si="5"/>
        <v>218.4</v>
      </c>
    </row>
    <row r="19" spans="2:46">
      <c r="B19" s="560"/>
      <c r="C19" s="2"/>
      <c r="D19" s="2"/>
      <c r="E19" s="2"/>
      <c r="F19" s="561"/>
      <c r="G19" s="419" t="s">
        <v>429</v>
      </c>
      <c r="H19" s="416"/>
      <c r="I19" s="418">
        <f>-I17+I18</f>
        <v>-11</v>
      </c>
      <c r="J19" s="418">
        <f t="shared" ref="J19:AR19" si="6">-J17+J18</f>
        <v>-10</v>
      </c>
      <c r="K19" s="418">
        <f t="shared" si="6"/>
        <v>-10.7</v>
      </c>
      <c r="L19" s="418">
        <f t="shared" si="6"/>
        <v>-11.4</v>
      </c>
      <c r="M19" s="418">
        <f t="shared" si="6"/>
        <v>-12.100000000000001</v>
      </c>
      <c r="N19" s="418">
        <f t="shared" si="6"/>
        <v>-12.8</v>
      </c>
      <c r="O19" s="418">
        <f t="shared" si="6"/>
        <v>-15.5</v>
      </c>
      <c r="P19" s="418">
        <f t="shared" si="6"/>
        <v>-14.2</v>
      </c>
      <c r="Q19" s="418">
        <f t="shared" si="6"/>
        <v>-8.3000000000000007</v>
      </c>
      <c r="R19" s="418">
        <f t="shared" si="6"/>
        <v>-22.2</v>
      </c>
      <c r="S19" s="418">
        <f t="shared" si="6"/>
        <v>-34.900000000000006</v>
      </c>
      <c r="T19" s="817">
        <f t="shared" si="6"/>
        <v>-15.200000000000003</v>
      </c>
      <c r="U19" s="825">
        <f t="shared" si="6"/>
        <v>3.2999999999999972</v>
      </c>
      <c r="V19" s="817">
        <f t="shared" si="6"/>
        <v>-15.600000000000001</v>
      </c>
      <c r="W19" s="817">
        <f t="shared" si="6"/>
        <v>-16.3</v>
      </c>
      <c r="X19" s="817">
        <f t="shared" si="6"/>
        <v>-17</v>
      </c>
      <c r="Y19" s="817">
        <f t="shared" si="6"/>
        <v>-17.7</v>
      </c>
      <c r="Z19" s="817">
        <f t="shared" si="6"/>
        <v>-18.400000000000002</v>
      </c>
      <c r="AA19" s="817">
        <f t="shared" si="6"/>
        <v>-23.1</v>
      </c>
      <c r="AB19" s="817">
        <f t="shared" si="6"/>
        <v>-21.8</v>
      </c>
      <c r="AC19" s="817">
        <f t="shared" si="6"/>
        <v>-11.299999999999997</v>
      </c>
      <c r="AD19" s="817">
        <f t="shared" si="6"/>
        <v>-19.8</v>
      </c>
      <c r="AE19" s="817">
        <f t="shared" si="6"/>
        <v>-38.5</v>
      </c>
      <c r="AF19" s="437">
        <f t="shared" si="6"/>
        <v>-41.2</v>
      </c>
      <c r="AG19" s="825">
        <f t="shared" si="6"/>
        <v>-7.5</v>
      </c>
      <c r="AH19" s="817">
        <f t="shared" si="6"/>
        <v>-41</v>
      </c>
      <c r="AI19" s="817">
        <f t="shared" si="6"/>
        <v>-50.2</v>
      </c>
      <c r="AJ19" s="817">
        <f t="shared" si="6"/>
        <v>-59.8</v>
      </c>
      <c r="AK19" s="817">
        <f t="shared" si="6"/>
        <v>-72.100000000000009</v>
      </c>
      <c r="AL19" s="817">
        <f t="shared" si="6"/>
        <v>-86.8</v>
      </c>
      <c r="AM19" s="817">
        <f t="shared" si="6"/>
        <v>-89.9</v>
      </c>
      <c r="AN19" s="817">
        <f t="shared" si="6"/>
        <v>-69.099999999999994</v>
      </c>
      <c r="AO19" s="817">
        <f t="shared" si="6"/>
        <v>-78.900000000000006</v>
      </c>
      <c r="AP19" s="817">
        <f t="shared" si="6"/>
        <v>-159.1</v>
      </c>
      <c r="AQ19" s="817">
        <f t="shared" si="6"/>
        <v>-224.4</v>
      </c>
      <c r="AR19" s="437">
        <f t="shared" si="6"/>
        <v>16.400000000000006</v>
      </c>
    </row>
    <row r="20" spans="2:46">
      <c r="B20" s="560"/>
      <c r="C20" s="2"/>
      <c r="D20" s="2"/>
      <c r="E20" s="2"/>
      <c r="F20" s="561"/>
      <c r="G20" s="419" t="s">
        <v>434</v>
      </c>
      <c r="H20" s="416"/>
      <c r="I20" s="418">
        <f t="shared" ref="I20:AR20" si="7">-$H$8*I12</f>
        <v>3</v>
      </c>
      <c r="J20" s="418">
        <f t="shared" si="7"/>
        <v>3.3</v>
      </c>
      <c r="K20" s="418">
        <f t="shared" si="7"/>
        <v>3.5999999999999996</v>
      </c>
      <c r="L20" s="418">
        <f t="shared" si="7"/>
        <v>3.9</v>
      </c>
      <c r="M20" s="418">
        <f t="shared" si="7"/>
        <v>4.2</v>
      </c>
      <c r="N20" s="418">
        <f t="shared" si="7"/>
        <v>4.5</v>
      </c>
      <c r="O20" s="418">
        <f t="shared" si="7"/>
        <v>4.8</v>
      </c>
      <c r="P20" s="418">
        <f t="shared" si="7"/>
        <v>5.7</v>
      </c>
      <c r="Q20" s="418">
        <f t="shared" si="7"/>
        <v>4.8</v>
      </c>
      <c r="R20" s="418">
        <f t="shared" si="7"/>
        <v>5.0999999999999996</v>
      </c>
      <c r="S20" s="418">
        <f t="shared" si="7"/>
        <v>7.8</v>
      </c>
      <c r="T20" s="817">
        <f t="shared" si="7"/>
        <v>9.2999999999999989</v>
      </c>
      <c r="U20" s="825">
        <f t="shared" si="7"/>
        <v>5.3999999999999995</v>
      </c>
      <c r="V20" s="817">
        <f t="shared" si="7"/>
        <v>5.7</v>
      </c>
      <c r="W20" s="817">
        <f t="shared" si="7"/>
        <v>6</v>
      </c>
      <c r="X20" s="817">
        <f t="shared" si="7"/>
        <v>6.3</v>
      </c>
      <c r="Y20" s="817">
        <f t="shared" si="7"/>
        <v>6.6</v>
      </c>
      <c r="Z20" s="817">
        <f t="shared" si="7"/>
        <v>6.8999999999999995</v>
      </c>
      <c r="AA20" s="817">
        <f t="shared" si="7"/>
        <v>7.1999999999999993</v>
      </c>
      <c r="AB20" s="817">
        <f t="shared" si="7"/>
        <v>8.6999999999999993</v>
      </c>
      <c r="AC20" s="817">
        <f t="shared" si="7"/>
        <v>7.1999999999999993</v>
      </c>
      <c r="AD20" s="817">
        <f t="shared" si="7"/>
        <v>7.5</v>
      </c>
      <c r="AE20" s="817">
        <f t="shared" si="7"/>
        <v>7.8</v>
      </c>
      <c r="AF20" s="437">
        <f t="shared" si="7"/>
        <v>13.5</v>
      </c>
      <c r="AG20" s="825">
        <f t="shared" si="7"/>
        <v>9</v>
      </c>
      <c r="AH20" s="817">
        <f t="shared" si="7"/>
        <v>10.799999999999999</v>
      </c>
      <c r="AI20" s="817">
        <f t="shared" si="7"/>
        <v>13.2</v>
      </c>
      <c r="AJ20" s="817">
        <f t="shared" si="7"/>
        <v>15.899999999999999</v>
      </c>
      <c r="AK20" s="817">
        <f t="shared" si="7"/>
        <v>19.2</v>
      </c>
      <c r="AL20" s="817">
        <f t="shared" si="7"/>
        <v>23.099999999999998</v>
      </c>
      <c r="AM20" s="817">
        <f t="shared" si="7"/>
        <v>27.9</v>
      </c>
      <c r="AN20" s="817">
        <f t="shared" si="7"/>
        <v>29.099999999999998</v>
      </c>
      <c r="AO20" s="817">
        <f t="shared" si="7"/>
        <v>27.9</v>
      </c>
      <c r="AP20" s="817">
        <f t="shared" si="7"/>
        <v>33.6</v>
      </c>
      <c r="AQ20" s="817">
        <f t="shared" si="7"/>
        <v>50.4</v>
      </c>
      <c r="AR20" s="437">
        <f t="shared" si="7"/>
        <v>60.599999999999994</v>
      </c>
    </row>
    <row r="21" spans="2:46">
      <c r="B21" s="560"/>
      <c r="C21" s="2"/>
      <c r="D21" s="2"/>
      <c r="E21" s="2"/>
      <c r="F21" s="562"/>
      <c r="G21" s="417" t="s">
        <v>431</v>
      </c>
      <c r="H21" s="423"/>
      <c r="I21" s="425">
        <f t="shared" ref="I21:AR21" si="8">IF((I20-I19)&lt;=0,"-",(I20-I19))</f>
        <v>14</v>
      </c>
      <c r="J21" s="425">
        <f t="shared" si="8"/>
        <v>13.3</v>
      </c>
      <c r="K21" s="425">
        <f t="shared" si="8"/>
        <v>14.299999999999999</v>
      </c>
      <c r="L21" s="425">
        <f t="shared" si="8"/>
        <v>15.3</v>
      </c>
      <c r="M21" s="425">
        <f t="shared" si="8"/>
        <v>16.3</v>
      </c>
      <c r="N21" s="425">
        <f t="shared" si="8"/>
        <v>17.3</v>
      </c>
      <c r="O21" s="425">
        <f t="shared" si="8"/>
        <v>20.3</v>
      </c>
      <c r="P21" s="425">
        <f t="shared" si="8"/>
        <v>19.899999999999999</v>
      </c>
      <c r="Q21" s="425">
        <f t="shared" si="8"/>
        <v>13.100000000000001</v>
      </c>
      <c r="R21" s="425">
        <f t="shared" si="8"/>
        <v>27.299999999999997</v>
      </c>
      <c r="S21" s="425">
        <f t="shared" si="8"/>
        <v>42.7</v>
      </c>
      <c r="T21" s="818">
        <f t="shared" si="8"/>
        <v>24.5</v>
      </c>
      <c r="U21" s="826">
        <f t="shared" si="8"/>
        <v>2.1000000000000023</v>
      </c>
      <c r="V21" s="818">
        <f t="shared" si="8"/>
        <v>21.3</v>
      </c>
      <c r="W21" s="818">
        <f t="shared" si="8"/>
        <v>22.3</v>
      </c>
      <c r="X21" s="818">
        <f t="shared" si="8"/>
        <v>23.3</v>
      </c>
      <c r="Y21" s="818">
        <f t="shared" si="8"/>
        <v>24.299999999999997</v>
      </c>
      <c r="Z21" s="818">
        <f t="shared" si="8"/>
        <v>25.3</v>
      </c>
      <c r="AA21" s="818">
        <f t="shared" si="8"/>
        <v>30.3</v>
      </c>
      <c r="AB21" s="818">
        <f t="shared" si="8"/>
        <v>30.5</v>
      </c>
      <c r="AC21" s="818">
        <f t="shared" si="8"/>
        <v>18.499999999999996</v>
      </c>
      <c r="AD21" s="818">
        <f t="shared" si="8"/>
        <v>27.3</v>
      </c>
      <c r="AE21" s="818">
        <f t="shared" si="8"/>
        <v>46.3</v>
      </c>
      <c r="AF21" s="438">
        <f t="shared" si="8"/>
        <v>54.7</v>
      </c>
      <c r="AG21" s="826">
        <f t="shared" si="8"/>
        <v>16.5</v>
      </c>
      <c r="AH21" s="818">
        <f t="shared" si="8"/>
        <v>51.8</v>
      </c>
      <c r="AI21" s="818">
        <f t="shared" si="8"/>
        <v>63.400000000000006</v>
      </c>
      <c r="AJ21" s="818">
        <f t="shared" si="8"/>
        <v>75.699999999999989</v>
      </c>
      <c r="AK21" s="818">
        <f t="shared" si="8"/>
        <v>91.300000000000011</v>
      </c>
      <c r="AL21" s="818">
        <f t="shared" si="8"/>
        <v>109.89999999999999</v>
      </c>
      <c r="AM21" s="818">
        <f t="shared" si="8"/>
        <v>117.80000000000001</v>
      </c>
      <c r="AN21" s="818">
        <f t="shared" si="8"/>
        <v>98.199999999999989</v>
      </c>
      <c r="AO21" s="818">
        <f t="shared" si="8"/>
        <v>106.80000000000001</v>
      </c>
      <c r="AP21" s="818">
        <f t="shared" si="8"/>
        <v>192.7</v>
      </c>
      <c r="AQ21" s="818">
        <f t="shared" si="8"/>
        <v>274.8</v>
      </c>
      <c r="AR21" s="438">
        <f t="shared" si="8"/>
        <v>44.199999999999989</v>
      </c>
      <c r="AS21" s="1"/>
    </row>
    <row r="22" spans="2:46">
      <c r="B22" s="560"/>
      <c r="C22" s="2"/>
      <c r="D22" s="2"/>
      <c r="E22" s="2"/>
      <c r="F22" s="562"/>
      <c r="G22" s="423"/>
      <c r="H22" s="427"/>
      <c r="I22" s="416"/>
      <c r="J22" s="416"/>
      <c r="K22" s="416"/>
      <c r="L22" s="416"/>
      <c r="M22" s="416"/>
      <c r="N22" s="416"/>
      <c r="O22" s="416"/>
      <c r="P22" s="416"/>
      <c r="Q22" s="416"/>
      <c r="R22" s="416"/>
      <c r="S22" s="416"/>
      <c r="T22" s="416"/>
      <c r="U22" s="822"/>
      <c r="V22" s="416"/>
      <c r="W22" s="416"/>
      <c r="X22" s="416"/>
      <c r="Y22" s="416"/>
      <c r="Z22" s="416"/>
      <c r="AA22" s="416"/>
      <c r="AB22" s="416"/>
      <c r="AC22" s="416"/>
      <c r="AD22" s="416"/>
      <c r="AE22" s="416"/>
      <c r="AF22" s="433"/>
      <c r="AG22" s="822"/>
      <c r="AH22" s="416"/>
      <c r="AI22" s="416"/>
      <c r="AJ22" s="416"/>
      <c r="AK22" s="416"/>
      <c r="AL22" s="416"/>
      <c r="AM22" s="416"/>
      <c r="AN22" s="416"/>
      <c r="AO22" s="416"/>
      <c r="AP22" s="416"/>
      <c r="AQ22" s="416"/>
      <c r="AR22" s="433"/>
      <c r="AS22" s="1"/>
      <c r="AT22" s="1"/>
    </row>
    <row r="23" spans="2:46">
      <c r="B23" s="560"/>
      <c r="C23" s="2"/>
      <c r="D23" s="2"/>
      <c r="E23" s="2"/>
      <c r="F23" s="563"/>
      <c r="G23" s="449" t="s">
        <v>432</v>
      </c>
      <c r="H23" s="428"/>
      <c r="I23" s="428">
        <f>'Pricing Model'!$E$15*I14</f>
        <v>3700</v>
      </c>
      <c r="J23" s="428">
        <f>'Pricing Model'!$E$15*J14</f>
        <v>4810</v>
      </c>
      <c r="K23" s="428">
        <f>'Pricing Model'!$E$15*K14</f>
        <v>5291</v>
      </c>
      <c r="L23" s="428">
        <f>'Pricing Model'!$E$15*L14</f>
        <v>5772</v>
      </c>
      <c r="M23" s="428">
        <f>'Pricing Model'!$E$15*M14</f>
        <v>6252.9999999999991</v>
      </c>
      <c r="N23" s="428">
        <f>'Pricing Model'!$E$15*N14</f>
        <v>6734</v>
      </c>
      <c r="O23" s="428">
        <f>'Pricing Model'!$E$15*O14</f>
        <v>7215</v>
      </c>
      <c r="P23" s="428">
        <f>'Pricing Model'!$E$15*P14</f>
        <v>7696</v>
      </c>
      <c r="Q23" s="428">
        <f>'Pricing Model'!$E$15*Q14</f>
        <v>9139</v>
      </c>
      <c r="R23" s="428">
        <f>'Pricing Model'!$E$15*R14</f>
        <v>7696</v>
      </c>
      <c r="S23" s="428">
        <f>'Pricing Model'!$E$15*S14</f>
        <v>8176.9999999999991</v>
      </c>
      <c r="T23" s="428">
        <f>'Pricing Model'!$E$15*T14</f>
        <v>12505.999999999998</v>
      </c>
      <c r="U23" s="827">
        <f>'Pricing Model'!$E$35*U14</f>
        <v>15358.33</v>
      </c>
      <c r="V23" s="428">
        <f>'Pricing Model'!$E$35*V14</f>
        <v>8917.74</v>
      </c>
      <c r="W23" s="428">
        <f>'Pricing Model'!$E$35*W14</f>
        <v>9413.17</v>
      </c>
      <c r="X23" s="428">
        <f>'Pricing Model'!$E$35*X14</f>
        <v>9908.6</v>
      </c>
      <c r="Y23" s="428">
        <f>'Pricing Model'!$E$35*Y14</f>
        <v>10404.030000000001</v>
      </c>
      <c r="Z23" s="428">
        <f>'Pricing Model'!$E$35*Z14</f>
        <v>10899.46</v>
      </c>
      <c r="AA23" s="428">
        <f>'Pricing Model'!$E$35*AA14</f>
        <v>11394.89</v>
      </c>
      <c r="AB23" s="428">
        <f>'Pricing Model'!$E$35*AB14</f>
        <v>11890.32</v>
      </c>
      <c r="AC23" s="428">
        <f>'Pricing Model'!$E$35*AC14</f>
        <v>14367.470000000001</v>
      </c>
      <c r="AD23" s="428">
        <f>'Pricing Model'!$E$35*AD14</f>
        <v>11890.32</v>
      </c>
      <c r="AE23" s="428">
        <f>'Pricing Model'!$E$35*AE14</f>
        <v>12385.75</v>
      </c>
      <c r="AF23" s="439">
        <f>'Pricing Model'!$E$35*AF14</f>
        <v>12881.18</v>
      </c>
      <c r="AG23" s="827">
        <f>'Pricing Model'!$E$56*AG14</f>
        <v>22740.237000000001</v>
      </c>
      <c r="AH23" s="428">
        <f>'Pricing Model'!$E$56*AH14</f>
        <v>15160.158000000001</v>
      </c>
      <c r="AI23" s="428">
        <f>'Pricing Model'!$E$56*AI14</f>
        <v>18192.189600000002</v>
      </c>
      <c r="AJ23" s="428">
        <f>'Pricing Model'!$E$56*AJ14</f>
        <v>22234.898400000002</v>
      </c>
      <c r="AK23" s="428">
        <f>'Pricing Model'!$E$56*AK14</f>
        <v>26782.945799999998</v>
      </c>
      <c r="AL23" s="428">
        <f>'Pricing Model'!$E$56*AL14</f>
        <v>32341.670400000003</v>
      </c>
      <c r="AM23" s="428">
        <f>'Pricing Model'!$E$56*AM14</f>
        <v>38911.072200000002</v>
      </c>
      <c r="AN23" s="428">
        <f>'Pricing Model'!$E$56*AN14</f>
        <v>46996.48980000001</v>
      </c>
      <c r="AO23" s="428">
        <f>'Pricing Model'!$E$56*AO14</f>
        <v>49017.8442</v>
      </c>
      <c r="AP23" s="428">
        <f>'Pricing Model'!$E$56*AP14</f>
        <v>46996.48980000001</v>
      </c>
      <c r="AQ23" s="428">
        <f>'Pricing Model'!$E$56*AQ14</f>
        <v>56597.923200000005</v>
      </c>
      <c r="AR23" s="439">
        <f>'Pricing Model'!$E$56*AR14</f>
        <v>84896.884800000014</v>
      </c>
    </row>
    <row r="24" spans="2:46" ht="16.2" thickBot="1">
      <c r="B24" s="564"/>
      <c r="C24" s="565"/>
      <c r="D24" s="565"/>
      <c r="E24" s="565"/>
      <c r="F24" s="566"/>
      <c r="G24" s="411" t="s">
        <v>441</v>
      </c>
      <c r="H24" s="429"/>
      <c r="I24" s="582">
        <f>I23</f>
        <v>3700</v>
      </c>
      <c r="J24" s="583">
        <f>J23-I23</f>
        <v>1110</v>
      </c>
      <c r="K24" s="583">
        <f>K23-J23</f>
        <v>481</v>
      </c>
      <c r="L24" s="583">
        <f t="shared" ref="L24:AR24" si="9">L23-K23</f>
        <v>481</v>
      </c>
      <c r="M24" s="583">
        <f t="shared" si="9"/>
        <v>480.99999999999909</v>
      </c>
      <c r="N24" s="583">
        <f t="shared" si="9"/>
        <v>481.00000000000091</v>
      </c>
      <c r="O24" s="583">
        <f t="shared" si="9"/>
        <v>481</v>
      </c>
      <c r="P24" s="583">
        <f t="shared" si="9"/>
        <v>481</v>
      </c>
      <c r="Q24" s="583">
        <f t="shared" si="9"/>
        <v>1443</v>
      </c>
      <c r="R24" s="583">
        <f t="shared" si="9"/>
        <v>-1443</v>
      </c>
      <c r="S24" s="583">
        <f t="shared" si="9"/>
        <v>480.99999999999909</v>
      </c>
      <c r="T24" s="583">
        <f t="shared" si="9"/>
        <v>4328.9999999999991</v>
      </c>
      <c r="U24" s="828">
        <f t="shared" si="9"/>
        <v>2852.3300000000017</v>
      </c>
      <c r="V24" s="583">
        <f t="shared" si="9"/>
        <v>-6440.59</v>
      </c>
      <c r="W24" s="583">
        <f t="shared" si="9"/>
        <v>495.43000000000029</v>
      </c>
      <c r="X24" s="583">
        <f t="shared" si="9"/>
        <v>495.43000000000029</v>
      </c>
      <c r="Y24" s="583">
        <f t="shared" si="9"/>
        <v>495.43000000000029</v>
      </c>
      <c r="Z24" s="583">
        <f t="shared" si="9"/>
        <v>495.42999999999847</v>
      </c>
      <c r="AA24" s="583">
        <f t="shared" si="9"/>
        <v>495.43000000000029</v>
      </c>
      <c r="AB24" s="583">
        <f t="shared" si="9"/>
        <v>495.43000000000029</v>
      </c>
      <c r="AC24" s="583">
        <f t="shared" si="9"/>
        <v>2477.1500000000015</v>
      </c>
      <c r="AD24" s="583">
        <f t="shared" si="9"/>
        <v>-2477.1500000000015</v>
      </c>
      <c r="AE24" s="583">
        <f t="shared" si="9"/>
        <v>495.43000000000029</v>
      </c>
      <c r="AF24" s="584">
        <f t="shared" si="9"/>
        <v>495.43000000000029</v>
      </c>
      <c r="AG24" s="828">
        <f t="shared" si="9"/>
        <v>9859.0570000000007</v>
      </c>
      <c r="AH24" s="583">
        <f t="shared" si="9"/>
        <v>-7580.0789999999997</v>
      </c>
      <c r="AI24" s="583">
        <f t="shared" si="9"/>
        <v>3032.0316000000003</v>
      </c>
      <c r="AJ24" s="583">
        <f t="shared" si="9"/>
        <v>4042.7088000000003</v>
      </c>
      <c r="AK24" s="583">
        <f t="shared" si="9"/>
        <v>4548.0473999999958</v>
      </c>
      <c r="AL24" s="583">
        <f t="shared" si="9"/>
        <v>5558.724600000005</v>
      </c>
      <c r="AM24" s="583">
        <f t="shared" si="9"/>
        <v>6569.4017999999996</v>
      </c>
      <c r="AN24" s="583">
        <f t="shared" si="9"/>
        <v>8085.417600000008</v>
      </c>
      <c r="AO24" s="583">
        <f t="shared" si="9"/>
        <v>2021.3543999999893</v>
      </c>
      <c r="AP24" s="583">
        <f t="shared" si="9"/>
        <v>-2021.3543999999893</v>
      </c>
      <c r="AQ24" s="583">
        <f t="shared" si="9"/>
        <v>9601.4333999999944</v>
      </c>
      <c r="AR24" s="584">
        <f t="shared" si="9"/>
        <v>28298.96160000001</v>
      </c>
      <c r="AT24" s="1"/>
    </row>
    <row r="25" spans="2:46" s="2" customFormat="1" ht="16.2" thickTop="1">
      <c r="F25" s="443"/>
      <c r="G25" s="446"/>
      <c r="H25" s="446"/>
      <c r="I25" s="447"/>
      <c r="J25" s="446"/>
      <c r="K25" s="446"/>
      <c r="L25" s="446"/>
      <c r="M25" s="446"/>
      <c r="N25" s="446"/>
      <c r="O25" s="446"/>
      <c r="P25" s="446"/>
      <c r="Q25" s="446"/>
      <c r="R25" s="446"/>
      <c r="S25" s="446"/>
      <c r="T25" s="446"/>
      <c r="U25" s="829"/>
      <c r="V25" s="446"/>
      <c r="W25" s="446"/>
      <c r="X25" s="446"/>
      <c r="Y25" s="446"/>
      <c r="Z25" s="446"/>
      <c r="AA25" s="446"/>
      <c r="AB25" s="446"/>
      <c r="AC25" s="446"/>
      <c r="AD25" s="446"/>
      <c r="AE25" s="446"/>
      <c r="AF25" s="448"/>
      <c r="AG25" s="829"/>
      <c r="AH25" s="446"/>
      <c r="AI25" s="446"/>
      <c r="AJ25" s="446"/>
      <c r="AK25" s="446"/>
      <c r="AL25" s="446"/>
      <c r="AM25" s="446"/>
      <c r="AN25" s="446"/>
      <c r="AO25" s="446"/>
      <c r="AP25" s="446"/>
      <c r="AQ25" s="446"/>
      <c r="AR25" s="448"/>
      <c r="AT25" s="3"/>
    </row>
    <row r="26" spans="2:46" ht="16.2" thickBot="1">
      <c r="F26" s="393"/>
      <c r="G26" s="400"/>
      <c r="H26" s="394"/>
      <c r="K26" s="394"/>
      <c r="L26" s="394"/>
      <c r="M26" s="394"/>
      <c r="N26" s="394"/>
      <c r="O26" s="394"/>
      <c r="P26" s="394"/>
      <c r="Q26" s="394"/>
      <c r="R26" s="394"/>
      <c r="S26" s="394"/>
      <c r="T26" s="394"/>
      <c r="U26" s="830"/>
      <c r="V26" s="394"/>
      <c r="W26" s="394"/>
      <c r="X26" s="394"/>
      <c r="Y26" s="394"/>
      <c r="Z26" s="394"/>
      <c r="AA26" s="394"/>
      <c r="AB26" s="394"/>
      <c r="AC26" s="394"/>
      <c r="AD26" s="394"/>
      <c r="AE26" s="394"/>
      <c r="AF26" s="441"/>
      <c r="AG26" s="830"/>
      <c r="AH26" s="394"/>
      <c r="AI26" s="394"/>
      <c r="AJ26" s="394"/>
      <c r="AK26" s="394"/>
      <c r="AL26" s="394"/>
      <c r="AM26" s="394"/>
      <c r="AN26" s="394"/>
      <c r="AO26" s="394"/>
      <c r="AP26" s="394"/>
      <c r="AQ26" s="394"/>
    </row>
    <row r="27" spans="2:46" ht="16.2" thickTop="1">
      <c r="B27" s="545"/>
      <c r="C27" s="546"/>
      <c r="D27" s="546"/>
      <c r="E27" s="546"/>
      <c r="F27" s="553"/>
      <c r="G27" s="414" t="s">
        <v>433</v>
      </c>
      <c r="H27" s="410">
        <v>0.15</v>
      </c>
      <c r="I27" s="444"/>
      <c r="J27" s="444"/>
      <c r="K27" s="444"/>
      <c r="L27" s="444"/>
      <c r="M27" s="444"/>
      <c r="N27" s="444"/>
      <c r="O27" s="444"/>
      <c r="P27" s="444"/>
      <c r="Q27" s="444"/>
      <c r="R27" s="444"/>
      <c r="S27" s="444"/>
      <c r="T27" s="444"/>
      <c r="U27" s="831"/>
      <c r="V27" s="444"/>
      <c r="W27" s="444"/>
      <c r="X27" s="444"/>
      <c r="Y27" s="444"/>
      <c r="Z27" s="444"/>
      <c r="AA27" s="444"/>
      <c r="AB27" s="444"/>
      <c r="AC27" s="444"/>
      <c r="AD27" s="444"/>
      <c r="AE27" s="444"/>
      <c r="AF27" s="445"/>
      <c r="AG27" s="831"/>
      <c r="AH27" s="444"/>
      <c r="AI27" s="444"/>
      <c r="AJ27" s="444"/>
      <c r="AK27" s="444"/>
      <c r="AL27" s="444"/>
      <c r="AM27" s="444"/>
      <c r="AN27" s="444"/>
      <c r="AO27" s="444"/>
      <c r="AP27" s="444"/>
      <c r="AQ27" s="444"/>
      <c r="AR27" s="433"/>
    </row>
    <row r="28" spans="2:46">
      <c r="B28" s="548"/>
      <c r="F28" s="556"/>
      <c r="G28" s="411"/>
      <c r="H28" s="412"/>
      <c r="I28" s="413"/>
      <c r="J28" s="413"/>
      <c r="K28" s="413"/>
      <c r="L28" s="413"/>
      <c r="M28" s="413"/>
      <c r="N28" s="413"/>
      <c r="O28" s="413"/>
      <c r="P28" s="413"/>
      <c r="Q28" s="413"/>
      <c r="R28" s="413"/>
      <c r="S28" s="413"/>
      <c r="T28" s="413"/>
      <c r="U28" s="832"/>
      <c r="V28" s="413"/>
      <c r="W28" s="413"/>
      <c r="X28" s="413"/>
      <c r="Y28" s="413"/>
      <c r="Z28" s="413"/>
      <c r="AA28" s="413"/>
      <c r="AB28" s="413"/>
      <c r="AC28" s="413"/>
      <c r="AD28" s="413"/>
      <c r="AE28" s="413"/>
      <c r="AF28" s="432"/>
      <c r="AG28" s="832"/>
      <c r="AH28" s="413"/>
      <c r="AI28" s="413"/>
      <c r="AJ28" s="413"/>
      <c r="AK28" s="413"/>
      <c r="AL28" s="413"/>
      <c r="AM28" s="413"/>
      <c r="AN28" s="413"/>
      <c r="AO28" s="413"/>
      <c r="AP28" s="413"/>
      <c r="AQ28" s="413"/>
      <c r="AR28" s="432"/>
      <c r="AS28" s="387"/>
    </row>
    <row r="29" spans="2:46" ht="18">
      <c r="B29" s="548"/>
      <c r="C29" s="1245" t="s">
        <v>299</v>
      </c>
      <c r="D29" s="1245"/>
      <c r="F29" s="554"/>
      <c r="G29" s="419"/>
      <c r="H29" s="416"/>
      <c r="I29" s="416"/>
      <c r="J29" s="416"/>
      <c r="K29" s="416"/>
      <c r="L29" s="416"/>
      <c r="M29" s="416"/>
      <c r="N29" s="416"/>
      <c r="O29" s="416"/>
      <c r="P29" s="416"/>
      <c r="Q29" s="416"/>
      <c r="R29" s="416"/>
      <c r="S29" s="416"/>
      <c r="T29" s="416"/>
      <c r="U29" s="822"/>
      <c r="V29" s="416"/>
      <c r="W29" s="416"/>
      <c r="X29" s="416"/>
      <c r="Y29" s="416"/>
      <c r="Z29" s="416"/>
      <c r="AA29" s="416"/>
      <c r="AB29" s="416"/>
      <c r="AC29" s="416"/>
      <c r="AD29" s="416"/>
      <c r="AE29" s="416"/>
      <c r="AF29" s="433"/>
      <c r="AG29" s="822"/>
      <c r="AH29" s="416"/>
      <c r="AI29" s="416"/>
      <c r="AJ29" s="416"/>
      <c r="AK29" s="416"/>
      <c r="AL29" s="416"/>
      <c r="AM29" s="416"/>
      <c r="AN29" s="416"/>
      <c r="AO29" s="416"/>
      <c r="AP29" s="416"/>
      <c r="AQ29" s="416"/>
      <c r="AR29" s="433"/>
    </row>
    <row r="30" spans="2:46">
      <c r="B30" s="548"/>
      <c r="F30" s="554"/>
      <c r="G30" s="417" t="s">
        <v>437</v>
      </c>
      <c r="H30" s="416"/>
      <c r="I30" s="418"/>
      <c r="J30" s="416"/>
      <c r="K30" s="416"/>
      <c r="L30" s="416"/>
      <c r="M30" s="416"/>
      <c r="N30" s="416"/>
      <c r="O30" s="416"/>
      <c r="P30" s="416"/>
      <c r="Q30" s="416"/>
      <c r="R30" s="416"/>
      <c r="S30" s="416"/>
      <c r="T30" s="416"/>
      <c r="U30" s="822"/>
      <c r="V30" s="416"/>
      <c r="W30" s="416"/>
      <c r="X30" s="416"/>
      <c r="Y30" s="416"/>
      <c r="Z30" s="416"/>
      <c r="AA30" s="416"/>
      <c r="AB30" s="416"/>
      <c r="AC30" s="416"/>
      <c r="AD30" s="416"/>
      <c r="AE30" s="416"/>
      <c r="AF30" s="433"/>
      <c r="AG30" s="822"/>
      <c r="AH30" s="416"/>
      <c r="AI30" s="416"/>
      <c r="AJ30" s="416"/>
      <c r="AK30" s="416"/>
      <c r="AL30" s="416"/>
      <c r="AM30" s="416"/>
      <c r="AN30" s="416"/>
      <c r="AO30" s="416"/>
      <c r="AP30" s="416"/>
      <c r="AQ30" s="416"/>
      <c r="AR30" s="433"/>
      <c r="AT30" s="387"/>
    </row>
    <row r="31" spans="2:46">
      <c r="B31" s="548"/>
      <c r="F31" s="554"/>
      <c r="G31" s="419" t="s">
        <v>423</v>
      </c>
      <c r="H31" s="416"/>
      <c r="I31" s="388">
        <v>50</v>
      </c>
      <c r="J31" s="420">
        <f>I34</f>
        <v>20</v>
      </c>
      <c r="K31" s="420">
        <f t="shared" ref="K31:AR31" si="10">J34</f>
        <v>34.5</v>
      </c>
      <c r="L31" s="420">
        <f t="shared" si="10"/>
        <v>37.950000000000003</v>
      </c>
      <c r="M31" s="420">
        <f t="shared" si="10"/>
        <v>42.55</v>
      </c>
      <c r="N31" s="420">
        <f t="shared" si="10"/>
        <v>47.15</v>
      </c>
      <c r="O31" s="420">
        <f t="shared" si="10"/>
        <v>52.9</v>
      </c>
      <c r="P31" s="420">
        <f t="shared" si="10"/>
        <v>58.65</v>
      </c>
      <c r="Q31" s="420">
        <f t="shared" si="10"/>
        <v>65.550000000000011</v>
      </c>
      <c r="R31" s="420">
        <f t="shared" si="10"/>
        <v>73.599999999999994</v>
      </c>
      <c r="S31" s="420">
        <f t="shared" si="10"/>
        <v>65.55</v>
      </c>
      <c r="T31" s="420">
        <f t="shared" si="10"/>
        <v>72.45</v>
      </c>
      <c r="U31" s="823">
        <f t="shared" si="10"/>
        <v>90.85</v>
      </c>
      <c r="V31" s="420">
        <f t="shared" si="10"/>
        <v>109.25</v>
      </c>
      <c r="W31" s="420">
        <f t="shared" si="10"/>
        <v>106.95</v>
      </c>
      <c r="X31" s="420">
        <f t="shared" si="10"/>
        <v>125.35000000000001</v>
      </c>
      <c r="Y31" s="420">
        <f t="shared" si="10"/>
        <v>147.19999999999999</v>
      </c>
      <c r="Z31" s="420">
        <f t="shared" si="10"/>
        <v>172.5</v>
      </c>
      <c r="AA31" s="420">
        <f t="shared" si="10"/>
        <v>202.4</v>
      </c>
      <c r="AB31" s="420">
        <f t="shared" si="10"/>
        <v>236.9</v>
      </c>
      <c r="AC31" s="420">
        <f t="shared" si="10"/>
        <v>278.30000000000007</v>
      </c>
      <c r="AD31" s="420">
        <f t="shared" si="10"/>
        <v>296.7</v>
      </c>
      <c r="AE31" s="420">
        <f t="shared" si="10"/>
        <v>347.3</v>
      </c>
      <c r="AF31" s="434">
        <f t="shared" si="10"/>
        <v>407.1</v>
      </c>
      <c r="AG31" s="823">
        <f t="shared" si="10"/>
        <v>477.25</v>
      </c>
      <c r="AH31" s="420">
        <f t="shared" si="10"/>
        <v>692.3</v>
      </c>
      <c r="AI31" s="420">
        <f t="shared" si="10"/>
        <v>477.25</v>
      </c>
      <c r="AJ31" s="420">
        <f t="shared" si="10"/>
        <v>558.9</v>
      </c>
      <c r="AK31" s="420">
        <f t="shared" si="10"/>
        <v>654.35</v>
      </c>
      <c r="AL31" s="420">
        <f t="shared" si="10"/>
        <v>765.9</v>
      </c>
      <c r="AM31" s="420">
        <f t="shared" si="10"/>
        <v>896.99999999999989</v>
      </c>
      <c r="AN31" s="420">
        <f t="shared" si="10"/>
        <v>1049.9499999999998</v>
      </c>
      <c r="AO31" s="420">
        <f t="shared" si="10"/>
        <v>1229.3499999999999</v>
      </c>
      <c r="AP31" s="420">
        <f t="shared" si="10"/>
        <v>1313.3</v>
      </c>
      <c r="AQ31" s="420">
        <f t="shared" si="10"/>
        <v>1207.5</v>
      </c>
      <c r="AR31" s="434">
        <f t="shared" si="10"/>
        <v>1389.2</v>
      </c>
    </row>
    <row r="32" spans="2:46">
      <c r="B32" s="548"/>
      <c r="F32" s="554"/>
      <c r="G32" s="419" t="s">
        <v>424</v>
      </c>
      <c r="H32" s="416"/>
      <c r="I32" s="418" cm="1">
        <f t="array" ref="I32:AR32">-'Sales Forecast'!E33:AN33</f>
        <v>-30</v>
      </c>
      <c r="J32" s="420">
        <v>-33</v>
      </c>
      <c r="K32" s="420">
        <v>-37</v>
      </c>
      <c r="L32" s="420">
        <v>-41</v>
      </c>
      <c r="M32" s="420">
        <v>-46</v>
      </c>
      <c r="N32" s="420">
        <v>-51</v>
      </c>
      <c r="O32" s="420">
        <v>-57</v>
      </c>
      <c r="P32" s="420">
        <v>-64</v>
      </c>
      <c r="Q32" s="420">
        <v>-57</v>
      </c>
      <c r="R32" s="420">
        <v>-63</v>
      </c>
      <c r="S32" s="420">
        <v>-79</v>
      </c>
      <c r="T32" s="420">
        <v>-95</v>
      </c>
      <c r="U32" s="823">
        <v>-93</v>
      </c>
      <c r="V32" s="420">
        <v>-109</v>
      </c>
      <c r="W32" s="420">
        <v>-128</v>
      </c>
      <c r="X32" s="420">
        <v>-150</v>
      </c>
      <c r="Y32" s="420">
        <v>-176</v>
      </c>
      <c r="Z32" s="420">
        <v>-206</v>
      </c>
      <c r="AA32" s="420">
        <v>-242</v>
      </c>
      <c r="AB32" s="420">
        <v>-258</v>
      </c>
      <c r="AC32" s="420">
        <v>-302</v>
      </c>
      <c r="AD32" s="420">
        <v>-354</v>
      </c>
      <c r="AE32" s="420">
        <v>-415</v>
      </c>
      <c r="AF32" s="434">
        <v>-602</v>
      </c>
      <c r="AG32" s="823">
        <v>-415</v>
      </c>
      <c r="AH32" s="420">
        <v>-486</v>
      </c>
      <c r="AI32" s="420">
        <v>-569</v>
      </c>
      <c r="AJ32" s="420">
        <v>-666</v>
      </c>
      <c r="AK32" s="420">
        <v>-780</v>
      </c>
      <c r="AL32" s="420">
        <v>-913</v>
      </c>
      <c r="AM32" s="420">
        <v>-1069</v>
      </c>
      <c r="AN32" s="420">
        <v>-1142</v>
      </c>
      <c r="AO32" s="420">
        <v>-1050</v>
      </c>
      <c r="AP32" s="420">
        <v>-1208</v>
      </c>
      <c r="AQ32" s="420">
        <v>-1812</v>
      </c>
      <c r="AR32" s="434">
        <v>-2054</v>
      </c>
      <c r="AS32" s="397"/>
    </row>
    <row r="33" spans="2:46">
      <c r="B33" s="548"/>
      <c r="F33" s="554"/>
      <c r="G33" s="419" t="s">
        <v>425</v>
      </c>
      <c r="H33" s="416"/>
      <c r="I33" s="421">
        <v>0</v>
      </c>
      <c r="J33" s="422">
        <f>I41</f>
        <v>47.5</v>
      </c>
      <c r="K33" s="422">
        <f t="shared" ref="K33:AR33" si="11">J41</f>
        <v>40.450000000000003</v>
      </c>
      <c r="L33" s="422">
        <f t="shared" si="11"/>
        <v>45.599999999999994</v>
      </c>
      <c r="M33" s="422">
        <f t="shared" si="11"/>
        <v>50.6</v>
      </c>
      <c r="N33" s="422">
        <f t="shared" si="11"/>
        <v>56.75</v>
      </c>
      <c r="O33" s="422">
        <f t="shared" si="11"/>
        <v>62.75</v>
      </c>
      <c r="P33" s="422">
        <f t="shared" si="11"/>
        <v>70.900000000000006</v>
      </c>
      <c r="Q33" s="422">
        <f t="shared" si="11"/>
        <v>65.049999999999983</v>
      </c>
      <c r="R33" s="422">
        <f t="shared" si="11"/>
        <v>54.95</v>
      </c>
      <c r="S33" s="422">
        <f t="shared" si="11"/>
        <v>85.9</v>
      </c>
      <c r="T33" s="422">
        <f t="shared" si="11"/>
        <v>113.39999999999999</v>
      </c>
      <c r="U33" s="824">
        <f t="shared" si="11"/>
        <v>111.4</v>
      </c>
      <c r="V33" s="422">
        <f t="shared" si="11"/>
        <v>106.7</v>
      </c>
      <c r="W33" s="422">
        <f t="shared" si="11"/>
        <v>146.4</v>
      </c>
      <c r="X33" s="422">
        <f t="shared" si="11"/>
        <v>171.84999999999997</v>
      </c>
      <c r="Y33" s="422">
        <f t="shared" si="11"/>
        <v>201.3</v>
      </c>
      <c r="Z33" s="422">
        <f t="shared" si="11"/>
        <v>235.9</v>
      </c>
      <c r="AA33" s="422">
        <f t="shared" si="11"/>
        <v>276.5</v>
      </c>
      <c r="AB33" s="422">
        <f t="shared" si="11"/>
        <v>299.40000000000003</v>
      </c>
      <c r="AC33" s="422">
        <f t="shared" si="11"/>
        <v>320.39999999999992</v>
      </c>
      <c r="AD33" s="422">
        <f t="shared" si="11"/>
        <v>404.6</v>
      </c>
      <c r="AE33" s="422">
        <f t="shared" si="11"/>
        <v>474.8</v>
      </c>
      <c r="AF33" s="435">
        <f t="shared" si="11"/>
        <v>672.15</v>
      </c>
      <c r="AG33" s="824">
        <f t="shared" si="11"/>
        <v>630.04999999999995</v>
      </c>
      <c r="AH33" s="422">
        <f t="shared" si="11"/>
        <v>270.95000000000005</v>
      </c>
      <c r="AI33" s="422">
        <f t="shared" si="11"/>
        <v>650.65</v>
      </c>
      <c r="AJ33" s="422">
        <f t="shared" si="11"/>
        <v>761.45</v>
      </c>
      <c r="AK33" s="422">
        <f t="shared" si="11"/>
        <v>891.55</v>
      </c>
      <c r="AL33" s="422">
        <f t="shared" si="11"/>
        <v>1044.0999999999999</v>
      </c>
      <c r="AM33" s="422">
        <f t="shared" si="11"/>
        <v>1221.95</v>
      </c>
      <c r="AN33" s="422">
        <f t="shared" si="11"/>
        <v>1321.4</v>
      </c>
      <c r="AO33" s="422">
        <f t="shared" si="11"/>
        <v>1133.95</v>
      </c>
      <c r="AP33" s="422">
        <f t="shared" si="11"/>
        <v>1102.2</v>
      </c>
      <c r="AQ33" s="422">
        <f t="shared" si="11"/>
        <v>1993.7</v>
      </c>
      <c r="AR33" s="435">
        <f t="shared" si="11"/>
        <v>2748.6000000000004</v>
      </c>
    </row>
    <row r="34" spans="2:46">
      <c r="B34" s="548"/>
      <c r="F34" s="555"/>
      <c r="G34" s="417" t="s">
        <v>426</v>
      </c>
      <c r="H34" s="423"/>
      <c r="I34" s="424">
        <f>SUM(I31:I33)</f>
        <v>20</v>
      </c>
      <c r="J34" s="424">
        <f>SUM(J31:J33)</f>
        <v>34.5</v>
      </c>
      <c r="K34" s="424">
        <f t="shared" ref="K34:AR34" si="12">SUM(K31:K33)</f>
        <v>37.950000000000003</v>
      </c>
      <c r="L34" s="424">
        <f t="shared" si="12"/>
        <v>42.55</v>
      </c>
      <c r="M34" s="424">
        <f t="shared" si="12"/>
        <v>47.15</v>
      </c>
      <c r="N34" s="424">
        <f t="shared" si="12"/>
        <v>52.9</v>
      </c>
      <c r="O34" s="424">
        <f t="shared" si="12"/>
        <v>58.65</v>
      </c>
      <c r="P34" s="424">
        <f t="shared" si="12"/>
        <v>65.550000000000011</v>
      </c>
      <c r="Q34" s="424">
        <f t="shared" si="12"/>
        <v>73.599999999999994</v>
      </c>
      <c r="R34" s="424">
        <f t="shared" si="12"/>
        <v>65.55</v>
      </c>
      <c r="S34" s="424">
        <f t="shared" si="12"/>
        <v>72.45</v>
      </c>
      <c r="T34" s="816">
        <f t="shared" si="12"/>
        <v>90.85</v>
      </c>
      <c r="U34" s="820">
        <f t="shared" si="12"/>
        <v>109.25</v>
      </c>
      <c r="V34" s="816">
        <f t="shared" si="12"/>
        <v>106.95</v>
      </c>
      <c r="W34" s="816">
        <f t="shared" si="12"/>
        <v>125.35000000000001</v>
      </c>
      <c r="X34" s="816">
        <f t="shared" si="12"/>
        <v>147.19999999999999</v>
      </c>
      <c r="Y34" s="816">
        <f t="shared" si="12"/>
        <v>172.5</v>
      </c>
      <c r="Z34" s="816">
        <f t="shared" si="12"/>
        <v>202.4</v>
      </c>
      <c r="AA34" s="816">
        <f t="shared" si="12"/>
        <v>236.9</v>
      </c>
      <c r="AB34" s="816">
        <f t="shared" si="12"/>
        <v>278.30000000000007</v>
      </c>
      <c r="AC34" s="816">
        <f t="shared" si="12"/>
        <v>296.7</v>
      </c>
      <c r="AD34" s="816">
        <f t="shared" si="12"/>
        <v>347.3</v>
      </c>
      <c r="AE34" s="816">
        <f t="shared" si="12"/>
        <v>407.1</v>
      </c>
      <c r="AF34" s="436">
        <f t="shared" si="12"/>
        <v>477.25</v>
      </c>
      <c r="AG34" s="820">
        <f t="shared" si="12"/>
        <v>692.3</v>
      </c>
      <c r="AH34" s="816">
        <f t="shared" si="12"/>
        <v>477.25</v>
      </c>
      <c r="AI34" s="816">
        <f t="shared" si="12"/>
        <v>558.9</v>
      </c>
      <c r="AJ34" s="816">
        <f t="shared" si="12"/>
        <v>654.35</v>
      </c>
      <c r="AK34" s="816">
        <f t="shared" si="12"/>
        <v>765.9</v>
      </c>
      <c r="AL34" s="816">
        <f t="shared" si="12"/>
        <v>896.99999999999989</v>
      </c>
      <c r="AM34" s="816">
        <f t="shared" si="12"/>
        <v>1049.9499999999998</v>
      </c>
      <c r="AN34" s="816">
        <f t="shared" si="12"/>
        <v>1229.3499999999999</v>
      </c>
      <c r="AO34" s="816">
        <f t="shared" si="12"/>
        <v>1313.3</v>
      </c>
      <c r="AP34" s="816">
        <f t="shared" si="12"/>
        <v>1207.5</v>
      </c>
      <c r="AQ34" s="816">
        <f t="shared" si="12"/>
        <v>1389.2</v>
      </c>
      <c r="AR34" s="436">
        <f t="shared" si="12"/>
        <v>2083.8000000000002</v>
      </c>
      <c r="AS34" s="1"/>
      <c r="AT34" s="397"/>
    </row>
    <row r="35" spans="2:46">
      <c r="B35" s="548"/>
      <c r="F35" s="555"/>
      <c r="G35" s="417"/>
      <c r="H35" s="423"/>
      <c r="I35" s="424"/>
      <c r="J35" s="424"/>
      <c r="K35" s="424"/>
      <c r="L35" s="424"/>
      <c r="M35" s="424"/>
      <c r="N35" s="424"/>
      <c r="O35" s="424"/>
      <c r="P35" s="424"/>
      <c r="Q35" s="424"/>
      <c r="R35" s="424"/>
      <c r="S35" s="820"/>
      <c r="T35" s="816"/>
      <c r="U35" s="820"/>
      <c r="V35" s="816"/>
      <c r="W35" s="816"/>
      <c r="X35" s="816"/>
      <c r="Y35" s="816"/>
      <c r="Z35" s="816"/>
      <c r="AA35" s="816"/>
      <c r="AB35" s="816"/>
      <c r="AC35" s="816"/>
      <c r="AD35" s="816"/>
      <c r="AE35" s="816"/>
      <c r="AF35" s="436"/>
      <c r="AG35" s="820"/>
      <c r="AH35" s="816"/>
      <c r="AI35" s="816"/>
      <c r="AJ35" s="816"/>
      <c r="AK35" s="816"/>
      <c r="AL35" s="816"/>
      <c r="AM35" s="816"/>
      <c r="AN35" s="816"/>
      <c r="AO35" s="816"/>
      <c r="AP35" s="816"/>
      <c r="AQ35" s="816"/>
      <c r="AR35" s="436"/>
      <c r="AS35" s="1"/>
    </row>
    <row r="36" spans="2:46">
      <c r="B36" s="548"/>
      <c r="F36" s="554"/>
      <c r="G36" s="417" t="s">
        <v>438</v>
      </c>
      <c r="H36" s="416"/>
      <c r="I36" s="418"/>
      <c r="J36" s="416"/>
      <c r="K36" s="416"/>
      <c r="L36" s="416"/>
      <c r="M36" s="416"/>
      <c r="N36" s="416"/>
      <c r="O36" s="416"/>
      <c r="P36" s="416"/>
      <c r="Q36" s="416"/>
      <c r="R36" s="416"/>
      <c r="S36" s="416"/>
      <c r="T36" s="416"/>
      <c r="U36" s="822"/>
      <c r="V36" s="416"/>
      <c r="W36" s="416"/>
      <c r="X36" s="416"/>
      <c r="Y36" s="416"/>
      <c r="Z36" s="416"/>
      <c r="AA36" s="416"/>
      <c r="AB36" s="416"/>
      <c r="AC36" s="416"/>
      <c r="AD36" s="416"/>
      <c r="AE36" s="416"/>
      <c r="AF36" s="433"/>
      <c r="AG36" s="822"/>
      <c r="AH36" s="416"/>
      <c r="AI36" s="416"/>
      <c r="AJ36" s="416"/>
      <c r="AK36" s="416"/>
      <c r="AL36" s="416"/>
      <c r="AM36" s="416"/>
      <c r="AN36" s="416"/>
      <c r="AO36" s="416"/>
      <c r="AP36" s="416"/>
      <c r="AQ36" s="416"/>
      <c r="AR36" s="433"/>
      <c r="AT36" s="1"/>
    </row>
    <row r="37" spans="2:46">
      <c r="B37" s="548"/>
      <c r="F37" s="554"/>
      <c r="G37" s="419" t="s">
        <v>427</v>
      </c>
      <c r="H37" s="416"/>
      <c r="I37" s="418">
        <f>-(I32+J32)</f>
        <v>63</v>
      </c>
      <c r="J37" s="418">
        <f t="shared" ref="J37:AR37" si="13">-(J32+K32)</f>
        <v>70</v>
      </c>
      <c r="K37" s="418">
        <f t="shared" si="13"/>
        <v>78</v>
      </c>
      <c r="L37" s="418">
        <f t="shared" si="13"/>
        <v>87</v>
      </c>
      <c r="M37" s="418">
        <f t="shared" si="13"/>
        <v>97</v>
      </c>
      <c r="N37" s="418">
        <f t="shared" si="13"/>
        <v>108</v>
      </c>
      <c r="O37" s="418">
        <f t="shared" si="13"/>
        <v>121</v>
      </c>
      <c r="P37" s="418">
        <f t="shared" si="13"/>
        <v>121</v>
      </c>
      <c r="Q37" s="418">
        <f t="shared" si="13"/>
        <v>120</v>
      </c>
      <c r="R37" s="418">
        <f t="shared" si="13"/>
        <v>142</v>
      </c>
      <c r="S37" s="418">
        <f t="shared" si="13"/>
        <v>174</v>
      </c>
      <c r="T37" s="817">
        <f t="shared" si="13"/>
        <v>188</v>
      </c>
      <c r="U37" s="825">
        <f t="shared" si="13"/>
        <v>202</v>
      </c>
      <c r="V37" s="817">
        <f t="shared" si="13"/>
        <v>237</v>
      </c>
      <c r="W37" s="817">
        <f t="shared" si="13"/>
        <v>278</v>
      </c>
      <c r="X37" s="817">
        <f t="shared" si="13"/>
        <v>326</v>
      </c>
      <c r="Y37" s="817">
        <f t="shared" si="13"/>
        <v>382</v>
      </c>
      <c r="Z37" s="817">
        <f t="shared" si="13"/>
        <v>448</v>
      </c>
      <c r="AA37" s="817">
        <f t="shared" si="13"/>
        <v>500</v>
      </c>
      <c r="AB37" s="817">
        <f t="shared" si="13"/>
        <v>560</v>
      </c>
      <c r="AC37" s="817">
        <f t="shared" si="13"/>
        <v>656</v>
      </c>
      <c r="AD37" s="817">
        <f t="shared" si="13"/>
        <v>769</v>
      </c>
      <c r="AE37" s="817">
        <f t="shared" si="13"/>
        <v>1017</v>
      </c>
      <c r="AF37" s="437">
        <f t="shared" si="13"/>
        <v>1017</v>
      </c>
      <c r="AG37" s="825">
        <f t="shared" si="13"/>
        <v>901</v>
      </c>
      <c r="AH37" s="817">
        <f t="shared" si="13"/>
        <v>1055</v>
      </c>
      <c r="AI37" s="817">
        <f t="shared" si="13"/>
        <v>1235</v>
      </c>
      <c r="AJ37" s="817">
        <f t="shared" si="13"/>
        <v>1446</v>
      </c>
      <c r="AK37" s="817">
        <f t="shared" si="13"/>
        <v>1693</v>
      </c>
      <c r="AL37" s="817">
        <f t="shared" si="13"/>
        <v>1982</v>
      </c>
      <c r="AM37" s="817">
        <f t="shared" si="13"/>
        <v>2211</v>
      </c>
      <c r="AN37" s="817">
        <f t="shared" si="13"/>
        <v>2192</v>
      </c>
      <c r="AO37" s="817">
        <f t="shared" si="13"/>
        <v>2258</v>
      </c>
      <c r="AP37" s="817">
        <f t="shared" si="13"/>
        <v>3020</v>
      </c>
      <c r="AQ37" s="817">
        <f t="shared" si="13"/>
        <v>3866</v>
      </c>
      <c r="AR37" s="437">
        <f t="shared" si="13"/>
        <v>2054</v>
      </c>
      <c r="AT37" s="1"/>
    </row>
    <row r="38" spans="2:46">
      <c r="B38" s="548"/>
      <c r="F38" s="554"/>
      <c r="G38" s="419" t="s">
        <v>428</v>
      </c>
      <c r="H38" s="416"/>
      <c r="I38" s="418">
        <f>I34</f>
        <v>20</v>
      </c>
      <c r="J38" s="418">
        <f t="shared" ref="J38:AR38" si="14">J34</f>
        <v>34.5</v>
      </c>
      <c r="K38" s="418">
        <f t="shared" si="14"/>
        <v>37.950000000000003</v>
      </c>
      <c r="L38" s="418">
        <f t="shared" si="14"/>
        <v>42.55</v>
      </c>
      <c r="M38" s="418">
        <f t="shared" si="14"/>
        <v>47.15</v>
      </c>
      <c r="N38" s="418">
        <f t="shared" si="14"/>
        <v>52.9</v>
      </c>
      <c r="O38" s="418">
        <f t="shared" si="14"/>
        <v>58.65</v>
      </c>
      <c r="P38" s="418">
        <f t="shared" si="14"/>
        <v>65.550000000000011</v>
      </c>
      <c r="Q38" s="418">
        <f t="shared" si="14"/>
        <v>73.599999999999994</v>
      </c>
      <c r="R38" s="418">
        <f t="shared" si="14"/>
        <v>65.55</v>
      </c>
      <c r="S38" s="418">
        <f t="shared" si="14"/>
        <v>72.45</v>
      </c>
      <c r="T38" s="817">
        <f t="shared" si="14"/>
        <v>90.85</v>
      </c>
      <c r="U38" s="825">
        <f t="shared" si="14"/>
        <v>109.25</v>
      </c>
      <c r="V38" s="817">
        <f t="shared" si="14"/>
        <v>106.95</v>
      </c>
      <c r="W38" s="817">
        <f t="shared" si="14"/>
        <v>125.35000000000001</v>
      </c>
      <c r="X38" s="817">
        <f t="shared" si="14"/>
        <v>147.19999999999999</v>
      </c>
      <c r="Y38" s="817">
        <f t="shared" si="14"/>
        <v>172.5</v>
      </c>
      <c r="Z38" s="817">
        <f t="shared" si="14"/>
        <v>202.4</v>
      </c>
      <c r="AA38" s="817">
        <f t="shared" si="14"/>
        <v>236.9</v>
      </c>
      <c r="AB38" s="817">
        <f t="shared" si="14"/>
        <v>278.30000000000007</v>
      </c>
      <c r="AC38" s="817">
        <f t="shared" si="14"/>
        <v>296.7</v>
      </c>
      <c r="AD38" s="817">
        <f t="shared" si="14"/>
        <v>347.3</v>
      </c>
      <c r="AE38" s="817">
        <f t="shared" si="14"/>
        <v>407.1</v>
      </c>
      <c r="AF38" s="437">
        <f t="shared" si="14"/>
        <v>477.25</v>
      </c>
      <c r="AG38" s="825">
        <f t="shared" si="14"/>
        <v>692.3</v>
      </c>
      <c r="AH38" s="817">
        <f t="shared" si="14"/>
        <v>477.25</v>
      </c>
      <c r="AI38" s="817">
        <f t="shared" si="14"/>
        <v>558.9</v>
      </c>
      <c r="AJ38" s="817">
        <f t="shared" si="14"/>
        <v>654.35</v>
      </c>
      <c r="AK38" s="817">
        <f t="shared" si="14"/>
        <v>765.9</v>
      </c>
      <c r="AL38" s="817">
        <f t="shared" si="14"/>
        <v>896.99999999999989</v>
      </c>
      <c r="AM38" s="817">
        <f t="shared" si="14"/>
        <v>1049.9499999999998</v>
      </c>
      <c r="AN38" s="817">
        <f t="shared" si="14"/>
        <v>1229.3499999999999</v>
      </c>
      <c r="AO38" s="817">
        <f t="shared" si="14"/>
        <v>1313.3</v>
      </c>
      <c r="AP38" s="817">
        <f t="shared" si="14"/>
        <v>1207.5</v>
      </c>
      <c r="AQ38" s="817">
        <f t="shared" si="14"/>
        <v>1389.2</v>
      </c>
      <c r="AR38" s="437">
        <f t="shared" si="14"/>
        <v>2083.8000000000002</v>
      </c>
    </row>
    <row r="39" spans="2:46">
      <c r="B39" s="548"/>
      <c r="F39" s="554"/>
      <c r="G39" s="419" t="s">
        <v>429</v>
      </c>
      <c r="H39" s="416"/>
      <c r="I39" s="418">
        <f>-I37+I38</f>
        <v>-43</v>
      </c>
      <c r="J39" s="418">
        <f t="shared" ref="J39:AR39" si="15">-J37+J38</f>
        <v>-35.5</v>
      </c>
      <c r="K39" s="418">
        <f t="shared" si="15"/>
        <v>-40.049999999999997</v>
      </c>
      <c r="L39" s="418">
        <f t="shared" si="15"/>
        <v>-44.45</v>
      </c>
      <c r="M39" s="418">
        <f t="shared" si="15"/>
        <v>-49.85</v>
      </c>
      <c r="N39" s="418">
        <f t="shared" si="15"/>
        <v>-55.1</v>
      </c>
      <c r="O39" s="418">
        <f t="shared" si="15"/>
        <v>-62.35</v>
      </c>
      <c r="P39" s="418">
        <f t="shared" si="15"/>
        <v>-55.449999999999989</v>
      </c>
      <c r="Q39" s="418">
        <f t="shared" si="15"/>
        <v>-46.400000000000006</v>
      </c>
      <c r="R39" s="418">
        <f t="shared" si="15"/>
        <v>-76.45</v>
      </c>
      <c r="S39" s="418">
        <f t="shared" si="15"/>
        <v>-101.55</v>
      </c>
      <c r="T39" s="817">
        <f t="shared" si="15"/>
        <v>-97.15</v>
      </c>
      <c r="U39" s="825">
        <f t="shared" si="15"/>
        <v>-92.75</v>
      </c>
      <c r="V39" s="817">
        <f t="shared" si="15"/>
        <v>-130.05000000000001</v>
      </c>
      <c r="W39" s="817">
        <f t="shared" si="15"/>
        <v>-152.64999999999998</v>
      </c>
      <c r="X39" s="817">
        <f t="shared" si="15"/>
        <v>-178.8</v>
      </c>
      <c r="Y39" s="817">
        <f t="shared" si="15"/>
        <v>-209.5</v>
      </c>
      <c r="Z39" s="817">
        <f t="shared" si="15"/>
        <v>-245.6</v>
      </c>
      <c r="AA39" s="817">
        <f t="shared" si="15"/>
        <v>-263.10000000000002</v>
      </c>
      <c r="AB39" s="817">
        <f t="shared" si="15"/>
        <v>-281.69999999999993</v>
      </c>
      <c r="AC39" s="817">
        <f t="shared" si="15"/>
        <v>-359.3</v>
      </c>
      <c r="AD39" s="817">
        <f t="shared" si="15"/>
        <v>-421.7</v>
      </c>
      <c r="AE39" s="817">
        <f t="shared" si="15"/>
        <v>-609.9</v>
      </c>
      <c r="AF39" s="437">
        <f t="shared" si="15"/>
        <v>-539.75</v>
      </c>
      <c r="AG39" s="825">
        <f t="shared" si="15"/>
        <v>-208.70000000000005</v>
      </c>
      <c r="AH39" s="817">
        <f t="shared" si="15"/>
        <v>-577.75</v>
      </c>
      <c r="AI39" s="817">
        <f t="shared" si="15"/>
        <v>-676.1</v>
      </c>
      <c r="AJ39" s="817">
        <f t="shared" si="15"/>
        <v>-791.65</v>
      </c>
      <c r="AK39" s="817">
        <f t="shared" si="15"/>
        <v>-927.1</v>
      </c>
      <c r="AL39" s="817">
        <f t="shared" si="15"/>
        <v>-1085</v>
      </c>
      <c r="AM39" s="817">
        <f t="shared" si="15"/>
        <v>-1161.0500000000002</v>
      </c>
      <c r="AN39" s="817">
        <f t="shared" si="15"/>
        <v>-962.65000000000009</v>
      </c>
      <c r="AO39" s="817">
        <f t="shared" si="15"/>
        <v>-944.7</v>
      </c>
      <c r="AP39" s="817">
        <f t="shared" si="15"/>
        <v>-1812.5</v>
      </c>
      <c r="AQ39" s="817">
        <f t="shared" si="15"/>
        <v>-2476.8000000000002</v>
      </c>
      <c r="AR39" s="437">
        <f t="shared" si="15"/>
        <v>29.800000000000182</v>
      </c>
    </row>
    <row r="40" spans="2:46">
      <c r="B40" s="548"/>
      <c r="F40" s="554"/>
      <c r="G40" s="419" t="s">
        <v>430</v>
      </c>
      <c r="H40" s="416"/>
      <c r="I40" s="418">
        <f>-I32*$H$27</f>
        <v>4.5</v>
      </c>
      <c r="J40" s="418">
        <f t="shared" ref="J40:AR40" si="16">-J32*$H$27</f>
        <v>4.95</v>
      </c>
      <c r="K40" s="418">
        <f t="shared" si="16"/>
        <v>5.55</v>
      </c>
      <c r="L40" s="418">
        <f t="shared" si="16"/>
        <v>6.1499999999999995</v>
      </c>
      <c r="M40" s="418">
        <f t="shared" si="16"/>
        <v>6.8999999999999995</v>
      </c>
      <c r="N40" s="418">
        <f t="shared" si="16"/>
        <v>7.6499999999999995</v>
      </c>
      <c r="O40" s="418">
        <f t="shared" si="16"/>
        <v>8.5499999999999989</v>
      </c>
      <c r="P40" s="418">
        <f t="shared" si="16"/>
        <v>9.6</v>
      </c>
      <c r="Q40" s="418">
        <f t="shared" si="16"/>
        <v>8.5499999999999989</v>
      </c>
      <c r="R40" s="418">
        <f t="shared" si="16"/>
        <v>9.4499999999999993</v>
      </c>
      <c r="S40" s="418">
        <f t="shared" si="16"/>
        <v>11.85</v>
      </c>
      <c r="T40" s="817">
        <f t="shared" si="16"/>
        <v>14.25</v>
      </c>
      <c r="U40" s="825">
        <f t="shared" si="16"/>
        <v>13.95</v>
      </c>
      <c r="V40" s="817">
        <f t="shared" si="16"/>
        <v>16.349999999999998</v>
      </c>
      <c r="W40" s="817">
        <f t="shared" si="16"/>
        <v>19.2</v>
      </c>
      <c r="X40" s="817">
        <f t="shared" si="16"/>
        <v>22.5</v>
      </c>
      <c r="Y40" s="817">
        <f t="shared" si="16"/>
        <v>26.4</v>
      </c>
      <c r="Z40" s="817">
        <f t="shared" si="16"/>
        <v>30.9</v>
      </c>
      <c r="AA40" s="817">
        <f t="shared" si="16"/>
        <v>36.299999999999997</v>
      </c>
      <c r="AB40" s="817">
        <f t="shared" si="16"/>
        <v>38.699999999999996</v>
      </c>
      <c r="AC40" s="817">
        <f t="shared" si="16"/>
        <v>45.3</v>
      </c>
      <c r="AD40" s="817">
        <f t="shared" si="16"/>
        <v>53.1</v>
      </c>
      <c r="AE40" s="817">
        <f t="shared" si="16"/>
        <v>62.25</v>
      </c>
      <c r="AF40" s="437">
        <f t="shared" si="16"/>
        <v>90.3</v>
      </c>
      <c r="AG40" s="825">
        <f t="shared" si="16"/>
        <v>62.25</v>
      </c>
      <c r="AH40" s="817">
        <f t="shared" si="16"/>
        <v>72.899999999999991</v>
      </c>
      <c r="AI40" s="817">
        <f t="shared" si="16"/>
        <v>85.35</v>
      </c>
      <c r="AJ40" s="817">
        <f t="shared" si="16"/>
        <v>99.899999999999991</v>
      </c>
      <c r="AK40" s="817">
        <f t="shared" si="16"/>
        <v>117</v>
      </c>
      <c r="AL40" s="817">
        <f t="shared" si="16"/>
        <v>136.94999999999999</v>
      </c>
      <c r="AM40" s="817">
        <f t="shared" si="16"/>
        <v>160.35</v>
      </c>
      <c r="AN40" s="817">
        <f t="shared" si="16"/>
        <v>171.29999999999998</v>
      </c>
      <c r="AO40" s="817">
        <f t="shared" si="16"/>
        <v>157.5</v>
      </c>
      <c r="AP40" s="817">
        <f t="shared" si="16"/>
        <v>181.2</v>
      </c>
      <c r="AQ40" s="817">
        <f t="shared" si="16"/>
        <v>271.8</v>
      </c>
      <c r="AR40" s="437">
        <f t="shared" si="16"/>
        <v>308.09999999999997</v>
      </c>
    </row>
    <row r="41" spans="2:46">
      <c r="B41" s="548"/>
      <c r="F41" s="555"/>
      <c r="G41" s="417" t="s">
        <v>431</v>
      </c>
      <c r="H41" s="423"/>
      <c r="I41" s="425">
        <f t="shared" ref="I41:AR41" si="17">IF((I40-I39)&lt;=0,"-",(I40-I39))</f>
        <v>47.5</v>
      </c>
      <c r="J41" s="425">
        <f t="shared" si="17"/>
        <v>40.450000000000003</v>
      </c>
      <c r="K41" s="425">
        <f t="shared" si="17"/>
        <v>45.599999999999994</v>
      </c>
      <c r="L41" s="425">
        <f t="shared" si="17"/>
        <v>50.6</v>
      </c>
      <c r="M41" s="425">
        <f t="shared" si="17"/>
        <v>56.75</v>
      </c>
      <c r="N41" s="425">
        <f t="shared" si="17"/>
        <v>62.75</v>
      </c>
      <c r="O41" s="425">
        <f t="shared" si="17"/>
        <v>70.900000000000006</v>
      </c>
      <c r="P41" s="425">
        <f t="shared" si="17"/>
        <v>65.049999999999983</v>
      </c>
      <c r="Q41" s="425">
        <f t="shared" si="17"/>
        <v>54.95</v>
      </c>
      <c r="R41" s="425">
        <f t="shared" si="17"/>
        <v>85.9</v>
      </c>
      <c r="S41" s="425">
        <f t="shared" si="17"/>
        <v>113.39999999999999</v>
      </c>
      <c r="T41" s="818">
        <f t="shared" si="17"/>
        <v>111.4</v>
      </c>
      <c r="U41" s="826">
        <f t="shared" si="17"/>
        <v>106.7</v>
      </c>
      <c r="V41" s="818">
        <f t="shared" si="17"/>
        <v>146.4</v>
      </c>
      <c r="W41" s="818">
        <f t="shared" si="17"/>
        <v>171.84999999999997</v>
      </c>
      <c r="X41" s="818">
        <f t="shared" si="17"/>
        <v>201.3</v>
      </c>
      <c r="Y41" s="818">
        <f t="shared" si="17"/>
        <v>235.9</v>
      </c>
      <c r="Z41" s="818">
        <f t="shared" si="17"/>
        <v>276.5</v>
      </c>
      <c r="AA41" s="818">
        <f t="shared" si="17"/>
        <v>299.40000000000003</v>
      </c>
      <c r="AB41" s="818">
        <f t="shared" si="17"/>
        <v>320.39999999999992</v>
      </c>
      <c r="AC41" s="818">
        <f t="shared" si="17"/>
        <v>404.6</v>
      </c>
      <c r="AD41" s="818">
        <f t="shared" si="17"/>
        <v>474.8</v>
      </c>
      <c r="AE41" s="818">
        <f t="shared" si="17"/>
        <v>672.15</v>
      </c>
      <c r="AF41" s="438">
        <f t="shared" si="17"/>
        <v>630.04999999999995</v>
      </c>
      <c r="AG41" s="826">
        <f t="shared" si="17"/>
        <v>270.95000000000005</v>
      </c>
      <c r="AH41" s="818">
        <f t="shared" si="17"/>
        <v>650.65</v>
      </c>
      <c r="AI41" s="818">
        <f t="shared" si="17"/>
        <v>761.45</v>
      </c>
      <c r="AJ41" s="818">
        <f t="shared" si="17"/>
        <v>891.55</v>
      </c>
      <c r="AK41" s="818">
        <f t="shared" si="17"/>
        <v>1044.0999999999999</v>
      </c>
      <c r="AL41" s="818">
        <f t="shared" si="17"/>
        <v>1221.95</v>
      </c>
      <c r="AM41" s="818">
        <f t="shared" si="17"/>
        <v>1321.4</v>
      </c>
      <c r="AN41" s="818">
        <f t="shared" si="17"/>
        <v>1133.95</v>
      </c>
      <c r="AO41" s="818">
        <f t="shared" si="17"/>
        <v>1102.2</v>
      </c>
      <c r="AP41" s="818">
        <f t="shared" si="17"/>
        <v>1993.7</v>
      </c>
      <c r="AQ41" s="818">
        <f t="shared" si="17"/>
        <v>2748.6000000000004</v>
      </c>
      <c r="AR41" s="438">
        <f t="shared" si="17"/>
        <v>278.29999999999978</v>
      </c>
      <c r="AS41" s="1"/>
    </row>
    <row r="42" spans="2:46">
      <c r="B42" s="548"/>
      <c r="F42" s="549"/>
      <c r="G42" s="419"/>
      <c r="H42" s="416"/>
      <c r="I42" s="426"/>
      <c r="J42" s="416"/>
      <c r="K42" s="416"/>
      <c r="L42" s="416"/>
      <c r="M42" s="416"/>
      <c r="N42" s="416"/>
      <c r="O42" s="416"/>
      <c r="P42" s="416"/>
      <c r="Q42" s="416"/>
      <c r="R42" s="416"/>
      <c r="S42" s="416"/>
      <c r="T42" s="416"/>
      <c r="U42" s="822"/>
      <c r="V42" s="416"/>
      <c r="W42" s="416"/>
      <c r="X42" s="416"/>
      <c r="Y42" s="416"/>
      <c r="Z42" s="416"/>
      <c r="AA42" s="416"/>
      <c r="AB42" s="416"/>
      <c r="AC42" s="416"/>
      <c r="AD42" s="416"/>
      <c r="AE42" s="416"/>
      <c r="AF42" s="433"/>
      <c r="AG42" s="822"/>
      <c r="AH42" s="416"/>
      <c r="AI42" s="416"/>
      <c r="AJ42" s="416"/>
      <c r="AK42" s="416"/>
      <c r="AL42" s="416"/>
      <c r="AM42" s="416"/>
      <c r="AN42" s="416"/>
      <c r="AO42" s="416"/>
      <c r="AP42" s="416"/>
      <c r="AQ42" s="416"/>
      <c r="AR42" s="433"/>
    </row>
    <row r="43" spans="2:46">
      <c r="B43" s="548"/>
      <c r="F43" s="549"/>
      <c r="G43" s="449" t="s">
        <v>432</v>
      </c>
      <c r="H43" s="428"/>
      <c r="I43" s="428">
        <f>'Pricing Model'!$F$15*I33</f>
        <v>0</v>
      </c>
      <c r="J43" s="428">
        <f>'Pricing Model'!$F$15*J33</f>
        <v>9500</v>
      </c>
      <c r="K43" s="428">
        <f>'Pricing Model'!$F$15*K33</f>
        <v>8090.0000000000009</v>
      </c>
      <c r="L43" s="428">
        <f>'Pricing Model'!$F$15*L33</f>
        <v>9119.9999999999982</v>
      </c>
      <c r="M43" s="428">
        <f>'Pricing Model'!$F$15*M33</f>
        <v>10120</v>
      </c>
      <c r="N43" s="428">
        <f>'Pricing Model'!$F$15*N33</f>
        <v>11350</v>
      </c>
      <c r="O43" s="428">
        <f>'Pricing Model'!$F$15*O33</f>
        <v>12550</v>
      </c>
      <c r="P43" s="428">
        <f>'Pricing Model'!$F$15*P33</f>
        <v>14180.000000000002</v>
      </c>
      <c r="Q43" s="428">
        <f>'Pricing Model'!$F$15*Q33</f>
        <v>13009.999999999996</v>
      </c>
      <c r="R43" s="428">
        <f>'Pricing Model'!$F$15*R33</f>
        <v>10990</v>
      </c>
      <c r="S43" s="428">
        <f>'Pricing Model'!$F$15*S33</f>
        <v>17180</v>
      </c>
      <c r="T43" s="428">
        <f>'Pricing Model'!$F$15*T33</f>
        <v>22680</v>
      </c>
      <c r="U43" s="827">
        <f>'Pricing Model'!$F$35*U33</f>
        <v>22948.400000000001</v>
      </c>
      <c r="V43" s="428">
        <f>'Pricing Model'!$F$35*V33</f>
        <v>21980.2</v>
      </c>
      <c r="W43" s="428">
        <f>'Pricing Model'!$F$35*W33</f>
        <v>30158.400000000001</v>
      </c>
      <c r="X43" s="428">
        <f>'Pricing Model'!$F$35*X33</f>
        <v>35401.099999999991</v>
      </c>
      <c r="Y43" s="428">
        <f>'Pricing Model'!$F$35*Y33</f>
        <v>41467.800000000003</v>
      </c>
      <c r="Z43" s="428">
        <f>'Pricing Model'!$F$35*Z33</f>
        <v>48595.4</v>
      </c>
      <c r="AA43" s="428">
        <f>'Pricing Model'!$F$35*AA33</f>
        <v>56959</v>
      </c>
      <c r="AB43" s="428">
        <f>'Pricing Model'!$F$35*AB33</f>
        <v>61676.400000000009</v>
      </c>
      <c r="AC43" s="428">
        <f>'Pricing Model'!$F$35*AC33</f>
        <v>66002.39999999998</v>
      </c>
      <c r="AD43" s="428">
        <f>'Pricing Model'!$F$35*AD33</f>
        <v>83347.600000000006</v>
      </c>
      <c r="AE43" s="428">
        <f>'Pricing Model'!$F$35*AE33</f>
        <v>97808.8</v>
      </c>
      <c r="AF43" s="439">
        <f>'Pricing Model'!$F$35*AF33</f>
        <v>138462.9</v>
      </c>
      <c r="AG43" s="827">
        <f>'Pricing Model'!$F$56*AG33</f>
        <v>132386.106</v>
      </c>
      <c r="AH43" s="428">
        <f>'Pricing Model'!$F$56*AH33</f>
        <v>56932.01400000001</v>
      </c>
      <c r="AI43" s="428">
        <f>'Pricing Model'!$F$56*AI33</f>
        <v>136714.57800000001</v>
      </c>
      <c r="AJ43" s="428">
        <f>'Pricing Model'!$F$56*AJ33</f>
        <v>159995.87400000001</v>
      </c>
      <c r="AK43" s="428">
        <f>'Pricing Model'!$F$56*AK33</f>
        <v>187332.486</v>
      </c>
      <c r="AL43" s="428">
        <f>'Pricing Model'!$F$56*AL33</f>
        <v>219386.29199999999</v>
      </c>
      <c r="AM43" s="428">
        <f>'Pricing Model'!$F$56*AM33</f>
        <v>256756.13400000002</v>
      </c>
      <c r="AN43" s="428">
        <f>'Pricing Model'!$F$56*AN33</f>
        <v>277652.56800000003</v>
      </c>
      <c r="AO43" s="428">
        <f>'Pricing Model'!$F$56*AO33</f>
        <v>238265.57400000002</v>
      </c>
      <c r="AP43" s="428">
        <f>'Pricing Model'!$F$56*AP33</f>
        <v>231594.26400000002</v>
      </c>
      <c r="AQ43" s="428">
        <f>'Pricing Model'!$F$56*AQ33</f>
        <v>418916.24400000001</v>
      </c>
      <c r="AR43" s="439">
        <f>'Pricing Model'!$F$56*AR33</f>
        <v>577535.83200000005</v>
      </c>
      <c r="AS43" s="1"/>
      <c r="AT43" s="1"/>
    </row>
    <row r="44" spans="2:46" ht="16.2" thickBot="1">
      <c r="B44" s="550"/>
      <c r="C44" s="551"/>
      <c r="D44" s="551"/>
      <c r="E44" s="551"/>
      <c r="F44" s="552"/>
      <c r="G44" s="411" t="s">
        <v>440</v>
      </c>
      <c r="H44" s="429"/>
      <c r="I44" s="582">
        <f>I43</f>
        <v>0</v>
      </c>
      <c r="J44" s="583">
        <f>J43-I43</f>
        <v>9500</v>
      </c>
      <c r="K44" s="583">
        <f>K43-J43</f>
        <v>-1409.9999999999991</v>
      </c>
      <c r="L44" s="583">
        <f t="shared" ref="L44" si="18">L43-K43</f>
        <v>1029.9999999999973</v>
      </c>
      <c r="M44" s="583">
        <f t="shared" ref="M44" si="19">M43-L43</f>
        <v>1000.0000000000018</v>
      </c>
      <c r="N44" s="583">
        <f t="shared" ref="N44" si="20">N43-M43</f>
        <v>1230</v>
      </c>
      <c r="O44" s="583">
        <f t="shared" ref="O44" si="21">O43-N43</f>
        <v>1200</v>
      </c>
      <c r="P44" s="583">
        <f t="shared" ref="P44" si="22">P43-O43</f>
        <v>1630.0000000000018</v>
      </c>
      <c r="Q44" s="583">
        <f t="shared" ref="Q44" si="23">Q43-P43</f>
        <v>-1170.0000000000055</v>
      </c>
      <c r="R44" s="583">
        <f t="shared" ref="R44" si="24">R43-Q43</f>
        <v>-2019.9999999999964</v>
      </c>
      <c r="S44" s="583">
        <f t="shared" ref="S44" si="25">S43-R43</f>
        <v>6190</v>
      </c>
      <c r="T44" s="583">
        <f t="shared" ref="T44" si="26">T43-S43</f>
        <v>5500</v>
      </c>
      <c r="U44" s="828">
        <f t="shared" ref="U44" si="27">U43-T43</f>
        <v>268.40000000000146</v>
      </c>
      <c r="V44" s="583">
        <f t="shared" ref="V44" si="28">V43-U43</f>
        <v>-968.20000000000073</v>
      </c>
      <c r="W44" s="583">
        <f t="shared" ref="W44" si="29">W43-V43</f>
        <v>8178.2000000000007</v>
      </c>
      <c r="X44" s="583">
        <f t="shared" ref="X44" si="30">X43-W43</f>
        <v>5242.6999999999898</v>
      </c>
      <c r="Y44" s="583">
        <f t="shared" ref="Y44" si="31">Y43-X43</f>
        <v>6066.7000000000116</v>
      </c>
      <c r="Z44" s="583">
        <f t="shared" ref="Z44" si="32">Z43-Y43</f>
        <v>7127.5999999999985</v>
      </c>
      <c r="AA44" s="583">
        <f t="shared" ref="AA44" si="33">AA43-Z43</f>
        <v>8363.5999999999985</v>
      </c>
      <c r="AB44" s="583">
        <f t="shared" ref="AB44" si="34">AB43-AA43</f>
        <v>4717.4000000000087</v>
      </c>
      <c r="AC44" s="583">
        <f t="shared" ref="AC44" si="35">AC43-AB43</f>
        <v>4325.9999999999709</v>
      </c>
      <c r="AD44" s="583">
        <f t="shared" ref="AD44" si="36">AD43-AC43</f>
        <v>17345.200000000026</v>
      </c>
      <c r="AE44" s="583">
        <f t="shared" ref="AE44" si="37">AE43-AD43</f>
        <v>14461.199999999997</v>
      </c>
      <c r="AF44" s="584">
        <f t="shared" ref="AF44" si="38">AF43-AE43</f>
        <v>40654.099999999991</v>
      </c>
      <c r="AG44" s="828">
        <f t="shared" ref="AG44" si="39">AG43-AF43</f>
        <v>-6076.7939999999944</v>
      </c>
      <c r="AH44" s="583">
        <f t="shared" ref="AH44" si="40">AH43-AG43</f>
        <v>-75454.09199999999</v>
      </c>
      <c r="AI44" s="583">
        <f t="shared" ref="AI44" si="41">AI43-AH43</f>
        <v>79782.563999999998</v>
      </c>
      <c r="AJ44" s="583">
        <f t="shared" ref="AJ44" si="42">AJ43-AI43</f>
        <v>23281.296000000002</v>
      </c>
      <c r="AK44" s="583">
        <f t="shared" ref="AK44" si="43">AK43-AJ43</f>
        <v>27336.611999999994</v>
      </c>
      <c r="AL44" s="583">
        <f t="shared" ref="AL44" si="44">AL43-AK43</f>
        <v>32053.805999999982</v>
      </c>
      <c r="AM44" s="583">
        <f t="shared" ref="AM44" si="45">AM43-AL43</f>
        <v>37369.842000000033</v>
      </c>
      <c r="AN44" s="583">
        <f t="shared" ref="AN44" si="46">AN43-AM43</f>
        <v>20896.434000000008</v>
      </c>
      <c r="AO44" s="583">
        <f t="shared" ref="AO44" si="47">AO43-AN43</f>
        <v>-39386.994000000006</v>
      </c>
      <c r="AP44" s="583">
        <f t="shared" ref="AP44" si="48">AP43-AO43</f>
        <v>-6671.3099999999977</v>
      </c>
      <c r="AQ44" s="583">
        <f t="shared" ref="AQ44" si="49">AQ43-AP43</f>
        <v>187321.97999999998</v>
      </c>
      <c r="AR44" s="584">
        <f t="shared" ref="AR44" si="50">AR43-AQ43</f>
        <v>158619.58800000005</v>
      </c>
      <c r="AS44" s="1"/>
    </row>
    <row r="45" spans="2:46" ht="16.2" thickTop="1">
      <c r="G45" s="400"/>
      <c r="H45" s="394"/>
      <c r="I45" s="394"/>
      <c r="J45" s="394"/>
      <c r="K45" s="394"/>
      <c r="L45" s="394"/>
      <c r="M45" s="394"/>
      <c r="N45" s="394"/>
      <c r="O45" s="394"/>
      <c r="P45" s="394"/>
      <c r="Q45" s="394"/>
      <c r="R45" s="394"/>
      <c r="S45" s="394"/>
      <c r="T45" s="394"/>
      <c r="U45" s="830"/>
      <c r="V45" s="394"/>
      <c r="W45" s="394"/>
      <c r="X45" s="394"/>
      <c r="Y45" s="394"/>
      <c r="Z45" s="394"/>
      <c r="AA45" s="394"/>
      <c r="AB45" s="394"/>
      <c r="AC45" s="395"/>
      <c r="AD45" s="394"/>
      <c r="AE45" s="394"/>
      <c r="AF45" s="441"/>
      <c r="AG45" s="830"/>
      <c r="AH45" s="394"/>
      <c r="AI45" s="394"/>
      <c r="AJ45" s="394"/>
      <c r="AK45" s="394"/>
      <c r="AL45" s="394"/>
      <c r="AM45" s="394"/>
      <c r="AN45" s="394"/>
      <c r="AO45" s="394"/>
      <c r="AP45" s="394"/>
      <c r="AQ45" s="394"/>
      <c r="AT45" s="1"/>
    </row>
    <row r="46" spans="2:46" ht="16.2" thickBot="1">
      <c r="H46" s="396"/>
      <c r="K46" s="396"/>
      <c r="L46" s="396"/>
      <c r="M46" s="396"/>
      <c r="N46" s="396"/>
      <c r="O46" s="396"/>
      <c r="P46" s="396"/>
      <c r="Q46" s="396"/>
      <c r="R46" s="396"/>
      <c r="S46" s="396"/>
      <c r="T46" s="396"/>
      <c r="U46" s="833"/>
      <c r="V46" s="396"/>
      <c r="W46" s="396"/>
      <c r="X46" s="396"/>
      <c r="Y46" s="396"/>
      <c r="Z46" s="396"/>
      <c r="AA46" s="396"/>
      <c r="AB46" s="396"/>
      <c r="AC46" s="396"/>
      <c r="AD46" s="396"/>
      <c r="AE46" s="396"/>
      <c r="AF46" s="442"/>
      <c r="AG46" s="833"/>
      <c r="AH46" s="396"/>
      <c r="AI46" s="396"/>
      <c r="AJ46" s="396"/>
      <c r="AK46" s="396"/>
      <c r="AL46" s="396"/>
      <c r="AM46" s="396"/>
      <c r="AN46" s="396"/>
      <c r="AO46" s="396"/>
      <c r="AP46" s="396"/>
      <c r="AQ46" s="396"/>
      <c r="AT46" s="1"/>
    </row>
    <row r="47" spans="2:46" ht="16.2" thickTop="1">
      <c r="B47" s="545"/>
      <c r="C47" s="546"/>
      <c r="D47" s="546"/>
      <c r="E47" s="546"/>
      <c r="F47" s="553"/>
      <c r="G47" s="414" t="s">
        <v>433</v>
      </c>
      <c r="H47" s="410">
        <v>0.1</v>
      </c>
      <c r="I47" s="444"/>
      <c r="J47" s="444"/>
      <c r="K47" s="444"/>
      <c r="L47" s="444"/>
      <c r="M47" s="444"/>
      <c r="N47" s="444"/>
      <c r="O47" s="444"/>
      <c r="P47" s="444"/>
      <c r="Q47" s="444"/>
      <c r="R47" s="444"/>
      <c r="S47" s="444"/>
      <c r="T47" s="444"/>
      <c r="U47" s="831"/>
      <c r="V47" s="444"/>
      <c r="W47" s="444"/>
      <c r="X47" s="444"/>
      <c r="Y47" s="444"/>
      <c r="Z47" s="444"/>
      <c r="AA47" s="444"/>
      <c r="AB47" s="444"/>
      <c r="AC47" s="444"/>
      <c r="AD47" s="444"/>
      <c r="AE47" s="444"/>
      <c r="AF47" s="445"/>
      <c r="AG47" s="831"/>
      <c r="AH47" s="444"/>
      <c r="AI47" s="444"/>
      <c r="AJ47" s="444"/>
      <c r="AK47" s="444"/>
      <c r="AL47" s="444"/>
      <c r="AM47" s="444"/>
      <c r="AN47" s="444"/>
      <c r="AO47" s="444"/>
      <c r="AP47" s="444"/>
      <c r="AQ47" s="444"/>
      <c r="AR47" s="433"/>
    </row>
    <row r="48" spans="2:46">
      <c r="B48" s="548"/>
      <c r="F48" s="554"/>
      <c r="G48" s="411"/>
      <c r="H48" s="412"/>
      <c r="I48" s="413"/>
      <c r="J48" s="413"/>
      <c r="K48" s="413"/>
      <c r="L48" s="413"/>
      <c r="M48" s="413"/>
      <c r="N48" s="413"/>
      <c r="O48" s="413"/>
      <c r="P48" s="413"/>
      <c r="Q48" s="413"/>
      <c r="R48" s="413"/>
      <c r="S48" s="413"/>
      <c r="T48" s="413"/>
      <c r="U48" s="832"/>
      <c r="V48" s="413"/>
      <c r="W48" s="413"/>
      <c r="X48" s="413"/>
      <c r="Y48" s="413"/>
      <c r="Z48" s="413"/>
      <c r="AA48" s="413"/>
      <c r="AB48" s="413"/>
      <c r="AC48" s="413"/>
      <c r="AD48" s="413"/>
      <c r="AE48" s="413"/>
      <c r="AF48" s="432"/>
      <c r="AG48" s="832"/>
      <c r="AH48" s="413"/>
      <c r="AI48" s="413"/>
      <c r="AJ48" s="413"/>
      <c r="AK48" s="413"/>
      <c r="AL48" s="413"/>
      <c r="AM48" s="413"/>
      <c r="AN48" s="413"/>
      <c r="AO48" s="413"/>
      <c r="AP48" s="413"/>
      <c r="AQ48" s="413"/>
      <c r="AR48" s="432"/>
      <c r="AS48" s="387"/>
    </row>
    <row r="49" spans="2:46" ht="18">
      <c r="B49" s="548"/>
      <c r="C49" s="1245" t="s">
        <v>300</v>
      </c>
      <c r="D49" s="1245"/>
      <c r="F49" s="554"/>
      <c r="G49" s="419"/>
      <c r="H49" s="416"/>
      <c r="I49" s="416"/>
      <c r="J49" s="416"/>
      <c r="K49" s="416"/>
      <c r="L49" s="416"/>
      <c r="M49" s="416"/>
      <c r="N49" s="416"/>
      <c r="O49" s="416"/>
      <c r="P49" s="416"/>
      <c r="Q49" s="416"/>
      <c r="R49" s="416"/>
      <c r="S49" s="416"/>
      <c r="T49" s="416"/>
      <c r="U49" s="822"/>
      <c r="V49" s="416"/>
      <c r="W49" s="416"/>
      <c r="X49" s="416"/>
      <c r="Y49" s="416"/>
      <c r="Z49" s="416"/>
      <c r="AA49" s="416"/>
      <c r="AB49" s="416"/>
      <c r="AC49" s="416"/>
      <c r="AD49" s="416"/>
      <c r="AE49" s="416"/>
      <c r="AF49" s="433"/>
      <c r="AG49" s="822"/>
      <c r="AH49" s="416"/>
      <c r="AI49" s="416"/>
      <c r="AJ49" s="416"/>
      <c r="AK49" s="416"/>
      <c r="AL49" s="416"/>
      <c r="AM49" s="416"/>
      <c r="AN49" s="416"/>
      <c r="AO49" s="416"/>
      <c r="AP49" s="416"/>
      <c r="AQ49" s="416"/>
      <c r="AR49" s="433"/>
    </row>
    <row r="50" spans="2:46">
      <c r="B50" s="548"/>
      <c r="F50" s="554"/>
      <c r="G50" s="417" t="s">
        <v>437</v>
      </c>
      <c r="H50" s="416"/>
      <c r="I50" s="418"/>
      <c r="J50" s="416"/>
      <c r="K50" s="416"/>
      <c r="L50" s="416"/>
      <c r="M50" s="416"/>
      <c r="N50" s="416"/>
      <c r="O50" s="416"/>
      <c r="P50" s="416"/>
      <c r="Q50" s="416"/>
      <c r="R50" s="416"/>
      <c r="S50" s="416"/>
      <c r="T50" s="416"/>
      <c r="U50" s="822"/>
      <c r="V50" s="416"/>
      <c r="W50" s="416"/>
      <c r="X50" s="416"/>
      <c r="Y50" s="416"/>
      <c r="Z50" s="416"/>
      <c r="AA50" s="416"/>
      <c r="AB50" s="416"/>
      <c r="AC50" s="416"/>
      <c r="AD50" s="416"/>
      <c r="AE50" s="416"/>
      <c r="AF50" s="433"/>
      <c r="AG50" s="822"/>
      <c r="AH50" s="416"/>
      <c r="AI50" s="416"/>
      <c r="AJ50" s="416"/>
      <c r="AK50" s="416"/>
      <c r="AL50" s="416"/>
      <c r="AM50" s="416"/>
      <c r="AN50" s="416"/>
      <c r="AO50" s="416"/>
      <c r="AP50" s="416"/>
      <c r="AQ50" s="416"/>
      <c r="AR50" s="433"/>
      <c r="AT50" s="387"/>
    </row>
    <row r="51" spans="2:46">
      <c r="B51" s="548"/>
      <c r="F51" s="554"/>
      <c r="G51" s="419" t="s">
        <v>423</v>
      </c>
      <c r="H51" s="416"/>
      <c r="I51" s="388">
        <v>30</v>
      </c>
      <c r="J51" s="420">
        <f>I54</f>
        <v>10</v>
      </c>
      <c r="K51" s="420">
        <f t="shared" ref="K51:AR51" si="51">J54</f>
        <v>22</v>
      </c>
      <c r="L51" s="420">
        <f t="shared" si="51"/>
        <v>23.1</v>
      </c>
      <c r="M51" s="420">
        <f t="shared" si="51"/>
        <v>26.4</v>
      </c>
      <c r="N51" s="420">
        <f t="shared" si="51"/>
        <v>29.700000000000003</v>
      </c>
      <c r="O51" s="420">
        <f t="shared" si="51"/>
        <v>33</v>
      </c>
      <c r="P51" s="420">
        <f t="shared" si="51"/>
        <v>36.299999999999997</v>
      </c>
      <c r="Q51" s="420">
        <f t="shared" si="51"/>
        <v>40.700000000000003</v>
      </c>
      <c r="R51" s="420">
        <f t="shared" si="51"/>
        <v>44</v>
      </c>
      <c r="S51" s="420">
        <f t="shared" si="51"/>
        <v>40.700000000000003</v>
      </c>
      <c r="T51" s="420">
        <f t="shared" si="51"/>
        <v>45.099999999999994</v>
      </c>
      <c r="U51" s="823">
        <f t="shared" si="51"/>
        <v>70.400000000000006</v>
      </c>
      <c r="V51" s="420">
        <f t="shared" si="51"/>
        <v>77</v>
      </c>
      <c r="W51" s="420">
        <f t="shared" si="51"/>
        <v>47.3</v>
      </c>
      <c r="X51" s="420">
        <f t="shared" si="51"/>
        <v>49.5</v>
      </c>
      <c r="Y51" s="420">
        <f t="shared" si="51"/>
        <v>51.7</v>
      </c>
      <c r="Z51" s="420">
        <f t="shared" si="51"/>
        <v>53.9</v>
      </c>
      <c r="AA51" s="420">
        <f t="shared" si="51"/>
        <v>56.1</v>
      </c>
      <c r="AB51" s="420">
        <f t="shared" si="51"/>
        <v>59.4</v>
      </c>
      <c r="AC51" s="420">
        <f t="shared" si="51"/>
        <v>62.699999999999996</v>
      </c>
      <c r="AD51" s="420">
        <f t="shared" si="51"/>
        <v>71.5</v>
      </c>
      <c r="AE51" s="420">
        <f t="shared" si="51"/>
        <v>62.7</v>
      </c>
      <c r="AF51" s="434">
        <f t="shared" si="51"/>
        <v>66</v>
      </c>
      <c r="AG51" s="823">
        <f t="shared" si="51"/>
        <v>69.3</v>
      </c>
      <c r="AH51" s="420">
        <f t="shared" si="51"/>
        <v>112.2</v>
      </c>
      <c r="AI51" s="420">
        <f t="shared" si="51"/>
        <v>72.599999999999994</v>
      </c>
      <c r="AJ51" s="420">
        <f t="shared" si="51"/>
        <v>77</v>
      </c>
      <c r="AK51" s="420">
        <f t="shared" si="51"/>
        <v>124.3</v>
      </c>
      <c r="AL51" s="420">
        <f t="shared" si="51"/>
        <v>80.3</v>
      </c>
      <c r="AM51" s="420">
        <f t="shared" si="51"/>
        <v>84.7</v>
      </c>
      <c r="AN51" s="420">
        <f t="shared" si="51"/>
        <v>137.5</v>
      </c>
      <c r="AO51" s="420">
        <f t="shared" si="51"/>
        <v>165</v>
      </c>
      <c r="AP51" s="420">
        <f t="shared" si="51"/>
        <v>165</v>
      </c>
      <c r="AQ51" s="420">
        <f t="shared" si="51"/>
        <v>151.80000000000001</v>
      </c>
      <c r="AR51" s="434">
        <f t="shared" si="51"/>
        <v>167.2</v>
      </c>
    </row>
    <row r="52" spans="2:46">
      <c r="B52" s="548"/>
      <c r="F52" s="554"/>
      <c r="G52" s="419" t="s">
        <v>424</v>
      </c>
      <c r="H52" s="416"/>
      <c r="I52" s="418" cm="1">
        <f t="array" ref="I52:AS52">-'Sales Forecast'!E38:AO38</f>
        <v>-20</v>
      </c>
      <c r="J52" s="420">
        <v>-21</v>
      </c>
      <c r="K52" s="420">
        <v>-24</v>
      </c>
      <c r="L52" s="420">
        <v>-27</v>
      </c>
      <c r="M52" s="420">
        <v>-30</v>
      </c>
      <c r="N52" s="420">
        <v>-33</v>
      </c>
      <c r="O52" s="420">
        <v>-37</v>
      </c>
      <c r="P52" s="420">
        <v>-40</v>
      </c>
      <c r="Q52" s="420">
        <v>-37</v>
      </c>
      <c r="R52" s="420">
        <v>-41</v>
      </c>
      <c r="S52" s="420">
        <v>-64</v>
      </c>
      <c r="T52" s="420">
        <v>-70</v>
      </c>
      <c r="U52" s="823">
        <v>-43</v>
      </c>
      <c r="V52" s="420">
        <v>-45</v>
      </c>
      <c r="W52" s="420">
        <v>-47</v>
      </c>
      <c r="X52" s="420">
        <v>-49</v>
      </c>
      <c r="Y52" s="420">
        <v>-51</v>
      </c>
      <c r="Z52" s="420">
        <v>-54</v>
      </c>
      <c r="AA52" s="420">
        <v>-57</v>
      </c>
      <c r="AB52" s="420">
        <v>-65</v>
      </c>
      <c r="AC52" s="420">
        <v>-57</v>
      </c>
      <c r="AD52" s="420">
        <v>-60</v>
      </c>
      <c r="AE52" s="420">
        <v>-63</v>
      </c>
      <c r="AF52" s="434">
        <v>-102</v>
      </c>
      <c r="AG52" s="823">
        <v>-66</v>
      </c>
      <c r="AH52" s="420">
        <v>-70</v>
      </c>
      <c r="AI52" s="420">
        <v>-113</v>
      </c>
      <c r="AJ52" s="420">
        <v>-73</v>
      </c>
      <c r="AK52" s="420">
        <v>-77</v>
      </c>
      <c r="AL52" s="420">
        <v>-125</v>
      </c>
      <c r="AM52" s="420">
        <v>-150</v>
      </c>
      <c r="AN52" s="420">
        <v>-150</v>
      </c>
      <c r="AO52" s="420">
        <v>-138</v>
      </c>
      <c r="AP52" s="420">
        <v>-152</v>
      </c>
      <c r="AQ52" s="420">
        <v>-236</v>
      </c>
      <c r="AR52" s="434">
        <v>-259</v>
      </c>
      <c r="AS52" s="397">
        <v>0</v>
      </c>
    </row>
    <row r="53" spans="2:46">
      <c r="B53" s="548"/>
      <c r="F53" s="555"/>
      <c r="G53" s="419" t="s">
        <v>425</v>
      </c>
      <c r="H53" s="416"/>
      <c r="I53" s="421">
        <v>0</v>
      </c>
      <c r="J53" s="422">
        <f>I61</f>
        <v>33</v>
      </c>
      <c r="K53" s="422">
        <f t="shared" ref="K53:AR53" si="52">J61</f>
        <v>25.1</v>
      </c>
      <c r="L53" s="422">
        <f t="shared" si="52"/>
        <v>30.299999999999997</v>
      </c>
      <c r="M53" s="422">
        <f t="shared" si="52"/>
        <v>33.300000000000004</v>
      </c>
      <c r="N53" s="422">
        <f t="shared" si="52"/>
        <v>36.299999999999997</v>
      </c>
      <c r="O53" s="422">
        <f t="shared" si="52"/>
        <v>40.299999999999997</v>
      </c>
      <c r="P53" s="422">
        <f t="shared" si="52"/>
        <v>44.400000000000006</v>
      </c>
      <c r="Q53" s="422">
        <f t="shared" si="52"/>
        <v>40.299999999999997</v>
      </c>
      <c r="R53" s="422">
        <f t="shared" si="52"/>
        <v>37.700000000000003</v>
      </c>
      <c r="S53" s="422">
        <f t="shared" si="52"/>
        <v>68.399999999999991</v>
      </c>
      <c r="T53" s="422">
        <f t="shared" si="52"/>
        <v>95.300000000000011</v>
      </c>
      <c r="U53" s="824">
        <f t="shared" si="52"/>
        <v>49.599999999999994</v>
      </c>
      <c r="V53" s="422">
        <f t="shared" si="52"/>
        <v>15.3</v>
      </c>
      <c r="W53" s="422">
        <f t="shared" si="52"/>
        <v>49.2</v>
      </c>
      <c r="X53" s="422">
        <f t="shared" si="52"/>
        <v>51.2</v>
      </c>
      <c r="Y53" s="422">
        <f t="shared" si="52"/>
        <v>53.199999999999996</v>
      </c>
      <c r="Z53" s="422">
        <f t="shared" si="52"/>
        <v>56.2</v>
      </c>
      <c r="AA53" s="422">
        <f t="shared" si="52"/>
        <v>60.3</v>
      </c>
      <c r="AB53" s="422">
        <f t="shared" si="52"/>
        <v>68.3</v>
      </c>
      <c r="AC53" s="422">
        <f t="shared" si="52"/>
        <v>65.800000000000011</v>
      </c>
      <c r="AD53" s="422">
        <f t="shared" si="52"/>
        <v>51.2</v>
      </c>
      <c r="AE53" s="422">
        <f t="shared" si="52"/>
        <v>66.3</v>
      </c>
      <c r="AF53" s="435">
        <f t="shared" si="52"/>
        <v>105.3</v>
      </c>
      <c r="AG53" s="824">
        <f t="shared" si="52"/>
        <v>108.9</v>
      </c>
      <c r="AH53" s="422">
        <f t="shared" si="52"/>
        <v>30.4</v>
      </c>
      <c r="AI53" s="422">
        <f t="shared" si="52"/>
        <v>117.4</v>
      </c>
      <c r="AJ53" s="422">
        <f t="shared" si="52"/>
        <v>120.3</v>
      </c>
      <c r="AK53" s="422">
        <f t="shared" si="52"/>
        <v>33</v>
      </c>
      <c r="AL53" s="422">
        <f t="shared" si="52"/>
        <v>129.4</v>
      </c>
      <c r="AM53" s="422">
        <f t="shared" si="52"/>
        <v>202.8</v>
      </c>
      <c r="AN53" s="422">
        <f t="shared" si="52"/>
        <v>177.5</v>
      </c>
      <c r="AO53" s="422">
        <f t="shared" si="52"/>
        <v>138</v>
      </c>
      <c r="AP53" s="422">
        <f t="shared" si="52"/>
        <v>138.80000000000001</v>
      </c>
      <c r="AQ53" s="422">
        <f t="shared" si="52"/>
        <v>251.39999999999998</v>
      </c>
      <c r="AR53" s="435">
        <f t="shared" si="52"/>
        <v>351.40000000000003</v>
      </c>
    </row>
    <row r="54" spans="2:46">
      <c r="B54" s="548"/>
      <c r="F54" s="555"/>
      <c r="G54" s="417" t="s">
        <v>426</v>
      </c>
      <c r="H54" s="423"/>
      <c r="I54" s="424">
        <f>SUM(I51:I53)</f>
        <v>10</v>
      </c>
      <c r="J54" s="424">
        <f>SUM(J51:J53)</f>
        <v>22</v>
      </c>
      <c r="K54" s="424">
        <f t="shared" ref="K54:AR54" si="53">SUM(K51:K53)</f>
        <v>23.1</v>
      </c>
      <c r="L54" s="424">
        <f t="shared" si="53"/>
        <v>26.4</v>
      </c>
      <c r="M54" s="424">
        <f t="shared" si="53"/>
        <v>29.700000000000003</v>
      </c>
      <c r="N54" s="424">
        <f t="shared" si="53"/>
        <v>33</v>
      </c>
      <c r="O54" s="424">
        <f t="shared" si="53"/>
        <v>36.299999999999997</v>
      </c>
      <c r="P54" s="424">
        <f t="shared" si="53"/>
        <v>40.700000000000003</v>
      </c>
      <c r="Q54" s="424">
        <f t="shared" si="53"/>
        <v>44</v>
      </c>
      <c r="R54" s="424">
        <f t="shared" si="53"/>
        <v>40.700000000000003</v>
      </c>
      <c r="S54" s="424">
        <f t="shared" si="53"/>
        <v>45.099999999999994</v>
      </c>
      <c r="T54" s="816">
        <f t="shared" si="53"/>
        <v>70.400000000000006</v>
      </c>
      <c r="U54" s="820">
        <f t="shared" si="53"/>
        <v>77</v>
      </c>
      <c r="V54" s="816">
        <f t="shared" si="53"/>
        <v>47.3</v>
      </c>
      <c r="W54" s="816">
        <f t="shared" si="53"/>
        <v>49.5</v>
      </c>
      <c r="X54" s="816">
        <f t="shared" si="53"/>
        <v>51.7</v>
      </c>
      <c r="Y54" s="816">
        <f t="shared" si="53"/>
        <v>53.9</v>
      </c>
      <c r="Z54" s="816">
        <f t="shared" si="53"/>
        <v>56.1</v>
      </c>
      <c r="AA54" s="816">
        <f t="shared" si="53"/>
        <v>59.4</v>
      </c>
      <c r="AB54" s="816">
        <f t="shared" si="53"/>
        <v>62.699999999999996</v>
      </c>
      <c r="AC54" s="816">
        <f t="shared" si="53"/>
        <v>71.5</v>
      </c>
      <c r="AD54" s="816">
        <f t="shared" si="53"/>
        <v>62.7</v>
      </c>
      <c r="AE54" s="816">
        <f t="shared" si="53"/>
        <v>66</v>
      </c>
      <c r="AF54" s="436">
        <f t="shared" si="53"/>
        <v>69.3</v>
      </c>
      <c r="AG54" s="820">
        <f t="shared" si="53"/>
        <v>112.2</v>
      </c>
      <c r="AH54" s="816">
        <f t="shared" si="53"/>
        <v>72.599999999999994</v>
      </c>
      <c r="AI54" s="816">
        <f t="shared" si="53"/>
        <v>77</v>
      </c>
      <c r="AJ54" s="816">
        <f t="shared" si="53"/>
        <v>124.3</v>
      </c>
      <c r="AK54" s="816">
        <f t="shared" si="53"/>
        <v>80.3</v>
      </c>
      <c r="AL54" s="816">
        <f t="shared" si="53"/>
        <v>84.7</v>
      </c>
      <c r="AM54" s="816">
        <f t="shared" si="53"/>
        <v>137.5</v>
      </c>
      <c r="AN54" s="816">
        <f t="shared" si="53"/>
        <v>165</v>
      </c>
      <c r="AO54" s="816">
        <f t="shared" si="53"/>
        <v>165</v>
      </c>
      <c r="AP54" s="816">
        <f t="shared" si="53"/>
        <v>151.80000000000001</v>
      </c>
      <c r="AQ54" s="816">
        <f t="shared" si="53"/>
        <v>167.2</v>
      </c>
      <c r="AR54" s="436">
        <f t="shared" si="53"/>
        <v>259.60000000000002</v>
      </c>
      <c r="AS54" s="1"/>
      <c r="AT54" s="397"/>
    </row>
    <row r="55" spans="2:46">
      <c r="B55" s="548"/>
      <c r="F55" s="554"/>
      <c r="G55" s="417"/>
      <c r="H55" s="423"/>
      <c r="I55" s="424"/>
      <c r="J55" s="424"/>
      <c r="K55" s="424"/>
      <c r="L55" s="424"/>
      <c r="M55" s="424"/>
      <c r="N55" s="424"/>
      <c r="O55" s="424"/>
      <c r="P55" s="424"/>
      <c r="Q55" s="424"/>
      <c r="R55" s="424"/>
      <c r="S55" s="424"/>
      <c r="T55" s="816"/>
      <c r="U55" s="820"/>
      <c r="V55" s="816"/>
      <c r="W55" s="816"/>
      <c r="X55" s="816"/>
      <c r="Y55" s="816"/>
      <c r="Z55" s="816"/>
      <c r="AA55" s="816"/>
      <c r="AB55" s="816"/>
      <c r="AC55" s="816"/>
      <c r="AD55" s="816"/>
      <c r="AE55" s="816"/>
      <c r="AF55" s="436"/>
      <c r="AG55" s="820"/>
      <c r="AH55" s="816"/>
      <c r="AI55" s="816"/>
      <c r="AJ55" s="816"/>
      <c r="AK55" s="816"/>
      <c r="AL55" s="816"/>
      <c r="AM55" s="816"/>
      <c r="AN55" s="816"/>
      <c r="AO55" s="816"/>
      <c r="AP55" s="816"/>
      <c r="AQ55" s="816"/>
      <c r="AR55" s="436"/>
      <c r="AS55" s="1"/>
    </row>
    <row r="56" spans="2:46">
      <c r="B56" s="548"/>
      <c r="F56" s="554"/>
      <c r="G56" s="417" t="s">
        <v>439</v>
      </c>
      <c r="H56" s="416"/>
      <c r="I56" s="418"/>
      <c r="J56" s="416"/>
      <c r="K56" s="416"/>
      <c r="L56" s="416"/>
      <c r="M56" s="416"/>
      <c r="N56" s="416"/>
      <c r="O56" s="416"/>
      <c r="P56" s="416"/>
      <c r="Q56" s="416"/>
      <c r="R56" s="416"/>
      <c r="S56" s="416"/>
      <c r="T56" s="416"/>
      <c r="U56" s="822"/>
      <c r="V56" s="416"/>
      <c r="W56" s="416"/>
      <c r="X56" s="416"/>
      <c r="Y56" s="416"/>
      <c r="Z56" s="416"/>
      <c r="AA56" s="416"/>
      <c r="AB56" s="416"/>
      <c r="AC56" s="416"/>
      <c r="AD56" s="416"/>
      <c r="AE56" s="416"/>
      <c r="AF56" s="433"/>
      <c r="AG56" s="822"/>
      <c r="AH56" s="416"/>
      <c r="AI56" s="416"/>
      <c r="AJ56" s="416"/>
      <c r="AK56" s="416"/>
      <c r="AL56" s="416"/>
      <c r="AM56" s="416"/>
      <c r="AN56" s="416"/>
      <c r="AO56" s="416"/>
      <c r="AP56" s="416"/>
      <c r="AQ56" s="416"/>
      <c r="AR56" s="433"/>
      <c r="AT56" s="1"/>
    </row>
    <row r="57" spans="2:46">
      <c r="B57" s="548"/>
      <c r="F57" s="554"/>
      <c r="G57" s="419" t="s">
        <v>427</v>
      </c>
      <c r="H57" s="416"/>
      <c r="I57" s="418">
        <f>-(I52+J52)</f>
        <v>41</v>
      </c>
      <c r="J57" s="418">
        <f t="shared" ref="J57:AR57" si="54">-(J52+K52)</f>
        <v>45</v>
      </c>
      <c r="K57" s="418">
        <f t="shared" si="54"/>
        <v>51</v>
      </c>
      <c r="L57" s="418">
        <f t="shared" si="54"/>
        <v>57</v>
      </c>
      <c r="M57" s="418">
        <f t="shared" si="54"/>
        <v>63</v>
      </c>
      <c r="N57" s="418">
        <f t="shared" si="54"/>
        <v>70</v>
      </c>
      <c r="O57" s="418">
        <f t="shared" si="54"/>
        <v>77</v>
      </c>
      <c r="P57" s="418">
        <f t="shared" si="54"/>
        <v>77</v>
      </c>
      <c r="Q57" s="418">
        <f t="shared" si="54"/>
        <v>78</v>
      </c>
      <c r="R57" s="418">
        <f t="shared" si="54"/>
        <v>105</v>
      </c>
      <c r="S57" s="418">
        <f t="shared" si="54"/>
        <v>134</v>
      </c>
      <c r="T57" s="817">
        <f t="shared" si="54"/>
        <v>113</v>
      </c>
      <c r="U57" s="825">
        <f t="shared" si="54"/>
        <v>88</v>
      </c>
      <c r="V57" s="817">
        <f t="shared" si="54"/>
        <v>92</v>
      </c>
      <c r="W57" s="817">
        <f t="shared" si="54"/>
        <v>96</v>
      </c>
      <c r="X57" s="817">
        <f t="shared" si="54"/>
        <v>100</v>
      </c>
      <c r="Y57" s="817">
        <f t="shared" si="54"/>
        <v>105</v>
      </c>
      <c r="Z57" s="817">
        <f t="shared" si="54"/>
        <v>111</v>
      </c>
      <c r="AA57" s="817">
        <f t="shared" si="54"/>
        <v>122</v>
      </c>
      <c r="AB57" s="817">
        <f t="shared" si="54"/>
        <v>122</v>
      </c>
      <c r="AC57" s="817">
        <f t="shared" si="54"/>
        <v>117</v>
      </c>
      <c r="AD57" s="817">
        <f t="shared" si="54"/>
        <v>123</v>
      </c>
      <c r="AE57" s="817">
        <f t="shared" si="54"/>
        <v>165</v>
      </c>
      <c r="AF57" s="437">
        <f t="shared" si="54"/>
        <v>168</v>
      </c>
      <c r="AG57" s="825">
        <f t="shared" si="54"/>
        <v>136</v>
      </c>
      <c r="AH57" s="817">
        <f t="shared" si="54"/>
        <v>183</v>
      </c>
      <c r="AI57" s="817">
        <f t="shared" si="54"/>
        <v>186</v>
      </c>
      <c r="AJ57" s="817">
        <f t="shared" si="54"/>
        <v>150</v>
      </c>
      <c r="AK57" s="817">
        <f t="shared" si="54"/>
        <v>202</v>
      </c>
      <c r="AL57" s="817">
        <f t="shared" si="54"/>
        <v>275</v>
      </c>
      <c r="AM57" s="817">
        <f t="shared" si="54"/>
        <v>300</v>
      </c>
      <c r="AN57" s="817">
        <f t="shared" si="54"/>
        <v>288</v>
      </c>
      <c r="AO57" s="817">
        <f t="shared" si="54"/>
        <v>290</v>
      </c>
      <c r="AP57" s="817">
        <f t="shared" si="54"/>
        <v>388</v>
      </c>
      <c r="AQ57" s="817">
        <f t="shared" si="54"/>
        <v>495</v>
      </c>
      <c r="AR57" s="437">
        <f t="shared" si="54"/>
        <v>259</v>
      </c>
      <c r="AT57" s="1"/>
    </row>
    <row r="58" spans="2:46">
      <c r="B58" s="548"/>
      <c r="F58" s="554"/>
      <c r="G58" s="419" t="s">
        <v>428</v>
      </c>
      <c r="H58" s="416"/>
      <c r="I58" s="418">
        <f>I54</f>
        <v>10</v>
      </c>
      <c r="J58" s="418">
        <f t="shared" ref="J58:AR58" si="55">J54</f>
        <v>22</v>
      </c>
      <c r="K58" s="418">
        <f t="shared" si="55"/>
        <v>23.1</v>
      </c>
      <c r="L58" s="418">
        <f t="shared" si="55"/>
        <v>26.4</v>
      </c>
      <c r="M58" s="418">
        <f t="shared" si="55"/>
        <v>29.700000000000003</v>
      </c>
      <c r="N58" s="418">
        <f t="shared" si="55"/>
        <v>33</v>
      </c>
      <c r="O58" s="418">
        <f t="shared" si="55"/>
        <v>36.299999999999997</v>
      </c>
      <c r="P58" s="418">
        <f t="shared" si="55"/>
        <v>40.700000000000003</v>
      </c>
      <c r="Q58" s="418">
        <f t="shared" si="55"/>
        <v>44</v>
      </c>
      <c r="R58" s="418">
        <f t="shared" si="55"/>
        <v>40.700000000000003</v>
      </c>
      <c r="S58" s="418">
        <f t="shared" si="55"/>
        <v>45.099999999999994</v>
      </c>
      <c r="T58" s="817">
        <f t="shared" si="55"/>
        <v>70.400000000000006</v>
      </c>
      <c r="U58" s="825">
        <f t="shared" si="55"/>
        <v>77</v>
      </c>
      <c r="V58" s="817">
        <f t="shared" si="55"/>
        <v>47.3</v>
      </c>
      <c r="W58" s="817">
        <f t="shared" si="55"/>
        <v>49.5</v>
      </c>
      <c r="X58" s="817">
        <f t="shared" si="55"/>
        <v>51.7</v>
      </c>
      <c r="Y58" s="817">
        <f t="shared" si="55"/>
        <v>53.9</v>
      </c>
      <c r="Z58" s="817">
        <f t="shared" si="55"/>
        <v>56.1</v>
      </c>
      <c r="AA58" s="817">
        <f t="shared" si="55"/>
        <v>59.4</v>
      </c>
      <c r="AB58" s="817">
        <f t="shared" si="55"/>
        <v>62.699999999999996</v>
      </c>
      <c r="AC58" s="817">
        <f t="shared" si="55"/>
        <v>71.5</v>
      </c>
      <c r="AD58" s="817">
        <f t="shared" si="55"/>
        <v>62.7</v>
      </c>
      <c r="AE58" s="817">
        <f t="shared" si="55"/>
        <v>66</v>
      </c>
      <c r="AF58" s="437">
        <f t="shared" si="55"/>
        <v>69.3</v>
      </c>
      <c r="AG58" s="825">
        <f t="shared" si="55"/>
        <v>112.2</v>
      </c>
      <c r="AH58" s="817">
        <f t="shared" si="55"/>
        <v>72.599999999999994</v>
      </c>
      <c r="AI58" s="817">
        <f t="shared" si="55"/>
        <v>77</v>
      </c>
      <c r="AJ58" s="817">
        <f t="shared" si="55"/>
        <v>124.3</v>
      </c>
      <c r="AK58" s="817">
        <f t="shared" si="55"/>
        <v>80.3</v>
      </c>
      <c r="AL58" s="817">
        <f t="shared" si="55"/>
        <v>84.7</v>
      </c>
      <c r="AM58" s="817">
        <f t="shared" si="55"/>
        <v>137.5</v>
      </c>
      <c r="AN58" s="817">
        <f t="shared" si="55"/>
        <v>165</v>
      </c>
      <c r="AO58" s="817">
        <f t="shared" si="55"/>
        <v>165</v>
      </c>
      <c r="AP58" s="817">
        <f t="shared" si="55"/>
        <v>151.80000000000001</v>
      </c>
      <c r="AQ58" s="817">
        <f t="shared" si="55"/>
        <v>167.2</v>
      </c>
      <c r="AR58" s="437">
        <f t="shared" si="55"/>
        <v>259.60000000000002</v>
      </c>
    </row>
    <row r="59" spans="2:46">
      <c r="B59" s="548"/>
      <c r="F59" s="554"/>
      <c r="G59" s="419" t="s">
        <v>429</v>
      </c>
      <c r="H59" s="416"/>
      <c r="I59" s="418">
        <f>-I57+I58</f>
        <v>-31</v>
      </c>
      <c r="J59" s="418">
        <f t="shared" ref="J59:AR59" si="56">-J57+J58</f>
        <v>-23</v>
      </c>
      <c r="K59" s="418">
        <f t="shared" si="56"/>
        <v>-27.9</v>
      </c>
      <c r="L59" s="418">
        <f t="shared" si="56"/>
        <v>-30.6</v>
      </c>
      <c r="M59" s="418">
        <f t="shared" si="56"/>
        <v>-33.299999999999997</v>
      </c>
      <c r="N59" s="418">
        <f t="shared" si="56"/>
        <v>-37</v>
      </c>
      <c r="O59" s="418">
        <f t="shared" si="56"/>
        <v>-40.700000000000003</v>
      </c>
      <c r="P59" s="418">
        <f t="shared" si="56"/>
        <v>-36.299999999999997</v>
      </c>
      <c r="Q59" s="418">
        <f t="shared" si="56"/>
        <v>-34</v>
      </c>
      <c r="R59" s="418">
        <f t="shared" si="56"/>
        <v>-64.3</v>
      </c>
      <c r="S59" s="418">
        <f t="shared" si="56"/>
        <v>-88.9</v>
      </c>
      <c r="T59" s="817">
        <f t="shared" si="56"/>
        <v>-42.599999999999994</v>
      </c>
      <c r="U59" s="825">
        <f t="shared" si="56"/>
        <v>-11</v>
      </c>
      <c r="V59" s="817">
        <f t="shared" si="56"/>
        <v>-44.7</v>
      </c>
      <c r="W59" s="817">
        <f t="shared" si="56"/>
        <v>-46.5</v>
      </c>
      <c r="X59" s="817">
        <f t="shared" si="56"/>
        <v>-48.3</v>
      </c>
      <c r="Y59" s="817">
        <f t="shared" si="56"/>
        <v>-51.1</v>
      </c>
      <c r="Z59" s="817">
        <f t="shared" si="56"/>
        <v>-54.9</v>
      </c>
      <c r="AA59" s="817">
        <f t="shared" si="56"/>
        <v>-62.6</v>
      </c>
      <c r="AB59" s="817">
        <f t="shared" si="56"/>
        <v>-59.300000000000004</v>
      </c>
      <c r="AC59" s="817">
        <f t="shared" si="56"/>
        <v>-45.5</v>
      </c>
      <c r="AD59" s="817">
        <f t="shared" si="56"/>
        <v>-60.3</v>
      </c>
      <c r="AE59" s="817">
        <f t="shared" si="56"/>
        <v>-99</v>
      </c>
      <c r="AF59" s="437">
        <f t="shared" si="56"/>
        <v>-98.7</v>
      </c>
      <c r="AG59" s="825">
        <f t="shared" si="56"/>
        <v>-23.799999999999997</v>
      </c>
      <c r="AH59" s="817">
        <f t="shared" si="56"/>
        <v>-110.4</v>
      </c>
      <c r="AI59" s="817">
        <f t="shared" si="56"/>
        <v>-109</v>
      </c>
      <c r="AJ59" s="817">
        <f t="shared" si="56"/>
        <v>-25.700000000000003</v>
      </c>
      <c r="AK59" s="817">
        <f t="shared" si="56"/>
        <v>-121.7</v>
      </c>
      <c r="AL59" s="817">
        <f t="shared" si="56"/>
        <v>-190.3</v>
      </c>
      <c r="AM59" s="817">
        <f t="shared" si="56"/>
        <v>-162.5</v>
      </c>
      <c r="AN59" s="817">
        <f t="shared" si="56"/>
        <v>-123</v>
      </c>
      <c r="AO59" s="817">
        <f t="shared" si="56"/>
        <v>-125</v>
      </c>
      <c r="AP59" s="817">
        <f t="shared" si="56"/>
        <v>-236.2</v>
      </c>
      <c r="AQ59" s="817">
        <f t="shared" si="56"/>
        <v>-327.8</v>
      </c>
      <c r="AR59" s="437">
        <f t="shared" si="56"/>
        <v>0.60000000000002274</v>
      </c>
    </row>
    <row r="60" spans="2:46">
      <c r="B60" s="548"/>
      <c r="F60" s="555"/>
      <c r="G60" s="419" t="s">
        <v>430</v>
      </c>
      <c r="H60" s="416"/>
      <c r="I60" s="418">
        <f>-I52*$H$47</f>
        <v>2</v>
      </c>
      <c r="J60" s="418">
        <f t="shared" ref="J60:AR60" si="57">-J52*$H$47</f>
        <v>2.1</v>
      </c>
      <c r="K60" s="418">
        <f t="shared" si="57"/>
        <v>2.4000000000000004</v>
      </c>
      <c r="L60" s="418">
        <f t="shared" si="57"/>
        <v>2.7</v>
      </c>
      <c r="M60" s="418">
        <f t="shared" si="57"/>
        <v>3</v>
      </c>
      <c r="N60" s="418">
        <f t="shared" si="57"/>
        <v>3.3000000000000003</v>
      </c>
      <c r="O60" s="418">
        <f t="shared" si="57"/>
        <v>3.7</v>
      </c>
      <c r="P60" s="418">
        <f t="shared" si="57"/>
        <v>4</v>
      </c>
      <c r="Q60" s="418">
        <f t="shared" si="57"/>
        <v>3.7</v>
      </c>
      <c r="R60" s="418">
        <f t="shared" si="57"/>
        <v>4.1000000000000005</v>
      </c>
      <c r="S60" s="418">
        <f t="shared" si="57"/>
        <v>6.4</v>
      </c>
      <c r="T60" s="817">
        <f t="shared" si="57"/>
        <v>7</v>
      </c>
      <c r="U60" s="825">
        <f t="shared" si="57"/>
        <v>4.3</v>
      </c>
      <c r="V60" s="817">
        <f t="shared" si="57"/>
        <v>4.5</v>
      </c>
      <c r="W60" s="817">
        <f t="shared" si="57"/>
        <v>4.7</v>
      </c>
      <c r="X60" s="817">
        <f t="shared" si="57"/>
        <v>4.9000000000000004</v>
      </c>
      <c r="Y60" s="817">
        <f t="shared" si="57"/>
        <v>5.1000000000000005</v>
      </c>
      <c r="Z60" s="817">
        <f t="shared" si="57"/>
        <v>5.4</v>
      </c>
      <c r="AA60" s="817">
        <f t="shared" si="57"/>
        <v>5.7</v>
      </c>
      <c r="AB60" s="817">
        <f t="shared" si="57"/>
        <v>6.5</v>
      </c>
      <c r="AC60" s="817">
        <f t="shared" si="57"/>
        <v>5.7</v>
      </c>
      <c r="AD60" s="817">
        <f t="shared" si="57"/>
        <v>6</v>
      </c>
      <c r="AE60" s="817">
        <f t="shared" si="57"/>
        <v>6.3000000000000007</v>
      </c>
      <c r="AF60" s="437">
        <f t="shared" si="57"/>
        <v>10.200000000000001</v>
      </c>
      <c r="AG60" s="825">
        <f t="shared" si="57"/>
        <v>6.6000000000000005</v>
      </c>
      <c r="AH60" s="817">
        <f t="shared" si="57"/>
        <v>7</v>
      </c>
      <c r="AI60" s="817">
        <f t="shared" si="57"/>
        <v>11.3</v>
      </c>
      <c r="AJ60" s="817">
        <f t="shared" si="57"/>
        <v>7.3000000000000007</v>
      </c>
      <c r="AK60" s="817">
        <f t="shared" si="57"/>
        <v>7.7</v>
      </c>
      <c r="AL60" s="817">
        <f t="shared" si="57"/>
        <v>12.5</v>
      </c>
      <c r="AM60" s="817">
        <f t="shared" si="57"/>
        <v>15</v>
      </c>
      <c r="AN60" s="817">
        <f t="shared" si="57"/>
        <v>15</v>
      </c>
      <c r="AO60" s="817">
        <f t="shared" si="57"/>
        <v>13.8</v>
      </c>
      <c r="AP60" s="817">
        <f t="shared" si="57"/>
        <v>15.200000000000001</v>
      </c>
      <c r="AQ60" s="817">
        <f t="shared" si="57"/>
        <v>23.6</v>
      </c>
      <c r="AR60" s="437">
        <f t="shared" si="57"/>
        <v>25.900000000000002</v>
      </c>
    </row>
    <row r="61" spans="2:46">
      <c r="B61" s="548"/>
      <c r="F61" s="549"/>
      <c r="G61" s="417" t="s">
        <v>431</v>
      </c>
      <c r="H61" s="423"/>
      <c r="I61" s="425">
        <f t="shared" ref="I61:AR61" si="58">IF((I60-I59)&lt;=0,"-",(I60-I59))</f>
        <v>33</v>
      </c>
      <c r="J61" s="425">
        <f t="shared" si="58"/>
        <v>25.1</v>
      </c>
      <c r="K61" s="425">
        <f t="shared" si="58"/>
        <v>30.299999999999997</v>
      </c>
      <c r="L61" s="425">
        <f t="shared" si="58"/>
        <v>33.300000000000004</v>
      </c>
      <c r="M61" s="425">
        <f t="shared" si="58"/>
        <v>36.299999999999997</v>
      </c>
      <c r="N61" s="425">
        <f t="shared" si="58"/>
        <v>40.299999999999997</v>
      </c>
      <c r="O61" s="425">
        <f t="shared" si="58"/>
        <v>44.400000000000006</v>
      </c>
      <c r="P61" s="425">
        <f t="shared" si="58"/>
        <v>40.299999999999997</v>
      </c>
      <c r="Q61" s="425">
        <f t="shared" si="58"/>
        <v>37.700000000000003</v>
      </c>
      <c r="R61" s="425">
        <f t="shared" si="58"/>
        <v>68.399999999999991</v>
      </c>
      <c r="S61" s="425">
        <f t="shared" si="58"/>
        <v>95.300000000000011</v>
      </c>
      <c r="T61" s="818">
        <f t="shared" si="58"/>
        <v>49.599999999999994</v>
      </c>
      <c r="U61" s="826">
        <f t="shared" si="58"/>
        <v>15.3</v>
      </c>
      <c r="V61" s="818">
        <f t="shared" si="58"/>
        <v>49.2</v>
      </c>
      <c r="W61" s="818">
        <f t="shared" si="58"/>
        <v>51.2</v>
      </c>
      <c r="X61" s="818">
        <f t="shared" si="58"/>
        <v>53.199999999999996</v>
      </c>
      <c r="Y61" s="818">
        <f t="shared" si="58"/>
        <v>56.2</v>
      </c>
      <c r="Z61" s="818">
        <f t="shared" si="58"/>
        <v>60.3</v>
      </c>
      <c r="AA61" s="818">
        <f t="shared" si="58"/>
        <v>68.3</v>
      </c>
      <c r="AB61" s="818">
        <f t="shared" si="58"/>
        <v>65.800000000000011</v>
      </c>
      <c r="AC61" s="818">
        <f t="shared" si="58"/>
        <v>51.2</v>
      </c>
      <c r="AD61" s="818">
        <f t="shared" si="58"/>
        <v>66.3</v>
      </c>
      <c r="AE61" s="818">
        <f t="shared" si="58"/>
        <v>105.3</v>
      </c>
      <c r="AF61" s="438">
        <f t="shared" si="58"/>
        <v>108.9</v>
      </c>
      <c r="AG61" s="826">
        <f t="shared" si="58"/>
        <v>30.4</v>
      </c>
      <c r="AH61" s="818">
        <f t="shared" si="58"/>
        <v>117.4</v>
      </c>
      <c r="AI61" s="818">
        <f t="shared" si="58"/>
        <v>120.3</v>
      </c>
      <c r="AJ61" s="818">
        <f t="shared" si="58"/>
        <v>33</v>
      </c>
      <c r="AK61" s="818">
        <f t="shared" si="58"/>
        <v>129.4</v>
      </c>
      <c r="AL61" s="818">
        <f t="shared" si="58"/>
        <v>202.8</v>
      </c>
      <c r="AM61" s="818">
        <f t="shared" si="58"/>
        <v>177.5</v>
      </c>
      <c r="AN61" s="818">
        <f t="shared" si="58"/>
        <v>138</v>
      </c>
      <c r="AO61" s="818">
        <f t="shared" si="58"/>
        <v>138.80000000000001</v>
      </c>
      <c r="AP61" s="818">
        <f t="shared" si="58"/>
        <v>251.39999999999998</v>
      </c>
      <c r="AQ61" s="818">
        <f t="shared" si="58"/>
        <v>351.40000000000003</v>
      </c>
      <c r="AR61" s="438">
        <f t="shared" si="58"/>
        <v>25.299999999999979</v>
      </c>
      <c r="AS61" s="1"/>
    </row>
    <row r="62" spans="2:46">
      <c r="B62" s="548"/>
      <c r="F62" s="549"/>
      <c r="G62" s="419"/>
      <c r="H62" s="416"/>
      <c r="I62" s="426"/>
      <c r="J62" s="416"/>
      <c r="K62" s="416"/>
      <c r="L62" s="416"/>
      <c r="M62" s="416"/>
      <c r="N62" s="416"/>
      <c r="O62" s="416"/>
      <c r="P62" s="416"/>
      <c r="Q62" s="416"/>
      <c r="R62" s="416"/>
      <c r="S62" s="416"/>
      <c r="T62" s="416"/>
      <c r="U62" s="822"/>
      <c r="V62" s="416"/>
      <c r="W62" s="416"/>
      <c r="X62" s="416"/>
      <c r="Y62" s="416"/>
      <c r="Z62" s="416"/>
      <c r="AA62" s="416"/>
      <c r="AB62" s="416"/>
      <c r="AC62" s="416"/>
      <c r="AD62" s="416"/>
      <c r="AE62" s="416"/>
      <c r="AF62" s="433"/>
      <c r="AG62" s="822"/>
      <c r="AH62" s="416"/>
      <c r="AI62" s="416"/>
      <c r="AJ62" s="416"/>
      <c r="AK62" s="416"/>
      <c r="AL62" s="416"/>
      <c r="AM62" s="416"/>
      <c r="AN62" s="416"/>
      <c r="AO62" s="416"/>
      <c r="AP62" s="416"/>
      <c r="AQ62" s="416"/>
      <c r="AR62" s="433"/>
    </row>
    <row r="63" spans="2:46">
      <c r="B63" s="548"/>
      <c r="F63" s="549"/>
      <c r="G63" s="449" t="s">
        <v>432</v>
      </c>
      <c r="H63" s="428"/>
      <c r="I63" s="428">
        <f>'Pricing Model'!$G$15*I53</f>
        <v>0</v>
      </c>
      <c r="J63" s="428">
        <f>'Pricing Model'!$G$15*J53</f>
        <v>16500</v>
      </c>
      <c r="K63" s="428">
        <f>'Pricing Model'!$G$15*K53</f>
        <v>12550</v>
      </c>
      <c r="L63" s="428">
        <f>'Pricing Model'!$G$15*L53</f>
        <v>15149.999999999998</v>
      </c>
      <c r="M63" s="428">
        <f>'Pricing Model'!$G$15*M53</f>
        <v>16650.000000000004</v>
      </c>
      <c r="N63" s="428">
        <f>'Pricing Model'!$G$15*N53</f>
        <v>18150</v>
      </c>
      <c r="O63" s="428">
        <f>'Pricing Model'!$G$15*O53</f>
        <v>20150</v>
      </c>
      <c r="P63" s="428">
        <f>'Pricing Model'!$G$15*P53</f>
        <v>22200.000000000004</v>
      </c>
      <c r="Q63" s="428">
        <f>'Pricing Model'!$G$15*Q53</f>
        <v>20150</v>
      </c>
      <c r="R63" s="428">
        <f>'Pricing Model'!$G$15*R53</f>
        <v>18850</v>
      </c>
      <c r="S63" s="428">
        <f>'Pricing Model'!$G$15*S53</f>
        <v>34199.999999999993</v>
      </c>
      <c r="T63" s="428">
        <f>'Pricing Model'!$G$15*T53</f>
        <v>47650.000000000007</v>
      </c>
      <c r="U63" s="827">
        <f>'Pricing Model'!$G$35*U53</f>
        <v>25543.999999999996</v>
      </c>
      <c r="V63" s="428">
        <f>'Pricing Model'!$G$35*V53</f>
        <v>7879.5</v>
      </c>
      <c r="W63" s="428">
        <f>'Pricing Model'!$G$35*W53</f>
        <v>25338</v>
      </c>
      <c r="X63" s="428">
        <f>'Pricing Model'!$G$35*X53</f>
        <v>26368</v>
      </c>
      <c r="Y63" s="428">
        <f>'Pricing Model'!$G$35*Y53</f>
        <v>27397.999999999996</v>
      </c>
      <c r="Z63" s="428">
        <f>'Pricing Model'!$G$35*Z53</f>
        <v>28943</v>
      </c>
      <c r="AA63" s="428">
        <f>'Pricing Model'!$G$35*AA53</f>
        <v>31054.5</v>
      </c>
      <c r="AB63" s="428">
        <f>'Pricing Model'!$G$35*AB53</f>
        <v>35174.5</v>
      </c>
      <c r="AC63" s="428">
        <f>'Pricing Model'!$G$35*AC53</f>
        <v>33887.000000000007</v>
      </c>
      <c r="AD63" s="428">
        <f>'Pricing Model'!$G$35*AD53</f>
        <v>26368</v>
      </c>
      <c r="AE63" s="428">
        <f>'Pricing Model'!$G$35*AE53</f>
        <v>34144.5</v>
      </c>
      <c r="AF63" s="439">
        <f>'Pricing Model'!$G$35*AF53</f>
        <v>54229.5</v>
      </c>
      <c r="AG63" s="827">
        <f>'Pricing Model'!$G$56*AG53</f>
        <v>57205.17</v>
      </c>
      <c r="AH63" s="428">
        <f>'Pricing Model'!$G$56*AH53</f>
        <v>15969.119999999997</v>
      </c>
      <c r="AI63" s="428">
        <f>'Pricing Model'!$G$56*AI53</f>
        <v>61670.22</v>
      </c>
      <c r="AJ63" s="428">
        <f>'Pricing Model'!$G$56*AJ53</f>
        <v>63193.59</v>
      </c>
      <c r="AK63" s="428">
        <f>'Pricing Model'!$G$56*AK53</f>
        <v>17334.899999999998</v>
      </c>
      <c r="AL63" s="428">
        <f>'Pricing Model'!$G$56*AL53</f>
        <v>67973.819999999992</v>
      </c>
      <c r="AM63" s="428">
        <f>'Pricing Model'!$G$56*AM53</f>
        <v>106530.84</v>
      </c>
      <c r="AN63" s="428">
        <f>'Pricing Model'!$G$56*AN53</f>
        <v>93240.749999999985</v>
      </c>
      <c r="AO63" s="428">
        <f>'Pricing Model'!$G$56*AO53</f>
        <v>72491.399999999994</v>
      </c>
      <c r="AP63" s="428">
        <f>'Pricing Model'!$G$56*AP53</f>
        <v>72911.64</v>
      </c>
      <c r="AQ63" s="428">
        <f>'Pricing Model'!$G$56*AQ53</f>
        <v>132060.41999999998</v>
      </c>
      <c r="AR63" s="439">
        <f>'Pricing Model'!$G$56*AR53</f>
        <v>184590.42</v>
      </c>
      <c r="AS63" s="1"/>
      <c r="AT63" s="1"/>
    </row>
    <row r="64" spans="2:46" ht="16.2" thickBot="1">
      <c r="B64" s="550"/>
      <c r="C64" s="551"/>
      <c r="D64" s="551"/>
      <c r="E64" s="551"/>
      <c r="F64" s="552"/>
      <c r="G64" s="411" t="s">
        <v>440</v>
      </c>
      <c r="H64" s="429"/>
      <c r="I64" s="582">
        <f>I63</f>
        <v>0</v>
      </c>
      <c r="J64" s="583">
        <f>J63-I63</f>
        <v>16500</v>
      </c>
      <c r="K64" s="583">
        <f>K63-J63</f>
        <v>-3950</v>
      </c>
      <c r="L64" s="583">
        <f t="shared" ref="L64" si="59">L63-K63</f>
        <v>2599.9999999999982</v>
      </c>
      <c r="M64" s="583">
        <f t="shared" ref="M64" si="60">M63-L63</f>
        <v>1500.0000000000055</v>
      </c>
      <c r="N64" s="583">
        <f t="shared" ref="N64" si="61">N63-M63</f>
        <v>1499.9999999999964</v>
      </c>
      <c r="O64" s="583">
        <f t="shared" ref="O64" si="62">O63-N63</f>
        <v>2000</v>
      </c>
      <c r="P64" s="583">
        <f t="shared" ref="P64" si="63">P63-O63</f>
        <v>2050.0000000000036</v>
      </c>
      <c r="Q64" s="583">
        <f t="shared" ref="Q64" si="64">Q63-P63</f>
        <v>-2050.0000000000036</v>
      </c>
      <c r="R64" s="583">
        <f t="shared" ref="R64" si="65">R63-Q63</f>
        <v>-1300</v>
      </c>
      <c r="S64" s="583">
        <f t="shared" ref="S64" si="66">S63-R63</f>
        <v>15349.999999999993</v>
      </c>
      <c r="T64" s="583">
        <f t="shared" ref="T64" si="67">T63-S63</f>
        <v>13450.000000000015</v>
      </c>
      <c r="U64" s="828">
        <f t="shared" ref="U64" si="68">U63-T63</f>
        <v>-22106.000000000011</v>
      </c>
      <c r="V64" s="583">
        <f t="shared" ref="V64" si="69">V63-U63</f>
        <v>-17664.499999999996</v>
      </c>
      <c r="W64" s="583">
        <f t="shared" ref="W64" si="70">W63-V63</f>
        <v>17458.5</v>
      </c>
      <c r="X64" s="583">
        <f t="shared" ref="X64" si="71">X63-W63</f>
        <v>1030</v>
      </c>
      <c r="Y64" s="583">
        <f t="shared" ref="Y64" si="72">Y63-X63</f>
        <v>1029.9999999999964</v>
      </c>
      <c r="Z64" s="583">
        <f t="shared" ref="Z64" si="73">Z63-Y63</f>
        <v>1545.0000000000036</v>
      </c>
      <c r="AA64" s="583">
        <f t="shared" ref="AA64" si="74">AA63-Z63</f>
        <v>2111.5</v>
      </c>
      <c r="AB64" s="583">
        <f t="shared" ref="AB64" si="75">AB63-AA63</f>
        <v>4120</v>
      </c>
      <c r="AC64" s="583">
        <f t="shared" ref="AC64" si="76">AC63-AB63</f>
        <v>-1287.4999999999927</v>
      </c>
      <c r="AD64" s="583">
        <f t="shared" ref="AD64" si="77">AD63-AC63</f>
        <v>-7519.0000000000073</v>
      </c>
      <c r="AE64" s="583">
        <f t="shared" ref="AE64" si="78">AE63-AD63</f>
        <v>7776.5</v>
      </c>
      <c r="AF64" s="584">
        <f t="shared" ref="AF64" si="79">AF63-AE63</f>
        <v>20085</v>
      </c>
      <c r="AG64" s="828">
        <f t="shared" ref="AG64" si="80">AG63-AF63</f>
        <v>2975.6699999999983</v>
      </c>
      <c r="AH64" s="583">
        <f t="shared" ref="AH64" si="81">AH63-AG63</f>
        <v>-41236.050000000003</v>
      </c>
      <c r="AI64" s="583">
        <f t="shared" ref="AI64" si="82">AI63-AH63</f>
        <v>45701.100000000006</v>
      </c>
      <c r="AJ64" s="583">
        <f t="shared" ref="AJ64" si="83">AJ63-AI63</f>
        <v>1523.3699999999953</v>
      </c>
      <c r="AK64" s="583">
        <f t="shared" ref="AK64" si="84">AK63-AJ63</f>
        <v>-45858.69</v>
      </c>
      <c r="AL64" s="583">
        <f t="shared" ref="AL64" si="85">AL63-AK63</f>
        <v>50638.92</v>
      </c>
      <c r="AM64" s="583">
        <f t="shared" ref="AM64" si="86">AM63-AL63</f>
        <v>38557.020000000004</v>
      </c>
      <c r="AN64" s="583">
        <f t="shared" ref="AN64" si="87">AN63-AM63</f>
        <v>-13290.090000000011</v>
      </c>
      <c r="AO64" s="583">
        <f t="shared" ref="AO64" si="88">AO63-AN63</f>
        <v>-20749.349999999991</v>
      </c>
      <c r="AP64" s="583">
        <f t="shared" ref="AP64" si="89">AP63-AO63</f>
        <v>420.24000000000524</v>
      </c>
      <c r="AQ64" s="583">
        <f t="shared" ref="AQ64" si="90">AQ63-AP63</f>
        <v>59148.779999999984</v>
      </c>
      <c r="AR64" s="584">
        <f t="shared" ref="AR64" si="91">AR63-AQ63</f>
        <v>52530.000000000029</v>
      </c>
    </row>
    <row r="65" spans="2:46" ht="16.2" thickTop="1">
      <c r="T65" s="391"/>
      <c r="U65" s="834"/>
      <c r="AF65" s="440"/>
      <c r="AG65" s="834"/>
      <c r="AT65" s="1"/>
    </row>
    <row r="66" spans="2:46">
      <c r="T66" s="391"/>
      <c r="U66" s="834"/>
      <c r="AF66" s="440"/>
      <c r="AG66" s="834"/>
    </row>
    <row r="67" spans="2:46" ht="16.2" thickBot="1">
      <c r="T67" s="391"/>
      <c r="U67" s="834"/>
      <c r="AF67" s="440"/>
      <c r="AG67" s="834"/>
    </row>
    <row r="68" spans="2:46" ht="16.2" thickTop="1">
      <c r="B68" s="545"/>
      <c r="C68" s="546"/>
      <c r="D68" s="546"/>
      <c r="E68" s="546"/>
      <c r="F68" s="547"/>
      <c r="G68" s="414" t="s">
        <v>433</v>
      </c>
      <c r="H68" s="410">
        <v>0.3</v>
      </c>
      <c r="I68" s="444"/>
      <c r="J68" s="444"/>
      <c r="K68" s="444"/>
      <c r="L68" s="444"/>
      <c r="M68" s="444"/>
      <c r="N68" s="444"/>
      <c r="O68" s="444"/>
      <c r="P68" s="444"/>
      <c r="Q68" s="444"/>
      <c r="R68" s="444"/>
      <c r="S68" s="444"/>
      <c r="T68" s="444"/>
      <c r="U68" s="831"/>
      <c r="V68" s="444"/>
      <c r="W68" s="444"/>
      <c r="X68" s="444"/>
      <c r="Y68" s="444"/>
      <c r="Z68" s="444"/>
      <c r="AA68" s="444"/>
      <c r="AB68" s="444"/>
      <c r="AC68" s="444"/>
      <c r="AD68" s="444"/>
      <c r="AE68" s="444"/>
      <c r="AF68" s="445"/>
      <c r="AG68" s="831"/>
      <c r="AH68" s="444"/>
      <c r="AI68" s="444"/>
      <c r="AJ68" s="444"/>
      <c r="AK68" s="444"/>
      <c r="AL68" s="444"/>
      <c r="AM68" s="444"/>
      <c r="AN68" s="444"/>
      <c r="AO68" s="444"/>
      <c r="AP68" s="444"/>
      <c r="AQ68" s="444"/>
      <c r="AR68" s="433"/>
    </row>
    <row r="69" spans="2:46" ht="18">
      <c r="B69" s="548"/>
      <c r="C69" s="1249" t="s">
        <v>298</v>
      </c>
      <c r="D69" s="1249"/>
      <c r="F69" s="549"/>
      <c r="G69" s="411"/>
      <c r="H69" s="412"/>
      <c r="I69" s="413"/>
      <c r="J69" s="413"/>
      <c r="K69" s="413"/>
      <c r="L69" s="413"/>
      <c r="M69" s="413"/>
      <c r="N69" s="413"/>
      <c r="O69" s="413"/>
      <c r="P69" s="413"/>
      <c r="Q69" s="413"/>
      <c r="R69" s="413"/>
      <c r="S69" s="413"/>
      <c r="T69" s="413"/>
      <c r="U69" s="832"/>
      <c r="V69" s="413"/>
      <c r="W69" s="413"/>
      <c r="X69" s="413"/>
      <c r="Y69" s="413"/>
      <c r="Z69" s="413"/>
      <c r="AA69" s="413"/>
      <c r="AB69" s="413"/>
      <c r="AC69" s="413"/>
      <c r="AD69" s="413"/>
      <c r="AE69" s="413"/>
      <c r="AF69" s="432"/>
      <c r="AG69" s="832"/>
      <c r="AH69" s="413"/>
      <c r="AI69" s="413"/>
      <c r="AJ69" s="413"/>
      <c r="AK69" s="413"/>
      <c r="AL69" s="413"/>
      <c r="AM69" s="413"/>
      <c r="AN69" s="413"/>
      <c r="AO69" s="413"/>
      <c r="AP69" s="413"/>
      <c r="AQ69" s="413"/>
      <c r="AR69" s="432"/>
    </row>
    <row r="70" spans="2:46">
      <c r="B70" s="548"/>
      <c r="F70" s="549"/>
      <c r="G70" s="419"/>
      <c r="H70" s="416"/>
      <c r="I70" s="416"/>
      <c r="J70" s="416"/>
      <c r="K70" s="416"/>
      <c r="L70" s="416"/>
      <c r="M70" s="416"/>
      <c r="N70" s="416"/>
      <c r="O70" s="416"/>
      <c r="P70" s="416"/>
      <c r="Q70" s="416"/>
      <c r="R70" s="416"/>
      <c r="S70" s="416"/>
      <c r="T70" s="416"/>
      <c r="U70" s="822"/>
      <c r="V70" s="416"/>
      <c r="W70" s="416"/>
      <c r="X70" s="416"/>
      <c r="Y70" s="416"/>
      <c r="Z70" s="416"/>
      <c r="AA70" s="416"/>
      <c r="AB70" s="416"/>
      <c r="AC70" s="416"/>
      <c r="AD70" s="416"/>
      <c r="AE70" s="416"/>
      <c r="AF70" s="433"/>
      <c r="AG70" s="822"/>
      <c r="AH70" s="416"/>
      <c r="AI70" s="416"/>
      <c r="AJ70" s="416"/>
      <c r="AK70" s="416"/>
      <c r="AL70" s="416"/>
      <c r="AM70" s="416"/>
      <c r="AN70" s="416"/>
      <c r="AO70" s="416"/>
      <c r="AP70" s="416"/>
      <c r="AQ70" s="416"/>
      <c r="AR70" s="433"/>
    </row>
    <row r="71" spans="2:46">
      <c r="B71" s="548"/>
      <c r="F71" s="549"/>
      <c r="G71" s="417" t="s">
        <v>437</v>
      </c>
      <c r="H71" s="416"/>
      <c r="I71" s="418"/>
      <c r="J71" s="416"/>
      <c r="K71" s="416"/>
      <c r="L71" s="416"/>
      <c r="M71" s="416"/>
      <c r="N71" s="416"/>
      <c r="O71" s="416"/>
      <c r="P71" s="416"/>
      <c r="Q71" s="416"/>
      <c r="R71" s="416"/>
      <c r="S71" s="416"/>
      <c r="T71" s="416"/>
      <c r="U71" s="822"/>
      <c r="V71" s="416"/>
      <c r="W71" s="416"/>
      <c r="X71" s="416"/>
      <c r="Y71" s="416"/>
      <c r="Z71" s="416"/>
      <c r="AA71" s="416"/>
      <c r="AB71" s="416"/>
      <c r="AC71" s="416"/>
      <c r="AD71" s="416"/>
      <c r="AE71" s="416"/>
      <c r="AF71" s="433"/>
      <c r="AG71" s="822"/>
      <c r="AH71" s="416"/>
      <c r="AI71" s="416"/>
      <c r="AJ71" s="416"/>
      <c r="AK71" s="416"/>
      <c r="AL71" s="416"/>
      <c r="AM71" s="416"/>
      <c r="AN71" s="416"/>
      <c r="AO71" s="416"/>
      <c r="AP71" s="416"/>
      <c r="AQ71" s="416"/>
      <c r="AR71" s="433"/>
    </row>
    <row r="72" spans="2:46">
      <c r="B72" s="548"/>
      <c r="F72" s="549"/>
      <c r="G72" s="419" t="s">
        <v>423</v>
      </c>
      <c r="H72" s="416"/>
      <c r="I72" s="418">
        <v>0</v>
      </c>
      <c r="J72" s="420">
        <f>I75</f>
        <v>0</v>
      </c>
      <c r="K72" s="420">
        <f t="shared" ref="K72" si="92">J75</f>
        <v>0</v>
      </c>
      <c r="L72" s="420">
        <f t="shared" ref="L72" si="93">K75</f>
        <v>0</v>
      </c>
      <c r="M72" s="420">
        <f t="shared" ref="M72" si="94">L75</f>
        <v>0</v>
      </c>
      <c r="N72" s="420">
        <f t="shared" ref="N72" si="95">M75</f>
        <v>0</v>
      </c>
      <c r="O72" s="420">
        <f t="shared" ref="O72" si="96">N75</f>
        <v>0</v>
      </c>
      <c r="P72" s="420">
        <f t="shared" ref="P72" si="97">O75</f>
        <v>0</v>
      </c>
      <c r="Q72" s="420">
        <f t="shared" ref="Q72" si="98">P75</f>
        <v>0</v>
      </c>
      <c r="R72" s="420">
        <f t="shared" ref="R72" si="99">Q75</f>
        <v>0</v>
      </c>
      <c r="S72" s="420">
        <f t="shared" ref="S72" si="100">R75</f>
        <v>0</v>
      </c>
      <c r="T72" s="420">
        <f t="shared" ref="T72" si="101">S75</f>
        <v>0</v>
      </c>
      <c r="U72" s="823">
        <f t="shared" ref="U72" si="102">T75</f>
        <v>0</v>
      </c>
      <c r="V72" s="420">
        <f t="shared" ref="V72" si="103">U75</f>
        <v>0</v>
      </c>
      <c r="W72" s="420">
        <f t="shared" ref="W72" si="104">V75</f>
        <v>0</v>
      </c>
      <c r="X72" s="420">
        <f t="shared" ref="X72" si="105">W75</f>
        <v>0</v>
      </c>
      <c r="Y72" s="420">
        <f t="shared" ref="Y72" si="106">X75</f>
        <v>0</v>
      </c>
      <c r="Z72" s="420">
        <f t="shared" ref="Z72" si="107">Y75</f>
        <v>0</v>
      </c>
      <c r="AA72" s="420">
        <f t="shared" ref="AA72" si="108">Z75</f>
        <v>0</v>
      </c>
      <c r="AB72" s="420">
        <f t="shared" ref="AB72" si="109">AA75</f>
        <v>0</v>
      </c>
      <c r="AC72" s="420">
        <f t="shared" ref="AC72" si="110">AB75</f>
        <v>0</v>
      </c>
      <c r="AD72" s="420">
        <f t="shared" ref="AD72" si="111">AC75</f>
        <v>0</v>
      </c>
      <c r="AE72" s="420">
        <f t="shared" ref="AE72" si="112">AD75</f>
        <v>0</v>
      </c>
      <c r="AF72" s="434">
        <f t="shared" ref="AF72" si="113">AE75</f>
        <v>0</v>
      </c>
      <c r="AG72" s="841">
        <v>60</v>
      </c>
      <c r="AH72" s="420">
        <f t="shared" ref="AH72" si="114">AG75</f>
        <v>10</v>
      </c>
      <c r="AI72" s="420">
        <f t="shared" ref="AI72" si="115">AH75</f>
        <v>65</v>
      </c>
      <c r="AJ72" s="420">
        <f t="shared" ref="AJ72" si="116">AI75</f>
        <v>78</v>
      </c>
      <c r="AK72" s="420">
        <f t="shared" ref="AK72" si="117">AJ75</f>
        <v>93.6</v>
      </c>
      <c r="AL72" s="420">
        <f t="shared" ref="AL72" si="118">AK75</f>
        <v>113.1</v>
      </c>
      <c r="AM72" s="420">
        <f t="shared" ref="AM72" si="119">AL75</f>
        <v>136.5</v>
      </c>
      <c r="AN72" s="420">
        <f t="shared" ref="AN72" si="120">AM75</f>
        <v>163.80000000000001</v>
      </c>
      <c r="AO72" s="420">
        <f t="shared" ref="AO72" si="121">AN75</f>
        <v>197.6</v>
      </c>
      <c r="AP72" s="420">
        <f t="shared" ref="AP72" si="122">AO75</f>
        <v>237.9</v>
      </c>
      <c r="AQ72" s="420">
        <f t="shared" ref="AQ72" si="123">AP75</f>
        <v>286</v>
      </c>
      <c r="AR72" s="434">
        <f t="shared" ref="AR72" si="124">AQ75</f>
        <v>343.2</v>
      </c>
    </row>
    <row r="73" spans="2:46">
      <c r="B73" s="548"/>
      <c r="F73" s="549"/>
      <c r="G73" s="419" t="s">
        <v>424</v>
      </c>
      <c r="H73" s="416"/>
      <c r="I73" s="418">
        <f>-'Sales Forecast'!E46</f>
        <v>0</v>
      </c>
      <c r="J73" s="418">
        <f>-'Sales Forecast'!F46</f>
        <v>0</v>
      </c>
      <c r="K73" s="418">
        <f>-'Sales Forecast'!G46</f>
        <v>0</v>
      </c>
      <c r="L73" s="418">
        <f>-'Sales Forecast'!H46</f>
        <v>0</v>
      </c>
      <c r="M73" s="418">
        <f>-'Sales Forecast'!I46</f>
        <v>0</v>
      </c>
      <c r="N73" s="418">
        <f>-'Sales Forecast'!J46</f>
        <v>0</v>
      </c>
      <c r="O73" s="418">
        <f>-'Sales Forecast'!K46</f>
        <v>0</v>
      </c>
      <c r="P73" s="418">
        <f>-'Sales Forecast'!L46</f>
        <v>0</v>
      </c>
      <c r="Q73" s="418">
        <f>-'Sales Forecast'!M46</f>
        <v>0</v>
      </c>
      <c r="R73" s="418">
        <f>-'Sales Forecast'!N46</f>
        <v>0</v>
      </c>
      <c r="S73" s="418">
        <f>-'Sales Forecast'!O46</f>
        <v>0</v>
      </c>
      <c r="T73" s="418">
        <f>-'Sales Forecast'!P46</f>
        <v>0</v>
      </c>
      <c r="U73" s="825">
        <f>-'Sales Forecast'!Q46</f>
        <v>0</v>
      </c>
      <c r="V73" s="817">
        <f>-'Sales Forecast'!R46</f>
        <v>0</v>
      </c>
      <c r="W73" s="817">
        <f>-'Sales Forecast'!S46</f>
        <v>0</v>
      </c>
      <c r="X73" s="817">
        <f>-'Sales Forecast'!T46</f>
        <v>0</v>
      </c>
      <c r="Y73" s="817">
        <f>-'Sales Forecast'!U46</f>
        <v>0</v>
      </c>
      <c r="Z73" s="817">
        <f>-'Sales Forecast'!V46</f>
        <v>0</v>
      </c>
      <c r="AA73" s="817">
        <f>-'Sales Forecast'!W46</f>
        <v>0</v>
      </c>
      <c r="AB73" s="817">
        <f>-'Sales Forecast'!X46</f>
        <v>0</v>
      </c>
      <c r="AC73" s="817">
        <f>-'Sales Forecast'!Y46</f>
        <v>0</v>
      </c>
      <c r="AD73" s="817">
        <f>-'Sales Forecast'!Z46</f>
        <v>0</v>
      </c>
      <c r="AE73" s="817">
        <f>-'Sales Forecast'!AA46</f>
        <v>0</v>
      </c>
      <c r="AF73" s="437">
        <f>-'Sales Forecast'!AB46</f>
        <v>0</v>
      </c>
      <c r="AG73" s="825">
        <f>-'Sales Forecast'!AC46</f>
        <v>-50</v>
      </c>
      <c r="AH73" s="817">
        <f>-'Sales Forecast'!AD46</f>
        <v>-60</v>
      </c>
      <c r="AI73" s="817">
        <f>-'Sales Forecast'!AE46</f>
        <v>-72</v>
      </c>
      <c r="AJ73" s="817">
        <f>-'Sales Forecast'!AF46</f>
        <v>-87</v>
      </c>
      <c r="AK73" s="817">
        <f>-'Sales Forecast'!AG46</f>
        <v>-105</v>
      </c>
      <c r="AL73" s="817">
        <f>-'Sales Forecast'!AH46</f>
        <v>-126</v>
      </c>
      <c r="AM73" s="817">
        <f>-'Sales Forecast'!AI46</f>
        <v>-152</v>
      </c>
      <c r="AN73" s="817">
        <f>-'Sales Forecast'!AJ46</f>
        <v>-183</v>
      </c>
      <c r="AO73" s="817">
        <f>-'Sales Forecast'!AK46</f>
        <v>-220</v>
      </c>
      <c r="AP73" s="817">
        <f>-'Sales Forecast'!AL46</f>
        <v>-264</v>
      </c>
      <c r="AQ73" s="817">
        <f>-'Sales Forecast'!AM46</f>
        <v>-396</v>
      </c>
      <c r="AR73" s="437">
        <f>-'Sales Forecast'!AN46</f>
        <v>-476</v>
      </c>
    </row>
    <row r="74" spans="2:46">
      <c r="B74" s="548"/>
      <c r="F74" s="549"/>
      <c r="G74" s="419" t="s">
        <v>425</v>
      </c>
      <c r="H74" s="416"/>
      <c r="I74" s="421">
        <v>0</v>
      </c>
      <c r="J74" s="422" t="str">
        <f>I82</f>
        <v>0</v>
      </c>
      <c r="K74" s="422" t="str">
        <f t="shared" ref="K74" si="125">J82</f>
        <v>0</v>
      </c>
      <c r="L74" s="422" t="str">
        <f t="shared" ref="L74" si="126">K82</f>
        <v>0</v>
      </c>
      <c r="M74" s="422" t="str">
        <f t="shared" ref="M74" si="127">L82</f>
        <v>0</v>
      </c>
      <c r="N74" s="422" t="str">
        <f t="shared" ref="N74" si="128">M82</f>
        <v>0</v>
      </c>
      <c r="O74" s="422" t="str">
        <f t="shared" ref="O74" si="129">N82</f>
        <v>0</v>
      </c>
      <c r="P74" s="422" t="str">
        <f t="shared" ref="P74" si="130">O82</f>
        <v>0</v>
      </c>
      <c r="Q74" s="422" t="str">
        <f t="shared" ref="Q74" si="131">P82</f>
        <v>0</v>
      </c>
      <c r="R74" s="422" t="str">
        <f t="shared" ref="R74" si="132">Q82</f>
        <v>0</v>
      </c>
      <c r="S74" s="422" t="str">
        <f t="shared" ref="S74" si="133">R82</f>
        <v>0</v>
      </c>
      <c r="T74" s="422" t="str">
        <f t="shared" ref="T74" si="134">S82</f>
        <v>0</v>
      </c>
      <c r="U74" s="824" t="str">
        <f t="shared" ref="U74" si="135">T82</f>
        <v>0</v>
      </c>
      <c r="V74" s="422" t="str">
        <f t="shared" ref="V74" si="136">U82</f>
        <v>0</v>
      </c>
      <c r="W74" s="422" t="str">
        <f t="shared" ref="W74" si="137">V82</f>
        <v>0</v>
      </c>
      <c r="X74" s="422" t="str">
        <f t="shared" ref="X74" si="138">W82</f>
        <v>0</v>
      </c>
      <c r="Y74" s="422" t="str">
        <f t="shared" ref="Y74" si="139">X82</f>
        <v>0</v>
      </c>
      <c r="Z74" s="422" t="str">
        <f t="shared" ref="Z74" si="140">Y82</f>
        <v>0</v>
      </c>
      <c r="AA74" s="422" t="str">
        <f t="shared" ref="AA74" si="141">Z82</f>
        <v>0</v>
      </c>
      <c r="AB74" s="422" t="str">
        <f t="shared" ref="AB74" si="142">AA82</f>
        <v>0</v>
      </c>
      <c r="AC74" s="422" t="str">
        <f t="shared" ref="AC74" si="143">AB82</f>
        <v>0</v>
      </c>
      <c r="AD74" s="422" t="str">
        <f t="shared" ref="AD74" si="144">AC82</f>
        <v>0</v>
      </c>
      <c r="AE74" s="422" t="str">
        <f t="shared" ref="AE74" si="145">AD82</f>
        <v>0</v>
      </c>
      <c r="AF74" s="435" t="str">
        <f t="shared" ref="AF74" si="146">AE82</f>
        <v>0</v>
      </c>
      <c r="AG74" s="824">
        <f>0</f>
        <v>0</v>
      </c>
      <c r="AH74" s="422">
        <f t="shared" ref="AH74" si="147">AG82</f>
        <v>115</v>
      </c>
      <c r="AI74" s="422">
        <f t="shared" ref="AI74" si="148">AH82</f>
        <v>85</v>
      </c>
      <c r="AJ74" s="422">
        <f t="shared" ref="AJ74" si="149">AI82</f>
        <v>102.6</v>
      </c>
      <c r="AK74" s="422">
        <f t="shared" ref="AK74" si="150">AJ82</f>
        <v>124.5</v>
      </c>
      <c r="AL74" s="422">
        <f t="shared" ref="AL74" si="151">AK82</f>
        <v>149.4</v>
      </c>
      <c r="AM74" s="422">
        <f t="shared" ref="AM74" si="152">AL82</f>
        <v>179.3</v>
      </c>
      <c r="AN74" s="422">
        <f t="shared" ref="AN74" si="153">AM82</f>
        <v>216.79999999999998</v>
      </c>
      <c r="AO74" s="422">
        <f t="shared" ref="AO74" si="154">AN82</f>
        <v>260.3</v>
      </c>
      <c r="AP74" s="422">
        <f t="shared" ref="AP74" si="155">AO82</f>
        <v>312.10000000000002</v>
      </c>
      <c r="AQ74" s="422">
        <f t="shared" ref="AQ74" si="156">AP82</f>
        <v>453.2</v>
      </c>
      <c r="AR74" s="435">
        <f t="shared" ref="AR74" si="157">AQ82</f>
        <v>647.59999999999991</v>
      </c>
    </row>
    <row r="75" spans="2:46">
      <c r="B75" s="548"/>
      <c r="F75" s="549"/>
      <c r="G75" s="417" t="s">
        <v>426</v>
      </c>
      <c r="H75" s="423"/>
      <c r="I75" s="424">
        <f>SUM(I72:I74)</f>
        <v>0</v>
      </c>
      <c r="J75" s="424">
        <f>SUM(J72:J74)</f>
        <v>0</v>
      </c>
      <c r="K75" s="424">
        <f t="shared" ref="K75:AR75" si="158">SUM(K72:K74)</f>
        <v>0</v>
      </c>
      <c r="L75" s="424">
        <f t="shared" si="158"/>
        <v>0</v>
      </c>
      <c r="M75" s="424">
        <f t="shared" si="158"/>
        <v>0</v>
      </c>
      <c r="N75" s="424">
        <f t="shared" si="158"/>
        <v>0</v>
      </c>
      <c r="O75" s="424">
        <f t="shared" si="158"/>
        <v>0</v>
      </c>
      <c r="P75" s="424">
        <f t="shared" si="158"/>
        <v>0</v>
      </c>
      <c r="Q75" s="424">
        <f t="shared" si="158"/>
        <v>0</v>
      </c>
      <c r="R75" s="424">
        <f t="shared" si="158"/>
        <v>0</v>
      </c>
      <c r="S75" s="424">
        <f t="shared" si="158"/>
        <v>0</v>
      </c>
      <c r="T75" s="816">
        <f t="shared" si="158"/>
        <v>0</v>
      </c>
      <c r="U75" s="820">
        <f t="shared" si="158"/>
        <v>0</v>
      </c>
      <c r="V75" s="816">
        <f t="shared" si="158"/>
        <v>0</v>
      </c>
      <c r="W75" s="816">
        <f t="shared" si="158"/>
        <v>0</v>
      </c>
      <c r="X75" s="816">
        <f t="shared" si="158"/>
        <v>0</v>
      </c>
      <c r="Y75" s="816">
        <f t="shared" si="158"/>
        <v>0</v>
      </c>
      <c r="Z75" s="816">
        <f t="shared" si="158"/>
        <v>0</v>
      </c>
      <c r="AA75" s="816">
        <f t="shared" si="158"/>
        <v>0</v>
      </c>
      <c r="AB75" s="816">
        <f t="shared" si="158"/>
        <v>0</v>
      </c>
      <c r="AC75" s="816">
        <f t="shared" si="158"/>
        <v>0</v>
      </c>
      <c r="AD75" s="816">
        <f t="shared" si="158"/>
        <v>0</v>
      </c>
      <c r="AE75" s="816">
        <f t="shared" si="158"/>
        <v>0</v>
      </c>
      <c r="AF75" s="436">
        <f t="shared" si="158"/>
        <v>0</v>
      </c>
      <c r="AG75" s="820">
        <f t="shared" si="158"/>
        <v>10</v>
      </c>
      <c r="AH75" s="816">
        <f t="shared" si="158"/>
        <v>65</v>
      </c>
      <c r="AI75" s="816">
        <f t="shared" si="158"/>
        <v>78</v>
      </c>
      <c r="AJ75" s="816">
        <f t="shared" si="158"/>
        <v>93.6</v>
      </c>
      <c r="AK75" s="816">
        <f t="shared" si="158"/>
        <v>113.1</v>
      </c>
      <c r="AL75" s="816">
        <f t="shared" si="158"/>
        <v>136.5</v>
      </c>
      <c r="AM75" s="816">
        <f t="shared" si="158"/>
        <v>163.80000000000001</v>
      </c>
      <c r="AN75" s="816">
        <f t="shared" si="158"/>
        <v>197.6</v>
      </c>
      <c r="AO75" s="816">
        <f t="shared" si="158"/>
        <v>237.9</v>
      </c>
      <c r="AP75" s="816">
        <f t="shared" si="158"/>
        <v>286</v>
      </c>
      <c r="AQ75" s="816">
        <f t="shared" si="158"/>
        <v>343.2</v>
      </c>
      <c r="AR75" s="436">
        <f t="shared" si="158"/>
        <v>514.79999999999995</v>
      </c>
    </row>
    <row r="76" spans="2:46">
      <c r="B76" s="548"/>
      <c r="F76" s="549"/>
      <c r="G76" s="417"/>
      <c r="H76" s="423"/>
      <c r="I76" s="424"/>
      <c r="J76" s="424"/>
      <c r="K76" s="424"/>
      <c r="L76" s="424"/>
      <c r="M76" s="424"/>
      <c r="N76" s="424"/>
      <c r="O76" s="424"/>
      <c r="P76" s="424"/>
      <c r="Q76" s="424"/>
      <c r="R76" s="424"/>
      <c r="S76" s="424"/>
      <c r="T76" s="816"/>
      <c r="U76" s="820"/>
      <c r="V76" s="816"/>
      <c r="W76" s="816"/>
      <c r="X76" s="816"/>
      <c r="Y76" s="816"/>
      <c r="Z76" s="816"/>
      <c r="AA76" s="816"/>
      <c r="AB76" s="816"/>
      <c r="AC76" s="816"/>
      <c r="AD76" s="816"/>
      <c r="AE76" s="816"/>
      <c r="AF76" s="436"/>
      <c r="AG76" s="820"/>
      <c r="AH76" s="816"/>
      <c r="AI76" s="816"/>
      <c r="AJ76" s="816"/>
      <c r="AK76" s="816"/>
      <c r="AL76" s="816"/>
      <c r="AM76" s="816"/>
      <c r="AN76" s="816"/>
      <c r="AO76" s="816"/>
      <c r="AP76" s="816"/>
      <c r="AQ76" s="816"/>
      <c r="AR76" s="436"/>
    </row>
    <row r="77" spans="2:46">
      <c r="B77" s="548"/>
      <c r="F77" s="549"/>
      <c r="G77" s="417" t="s">
        <v>439</v>
      </c>
      <c r="H77" s="416"/>
      <c r="I77" s="418"/>
      <c r="J77" s="416"/>
      <c r="K77" s="416"/>
      <c r="L77" s="416"/>
      <c r="M77" s="416"/>
      <c r="N77" s="416"/>
      <c r="O77" s="416"/>
      <c r="P77" s="416"/>
      <c r="Q77" s="416"/>
      <c r="R77" s="416"/>
      <c r="S77" s="416"/>
      <c r="T77" s="416"/>
      <c r="U77" s="822"/>
      <c r="V77" s="416"/>
      <c r="W77" s="416"/>
      <c r="X77" s="416"/>
      <c r="Y77" s="416"/>
      <c r="Z77" s="416"/>
      <c r="AA77" s="416"/>
      <c r="AB77" s="416"/>
      <c r="AC77" s="416"/>
      <c r="AD77" s="416"/>
      <c r="AE77" s="416"/>
      <c r="AF77" s="433"/>
      <c r="AG77" s="822"/>
      <c r="AH77" s="416"/>
      <c r="AI77" s="416"/>
      <c r="AJ77" s="416"/>
      <c r="AK77" s="416"/>
      <c r="AL77" s="416"/>
      <c r="AM77" s="416"/>
      <c r="AN77" s="416"/>
      <c r="AO77" s="416"/>
      <c r="AP77" s="416"/>
      <c r="AQ77" s="416"/>
      <c r="AR77" s="433"/>
    </row>
    <row r="78" spans="2:46">
      <c r="B78" s="548"/>
      <c r="F78" s="549"/>
      <c r="G78" s="419" t="s">
        <v>427</v>
      </c>
      <c r="H78" s="416"/>
      <c r="I78" s="418">
        <f>-(I73+J73)</f>
        <v>0</v>
      </c>
      <c r="J78" s="418">
        <f t="shared" ref="J78" si="159">-(J73+K73)</f>
        <v>0</v>
      </c>
      <c r="K78" s="418">
        <f t="shared" ref="K78" si="160">-(K73+L73)</f>
        <v>0</v>
      </c>
      <c r="L78" s="418">
        <f t="shared" ref="L78" si="161">-(L73+M73)</f>
        <v>0</v>
      </c>
      <c r="M78" s="418">
        <f t="shared" ref="M78" si="162">-(M73+N73)</f>
        <v>0</v>
      </c>
      <c r="N78" s="418">
        <f t="shared" ref="N78" si="163">-(N73+O73)</f>
        <v>0</v>
      </c>
      <c r="O78" s="418">
        <f t="shared" ref="O78" si="164">-(O73+P73)</f>
        <v>0</v>
      </c>
      <c r="P78" s="418">
        <f t="shared" ref="P78" si="165">-(P73+Q73)</f>
        <v>0</v>
      </c>
      <c r="Q78" s="418">
        <f t="shared" ref="Q78" si="166">-(Q73+R73)</f>
        <v>0</v>
      </c>
      <c r="R78" s="418">
        <f t="shared" ref="R78" si="167">-(R73+S73)</f>
        <v>0</v>
      </c>
      <c r="S78" s="418">
        <f t="shared" ref="S78" si="168">-(S73+T73)</f>
        <v>0</v>
      </c>
      <c r="T78" s="817">
        <f t="shared" ref="T78" si="169">-(T73+U73)</f>
        <v>0</v>
      </c>
      <c r="U78" s="825">
        <f t="shared" ref="U78" si="170">-(U73+V73)</f>
        <v>0</v>
      </c>
      <c r="V78" s="817">
        <f t="shared" ref="V78" si="171">-(V73+W73)</f>
        <v>0</v>
      </c>
      <c r="W78" s="817">
        <f t="shared" ref="W78" si="172">-(W73+X73)</f>
        <v>0</v>
      </c>
      <c r="X78" s="817">
        <f t="shared" ref="X78" si="173">-(X73+Y73)</f>
        <v>0</v>
      </c>
      <c r="Y78" s="817">
        <f t="shared" ref="Y78" si="174">-(Y73+Z73)</f>
        <v>0</v>
      </c>
      <c r="Z78" s="817">
        <f t="shared" ref="Z78" si="175">-(Z73+AA73)</f>
        <v>0</v>
      </c>
      <c r="AA78" s="817">
        <f t="shared" ref="AA78" si="176">-(AA73+AB73)</f>
        <v>0</v>
      </c>
      <c r="AB78" s="817">
        <f t="shared" ref="AB78" si="177">-(AB73+AC73)</f>
        <v>0</v>
      </c>
      <c r="AC78" s="817">
        <f t="shared" ref="AC78" si="178">-(AC73+AD73)</f>
        <v>0</v>
      </c>
      <c r="AD78" s="817">
        <f t="shared" ref="AD78" si="179">-(AD73+AE73)</f>
        <v>0</v>
      </c>
      <c r="AE78" s="817">
        <f t="shared" ref="AE78" si="180">-(AE73+AF73)</f>
        <v>0</v>
      </c>
      <c r="AF78" s="437">
        <v>0</v>
      </c>
      <c r="AG78" s="825">
        <f t="shared" ref="AG78" si="181">-(AG73+AH73)</f>
        <v>110</v>
      </c>
      <c r="AH78" s="817">
        <f t="shared" ref="AH78" si="182">-(AH73+AI73)</f>
        <v>132</v>
      </c>
      <c r="AI78" s="817">
        <f t="shared" ref="AI78" si="183">-(AI73+AJ73)</f>
        <v>159</v>
      </c>
      <c r="AJ78" s="817">
        <f t="shared" ref="AJ78" si="184">-(AJ73+AK73)</f>
        <v>192</v>
      </c>
      <c r="AK78" s="817">
        <f t="shared" ref="AK78" si="185">-(AK73+AL73)</f>
        <v>231</v>
      </c>
      <c r="AL78" s="817">
        <f t="shared" ref="AL78" si="186">-(AL73+AM73)</f>
        <v>278</v>
      </c>
      <c r="AM78" s="817">
        <f t="shared" ref="AM78" si="187">-(AM73+AN73)</f>
        <v>335</v>
      </c>
      <c r="AN78" s="817">
        <f t="shared" ref="AN78" si="188">-(AN73+AO73)</f>
        <v>403</v>
      </c>
      <c r="AO78" s="817">
        <f t="shared" ref="AO78" si="189">-(AO73+AP73)</f>
        <v>484</v>
      </c>
      <c r="AP78" s="817">
        <f t="shared" ref="AP78" si="190">-(AP73+AQ73)</f>
        <v>660</v>
      </c>
      <c r="AQ78" s="817">
        <f t="shared" ref="AQ78" si="191">-(AQ73+AR73)</f>
        <v>872</v>
      </c>
      <c r="AR78" s="437">
        <f t="shared" ref="AR78" si="192">-(AR73+AS73)</f>
        <v>476</v>
      </c>
    </row>
    <row r="79" spans="2:46">
      <c r="B79" s="548"/>
      <c r="F79" s="549"/>
      <c r="G79" s="419" t="s">
        <v>428</v>
      </c>
      <c r="H79" s="416"/>
      <c r="I79" s="418">
        <f>I75</f>
        <v>0</v>
      </c>
      <c r="J79" s="418">
        <f t="shared" ref="J79:AR79" si="193">J75</f>
        <v>0</v>
      </c>
      <c r="K79" s="418">
        <f t="shared" si="193"/>
        <v>0</v>
      </c>
      <c r="L79" s="418">
        <f t="shared" si="193"/>
        <v>0</v>
      </c>
      <c r="M79" s="418">
        <f t="shared" si="193"/>
        <v>0</v>
      </c>
      <c r="N79" s="418">
        <f t="shared" si="193"/>
        <v>0</v>
      </c>
      <c r="O79" s="418">
        <f t="shared" si="193"/>
        <v>0</v>
      </c>
      <c r="P79" s="418">
        <f t="shared" si="193"/>
        <v>0</v>
      </c>
      <c r="Q79" s="418">
        <f t="shared" si="193"/>
        <v>0</v>
      </c>
      <c r="R79" s="418">
        <f t="shared" si="193"/>
        <v>0</v>
      </c>
      <c r="S79" s="418">
        <f t="shared" si="193"/>
        <v>0</v>
      </c>
      <c r="T79" s="817">
        <f t="shared" si="193"/>
        <v>0</v>
      </c>
      <c r="U79" s="825">
        <f t="shared" si="193"/>
        <v>0</v>
      </c>
      <c r="V79" s="817">
        <f t="shared" si="193"/>
        <v>0</v>
      </c>
      <c r="W79" s="817">
        <f t="shared" si="193"/>
        <v>0</v>
      </c>
      <c r="X79" s="817">
        <f t="shared" si="193"/>
        <v>0</v>
      </c>
      <c r="Y79" s="817">
        <f t="shared" si="193"/>
        <v>0</v>
      </c>
      <c r="Z79" s="817">
        <f t="shared" si="193"/>
        <v>0</v>
      </c>
      <c r="AA79" s="817">
        <f t="shared" si="193"/>
        <v>0</v>
      </c>
      <c r="AB79" s="817">
        <f t="shared" si="193"/>
        <v>0</v>
      </c>
      <c r="AC79" s="817">
        <f t="shared" si="193"/>
        <v>0</v>
      </c>
      <c r="AD79" s="817">
        <f t="shared" si="193"/>
        <v>0</v>
      </c>
      <c r="AE79" s="817">
        <f t="shared" si="193"/>
        <v>0</v>
      </c>
      <c r="AF79" s="437">
        <f t="shared" si="193"/>
        <v>0</v>
      </c>
      <c r="AG79" s="825">
        <f t="shared" si="193"/>
        <v>10</v>
      </c>
      <c r="AH79" s="817">
        <f t="shared" si="193"/>
        <v>65</v>
      </c>
      <c r="AI79" s="817">
        <f t="shared" si="193"/>
        <v>78</v>
      </c>
      <c r="AJ79" s="817">
        <f t="shared" si="193"/>
        <v>93.6</v>
      </c>
      <c r="AK79" s="817">
        <f t="shared" si="193"/>
        <v>113.1</v>
      </c>
      <c r="AL79" s="817">
        <f t="shared" si="193"/>
        <v>136.5</v>
      </c>
      <c r="AM79" s="817">
        <f t="shared" si="193"/>
        <v>163.80000000000001</v>
      </c>
      <c r="AN79" s="817">
        <f t="shared" si="193"/>
        <v>197.6</v>
      </c>
      <c r="AO79" s="817">
        <f t="shared" si="193"/>
        <v>237.9</v>
      </c>
      <c r="AP79" s="817">
        <f t="shared" si="193"/>
        <v>286</v>
      </c>
      <c r="AQ79" s="817">
        <f t="shared" si="193"/>
        <v>343.2</v>
      </c>
      <c r="AR79" s="437">
        <f t="shared" si="193"/>
        <v>514.79999999999995</v>
      </c>
    </row>
    <row r="80" spans="2:46">
      <c r="B80" s="548"/>
      <c r="F80" s="549"/>
      <c r="G80" s="419" t="s">
        <v>429</v>
      </c>
      <c r="H80" s="416"/>
      <c r="I80" s="418">
        <f>-I78+I79</f>
        <v>0</v>
      </c>
      <c r="J80" s="418">
        <f t="shared" ref="J80:AR80" si="194">-J78+J79</f>
        <v>0</v>
      </c>
      <c r="K80" s="418">
        <f t="shared" si="194"/>
        <v>0</v>
      </c>
      <c r="L80" s="418">
        <f t="shared" si="194"/>
        <v>0</v>
      </c>
      <c r="M80" s="418">
        <f t="shared" si="194"/>
        <v>0</v>
      </c>
      <c r="N80" s="418">
        <f t="shared" si="194"/>
        <v>0</v>
      </c>
      <c r="O80" s="418">
        <f t="shared" si="194"/>
        <v>0</v>
      </c>
      <c r="P80" s="418">
        <f t="shared" si="194"/>
        <v>0</v>
      </c>
      <c r="Q80" s="418">
        <f t="shared" si="194"/>
        <v>0</v>
      </c>
      <c r="R80" s="418">
        <f t="shared" si="194"/>
        <v>0</v>
      </c>
      <c r="S80" s="418">
        <f t="shared" si="194"/>
        <v>0</v>
      </c>
      <c r="T80" s="817">
        <f t="shared" si="194"/>
        <v>0</v>
      </c>
      <c r="U80" s="825">
        <f t="shared" si="194"/>
        <v>0</v>
      </c>
      <c r="V80" s="817">
        <f t="shared" si="194"/>
        <v>0</v>
      </c>
      <c r="W80" s="817">
        <f t="shared" si="194"/>
        <v>0</v>
      </c>
      <c r="X80" s="817">
        <f t="shared" si="194"/>
        <v>0</v>
      </c>
      <c r="Y80" s="817">
        <f t="shared" si="194"/>
        <v>0</v>
      </c>
      <c r="Z80" s="817">
        <f t="shared" si="194"/>
        <v>0</v>
      </c>
      <c r="AA80" s="817">
        <f t="shared" si="194"/>
        <v>0</v>
      </c>
      <c r="AB80" s="817">
        <f t="shared" si="194"/>
        <v>0</v>
      </c>
      <c r="AC80" s="817">
        <f t="shared" si="194"/>
        <v>0</v>
      </c>
      <c r="AD80" s="817">
        <f t="shared" si="194"/>
        <v>0</v>
      </c>
      <c r="AE80" s="817">
        <f t="shared" si="194"/>
        <v>0</v>
      </c>
      <c r="AF80" s="437">
        <f>-AF78+AF79</f>
        <v>0</v>
      </c>
      <c r="AG80" s="825">
        <f t="shared" si="194"/>
        <v>-100</v>
      </c>
      <c r="AH80" s="817">
        <f t="shared" si="194"/>
        <v>-67</v>
      </c>
      <c r="AI80" s="817">
        <f t="shared" si="194"/>
        <v>-81</v>
      </c>
      <c r="AJ80" s="817">
        <f t="shared" si="194"/>
        <v>-98.4</v>
      </c>
      <c r="AK80" s="817">
        <f t="shared" si="194"/>
        <v>-117.9</v>
      </c>
      <c r="AL80" s="817">
        <f t="shared" si="194"/>
        <v>-141.5</v>
      </c>
      <c r="AM80" s="817">
        <f t="shared" si="194"/>
        <v>-171.2</v>
      </c>
      <c r="AN80" s="817">
        <f t="shared" si="194"/>
        <v>-205.4</v>
      </c>
      <c r="AO80" s="817">
        <f t="shared" si="194"/>
        <v>-246.1</v>
      </c>
      <c r="AP80" s="817">
        <f t="shared" si="194"/>
        <v>-374</v>
      </c>
      <c r="AQ80" s="817">
        <f t="shared" si="194"/>
        <v>-528.79999999999995</v>
      </c>
      <c r="AR80" s="437">
        <f t="shared" si="194"/>
        <v>38.799999999999955</v>
      </c>
    </row>
    <row r="81" spans="2:44">
      <c r="B81" s="548"/>
      <c r="F81" s="549"/>
      <c r="G81" s="419" t="s">
        <v>430</v>
      </c>
      <c r="H81" s="416"/>
      <c r="I81" s="418">
        <f t="shared" ref="I81:AF81" si="195">-I73*$H$47</f>
        <v>0</v>
      </c>
      <c r="J81" s="418">
        <f t="shared" si="195"/>
        <v>0</v>
      </c>
      <c r="K81" s="418">
        <f t="shared" si="195"/>
        <v>0</v>
      </c>
      <c r="L81" s="418">
        <f t="shared" si="195"/>
        <v>0</v>
      </c>
      <c r="M81" s="418">
        <f t="shared" si="195"/>
        <v>0</v>
      </c>
      <c r="N81" s="418">
        <f t="shared" si="195"/>
        <v>0</v>
      </c>
      <c r="O81" s="418">
        <f t="shared" si="195"/>
        <v>0</v>
      </c>
      <c r="P81" s="418">
        <f t="shared" si="195"/>
        <v>0</v>
      </c>
      <c r="Q81" s="418">
        <f t="shared" si="195"/>
        <v>0</v>
      </c>
      <c r="R81" s="418">
        <f t="shared" si="195"/>
        <v>0</v>
      </c>
      <c r="S81" s="418">
        <f t="shared" si="195"/>
        <v>0</v>
      </c>
      <c r="T81" s="817">
        <f t="shared" si="195"/>
        <v>0</v>
      </c>
      <c r="U81" s="825">
        <f t="shared" si="195"/>
        <v>0</v>
      </c>
      <c r="V81" s="817">
        <f t="shared" si="195"/>
        <v>0</v>
      </c>
      <c r="W81" s="817">
        <f t="shared" si="195"/>
        <v>0</v>
      </c>
      <c r="X81" s="817">
        <f t="shared" si="195"/>
        <v>0</v>
      </c>
      <c r="Y81" s="817">
        <f t="shared" si="195"/>
        <v>0</v>
      </c>
      <c r="Z81" s="817">
        <f t="shared" si="195"/>
        <v>0</v>
      </c>
      <c r="AA81" s="817">
        <f t="shared" si="195"/>
        <v>0</v>
      </c>
      <c r="AB81" s="817">
        <f t="shared" si="195"/>
        <v>0</v>
      </c>
      <c r="AC81" s="817">
        <f t="shared" si="195"/>
        <v>0</v>
      </c>
      <c r="AD81" s="817">
        <f t="shared" si="195"/>
        <v>0</v>
      </c>
      <c r="AE81" s="817">
        <f t="shared" si="195"/>
        <v>0</v>
      </c>
      <c r="AF81" s="437">
        <f t="shared" si="195"/>
        <v>0</v>
      </c>
      <c r="AG81" s="825">
        <f>-AG73*$H$68</f>
        <v>15</v>
      </c>
      <c r="AH81" s="817">
        <f t="shared" ref="AH81:AR81" si="196">-AH73*$H$68</f>
        <v>18</v>
      </c>
      <c r="AI81" s="817">
        <f t="shared" si="196"/>
        <v>21.599999999999998</v>
      </c>
      <c r="AJ81" s="817">
        <f t="shared" si="196"/>
        <v>26.099999999999998</v>
      </c>
      <c r="AK81" s="817">
        <f t="shared" si="196"/>
        <v>31.5</v>
      </c>
      <c r="AL81" s="817">
        <f t="shared" si="196"/>
        <v>37.799999999999997</v>
      </c>
      <c r="AM81" s="817">
        <f t="shared" si="196"/>
        <v>45.6</v>
      </c>
      <c r="AN81" s="817">
        <f t="shared" si="196"/>
        <v>54.9</v>
      </c>
      <c r="AO81" s="817">
        <f t="shared" si="196"/>
        <v>66</v>
      </c>
      <c r="AP81" s="817">
        <f t="shared" si="196"/>
        <v>79.2</v>
      </c>
      <c r="AQ81" s="817">
        <f t="shared" si="196"/>
        <v>118.8</v>
      </c>
      <c r="AR81" s="437">
        <f t="shared" si="196"/>
        <v>142.79999999999998</v>
      </c>
    </row>
    <row r="82" spans="2:44">
      <c r="B82" s="548"/>
      <c r="F82" s="549"/>
      <c r="G82" s="417" t="s">
        <v>431</v>
      </c>
      <c r="H82" s="423"/>
      <c r="I82" s="425" t="str">
        <f>IF((I81-I80)&lt;=0,"0",(I81-I80))</f>
        <v>0</v>
      </c>
      <c r="J82" s="425" t="str">
        <f t="shared" ref="J82:AQ82" si="197">IF((J81-J80)&lt;=0,"0",(J81-J80))</f>
        <v>0</v>
      </c>
      <c r="K82" s="425" t="str">
        <f t="shared" si="197"/>
        <v>0</v>
      </c>
      <c r="L82" s="425" t="str">
        <f t="shared" si="197"/>
        <v>0</v>
      </c>
      <c r="M82" s="425" t="str">
        <f t="shared" si="197"/>
        <v>0</v>
      </c>
      <c r="N82" s="425" t="str">
        <f t="shared" si="197"/>
        <v>0</v>
      </c>
      <c r="O82" s="425" t="str">
        <f t="shared" si="197"/>
        <v>0</v>
      </c>
      <c r="P82" s="425" t="str">
        <f t="shared" si="197"/>
        <v>0</v>
      </c>
      <c r="Q82" s="425" t="str">
        <f t="shared" si="197"/>
        <v>0</v>
      </c>
      <c r="R82" s="425" t="str">
        <f t="shared" si="197"/>
        <v>0</v>
      </c>
      <c r="S82" s="425" t="str">
        <f t="shared" si="197"/>
        <v>0</v>
      </c>
      <c r="T82" s="425" t="str">
        <f t="shared" si="197"/>
        <v>0</v>
      </c>
      <c r="U82" s="826" t="str">
        <f t="shared" si="197"/>
        <v>0</v>
      </c>
      <c r="V82" s="818" t="str">
        <f t="shared" si="197"/>
        <v>0</v>
      </c>
      <c r="W82" s="818" t="str">
        <f t="shared" si="197"/>
        <v>0</v>
      </c>
      <c r="X82" s="818" t="str">
        <f t="shared" si="197"/>
        <v>0</v>
      </c>
      <c r="Y82" s="818" t="str">
        <f t="shared" si="197"/>
        <v>0</v>
      </c>
      <c r="Z82" s="818" t="str">
        <f t="shared" si="197"/>
        <v>0</v>
      </c>
      <c r="AA82" s="818" t="str">
        <f t="shared" si="197"/>
        <v>0</v>
      </c>
      <c r="AB82" s="818" t="str">
        <f t="shared" si="197"/>
        <v>0</v>
      </c>
      <c r="AC82" s="818" t="str">
        <f t="shared" si="197"/>
        <v>0</v>
      </c>
      <c r="AD82" s="818" t="str">
        <f t="shared" si="197"/>
        <v>0</v>
      </c>
      <c r="AE82" s="818" t="str">
        <f t="shared" si="197"/>
        <v>0</v>
      </c>
      <c r="AF82" s="438" t="str">
        <f t="shared" si="197"/>
        <v>0</v>
      </c>
      <c r="AG82" s="826">
        <f t="shared" si="197"/>
        <v>115</v>
      </c>
      <c r="AH82" s="818">
        <f t="shared" si="197"/>
        <v>85</v>
      </c>
      <c r="AI82" s="818">
        <f t="shared" si="197"/>
        <v>102.6</v>
      </c>
      <c r="AJ82" s="818">
        <f t="shared" si="197"/>
        <v>124.5</v>
      </c>
      <c r="AK82" s="818">
        <f t="shared" si="197"/>
        <v>149.4</v>
      </c>
      <c r="AL82" s="818">
        <f t="shared" si="197"/>
        <v>179.3</v>
      </c>
      <c r="AM82" s="818">
        <f t="shared" si="197"/>
        <v>216.79999999999998</v>
      </c>
      <c r="AN82" s="818">
        <f t="shared" si="197"/>
        <v>260.3</v>
      </c>
      <c r="AO82" s="818">
        <f t="shared" si="197"/>
        <v>312.10000000000002</v>
      </c>
      <c r="AP82" s="818">
        <f t="shared" si="197"/>
        <v>453.2</v>
      </c>
      <c r="AQ82" s="818">
        <f t="shared" si="197"/>
        <v>647.59999999999991</v>
      </c>
      <c r="AR82" s="438">
        <f>IF((AR81-AR80)&lt;=0,"0",(AR81-AR80))</f>
        <v>104.00000000000003</v>
      </c>
    </row>
    <row r="83" spans="2:44">
      <c r="B83" s="548"/>
      <c r="F83" s="549"/>
      <c r="G83" s="419"/>
      <c r="H83" s="416"/>
      <c r="I83" s="426"/>
      <c r="J83" s="416"/>
      <c r="K83" s="416"/>
      <c r="L83" s="416"/>
      <c r="M83" s="416"/>
      <c r="N83" s="416"/>
      <c r="O83" s="416"/>
      <c r="P83" s="416"/>
      <c r="Q83" s="416"/>
      <c r="R83" s="416"/>
      <c r="S83" s="416"/>
      <c r="T83" s="416"/>
      <c r="U83" s="822"/>
      <c r="V83" s="416"/>
      <c r="W83" s="416"/>
      <c r="X83" s="416"/>
      <c r="Y83" s="416"/>
      <c r="Z83" s="416"/>
      <c r="AA83" s="416"/>
      <c r="AB83" s="416"/>
      <c r="AC83" s="416"/>
      <c r="AD83" s="416"/>
      <c r="AE83" s="416"/>
      <c r="AF83" s="433"/>
      <c r="AG83" s="822"/>
      <c r="AH83" s="416"/>
      <c r="AI83" s="416"/>
      <c r="AJ83" s="416"/>
      <c r="AK83" s="416"/>
      <c r="AL83" s="416"/>
      <c r="AM83" s="416"/>
      <c r="AN83" s="416"/>
      <c r="AO83" s="416"/>
      <c r="AP83" s="416"/>
      <c r="AQ83" s="416"/>
      <c r="AR83" s="433"/>
    </row>
    <row r="84" spans="2:44">
      <c r="B84" s="548"/>
      <c r="F84" s="549"/>
      <c r="G84" s="449" t="s">
        <v>432</v>
      </c>
      <c r="H84" s="428"/>
      <c r="I84" s="428">
        <f>'Pricing Model'!$G$15*I74</f>
        <v>0</v>
      </c>
      <c r="J84" s="416">
        <f>'Pricing Model'!$G$15*J74</f>
        <v>0</v>
      </c>
      <c r="K84" s="428">
        <f>'Pricing Model'!$G$15*K74</f>
        <v>0</v>
      </c>
      <c r="L84" s="428">
        <f>'Pricing Model'!$G$15*L74</f>
        <v>0</v>
      </c>
      <c r="M84" s="428">
        <f>'Pricing Model'!$G$15*M74</f>
        <v>0</v>
      </c>
      <c r="N84" s="428">
        <f>'Pricing Model'!$G$15*N74</f>
        <v>0</v>
      </c>
      <c r="O84" s="428">
        <f>'Pricing Model'!$G$15*O74</f>
        <v>0</v>
      </c>
      <c r="P84" s="428">
        <f>'Pricing Model'!$G$15*P74</f>
        <v>0</v>
      </c>
      <c r="Q84" s="428">
        <f>'Pricing Model'!$G$15*Q74</f>
        <v>0</v>
      </c>
      <c r="R84" s="428">
        <f>'Pricing Model'!$G$15*R74</f>
        <v>0</v>
      </c>
      <c r="S84" s="428">
        <f>'Pricing Model'!$G$15*S74</f>
        <v>0</v>
      </c>
      <c r="T84" s="428">
        <f>'Pricing Model'!$G$15*T74</f>
        <v>0</v>
      </c>
      <c r="U84" s="827">
        <f>'Pricing Model'!$G$35*U74</f>
        <v>0</v>
      </c>
      <c r="V84" s="428">
        <f>'Pricing Model'!$G$35*V74</f>
        <v>0</v>
      </c>
      <c r="W84" s="428">
        <f>'Pricing Model'!$G$35*W74</f>
        <v>0</v>
      </c>
      <c r="X84" s="428">
        <f>'Pricing Model'!$G$35*X74</f>
        <v>0</v>
      </c>
      <c r="Y84" s="428">
        <f>'Pricing Model'!$G$35*Y74</f>
        <v>0</v>
      </c>
      <c r="Z84" s="428">
        <f>'Pricing Model'!$G$35*Z74</f>
        <v>0</v>
      </c>
      <c r="AA84" s="428">
        <f>'Pricing Model'!$G$35*AA74</f>
        <v>0</v>
      </c>
      <c r="AB84" s="428">
        <f>'Pricing Model'!$G$35*AB74</f>
        <v>0</v>
      </c>
      <c r="AC84" s="428">
        <f>'Pricing Model'!$G$35*AC74</f>
        <v>0</v>
      </c>
      <c r="AD84" s="428">
        <f>'Pricing Model'!$G$35*AD74</f>
        <v>0</v>
      </c>
      <c r="AE84" s="428">
        <f>'Pricing Model'!$G$35*AE74</f>
        <v>0</v>
      </c>
      <c r="AF84" s="439">
        <f>'Pricing Model'!$G$35*AF74</f>
        <v>0</v>
      </c>
      <c r="AG84" s="827">
        <f>'Pricing Model'!$G$56*AG74</f>
        <v>0</v>
      </c>
      <c r="AH84" s="428">
        <f>'Pricing Model'!$G$56*AH74</f>
        <v>60409.499999999993</v>
      </c>
      <c r="AI84" s="428">
        <f>'Pricing Model'!$G$56*AI74</f>
        <v>44650.499999999993</v>
      </c>
      <c r="AJ84" s="428">
        <f>'Pricing Model'!$G$56*AJ74</f>
        <v>53895.779999999992</v>
      </c>
      <c r="AK84" s="428">
        <f>'Pricing Model'!$G$56*AK74</f>
        <v>65399.849999999991</v>
      </c>
      <c r="AL84" s="428">
        <f>'Pricing Model'!$G$56*AL74</f>
        <v>78479.819999999992</v>
      </c>
      <c r="AM84" s="428">
        <f>'Pricing Model'!$G$56*AM74</f>
        <v>94186.29</v>
      </c>
      <c r="AN84" s="428">
        <f>'Pricing Model'!$G$56*AN74</f>
        <v>113885.03999999998</v>
      </c>
      <c r="AO84" s="428">
        <f>'Pricing Model'!$G$56*AO74</f>
        <v>136735.59</v>
      </c>
      <c r="AP84" s="428">
        <f>'Pricing Model'!$G$56*AP74</f>
        <v>163946.13</v>
      </c>
      <c r="AQ84" s="428">
        <f>'Pricing Model'!$G$56*AQ74</f>
        <v>238065.95999999996</v>
      </c>
      <c r="AR84" s="439">
        <f>'Pricing Model'!$G$56*AR74</f>
        <v>340184.27999999991</v>
      </c>
    </row>
    <row r="85" spans="2:44" ht="16.2" thickBot="1">
      <c r="B85" s="550"/>
      <c r="C85" s="551"/>
      <c r="D85" s="551"/>
      <c r="E85" s="551"/>
      <c r="F85" s="552"/>
      <c r="G85" s="411" t="s">
        <v>440</v>
      </c>
      <c r="H85" s="429"/>
      <c r="I85" s="582">
        <f>I84</f>
        <v>0</v>
      </c>
      <c r="J85" s="583">
        <f>J84-I84</f>
        <v>0</v>
      </c>
      <c r="K85" s="583">
        <f>K84-J84</f>
        <v>0</v>
      </c>
      <c r="L85" s="583">
        <f t="shared" ref="L85" si="198">L84-K84</f>
        <v>0</v>
      </c>
      <c r="M85" s="583">
        <f t="shared" ref="M85" si="199">M84-L84</f>
        <v>0</v>
      </c>
      <c r="N85" s="583">
        <f>N84-M84</f>
        <v>0</v>
      </c>
      <c r="O85" s="583">
        <f t="shared" ref="O85" si="200">O84-N84</f>
        <v>0</v>
      </c>
      <c r="P85" s="583">
        <f t="shared" ref="P85" si="201">P84-O84</f>
        <v>0</v>
      </c>
      <c r="Q85" s="583">
        <f t="shared" ref="Q85" si="202">Q84-P84</f>
        <v>0</v>
      </c>
      <c r="R85" s="583">
        <f t="shared" ref="R85" si="203">R84-Q84</f>
        <v>0</v>
      </c>
      <c r="S85" s="583">
        <f t="shared" ref="S85" si="204">S84-R84</f>
        <v>0</v>
      </c>
      <c r="T85" s="583">
        <f t="shared" ref="T85" si="205">T84-S84</f>
        <v>0</v>
      </c>
      <c r="U85" s="828">
        <f t="shared" ref="U85" si="206">U84-T84</f>
        <v>0</v>
      </c>
      <c r="V85" s="583">
        <f t="shared" ref="V85" si="207">V84-U84</f>
        <v>0</v>
      </c>
      <c r="W85" s="583">
        <f t="shared" ref="W85" si="208">W84-V84</f>
        <v>0</v>
      </c>
      <c r="X85" s="583">
        <f t="shared" ref="X85" si="209">X84-W84</f>
        <v>0</v>
      </c>
      <c r="Y85" s="583">
        <f t="shared" ref="Y85" si="210">Y84-X84</f>
        <v>0</v>
      </c>
      <c r="Z85" s="583">
        <f t="shared" ref="Z85" si="211">Z84-Y84</f>
        <v>0</v>
      </c>
      <c r="AA85" s="583">
        <f t="shared" ref="AA85" si="212">AA84-Z84</f>
        <v>0</v>
      </c>
      <c r="AB85" s="583">
        <f t="shared" ref="AB85" si="213">AB84-AA84</f>
        <v>0</v>
      </c>
      <c r="AC85" s="583">
        <f t="shared" ref="AC85" si="214">AC84-AB84</f>
        <v>0</v>
      </c>
      <c r="AD85" s="583">
        <f t="shared" ref="AD85" si="215">AD84-AC84</f>
        <v>0</v>
      </c>
      <c r="AE85" s="583">
        <f t="shared" ref="AE85" si="216">AE84-AD84</f>
        <v>0</v>
      </c>
      <c r="AF85" s="584">
        <f t="shared" ref="AF85" si="217">AF84-AE84</f>
        <v>0</v>
      </c>
      <c r="AG85" s="828">
        <f t="shared" ref="AG85" si="218">AG84-AF84</f>
        <v>0</v>
      </c>
      <c r="AH85" s="583">
        <f t="shared" ref="AH85" si="219">AH84-AG84</f>
        <v>60409.499999999993</v>
      </c>
      <c r="AI85" s="583">
        <f t="shared" ref="AI85" si="220">AI84-AH84</f>
        <v>-15759</v>
      </c>
      <c r="AJ85" s="583">
        <f t="shared" ref="AJ85" si="221">AJ84-AI84</f>
        <v>9245.2799999999988</v>
      </c>
      <c r="AK85" s="583">
        <f t="shared" ref="AK85" si="222">AK84-AJ84</f>
        <v>11504.07</v>
      </c>
      <c r="AL85" s="583">
        <f t="shared" ref="AL85" si="223">AL84-AK84</f>
        <v>13079.970000000001</v>
      </c>
      <c r="AM85" s="583">
        <f t="shared" ref="AM85" si="224">AM84-AL84</f>
        <v>15706.470000000001</v>
      </c>
      <c r="AN85" s="583">
        <f t="shared" ref="AN85" si="225">AN84-AM84</f>
        <v>19698.749999999985</v>
      </c>
      <c r="AO85" s="583">
        <f t="shared" ref="AO85" si="226">AO84-AN84</f>
        <v>22850.550000000017</v>
      </c>
      <c r="AP85" s="583">
        <f t="shared" ref="AP85" si="227">AP84-AO84</f>
        <v>27210.540000000008</v>
      </c>
      <c r="AQ85" s="583">
        <f t="shared" ref="AQ85" si="228">AQ84-AP84</f>
        <v>74119.829999999958</v>
      </c>
      <c r="AR85" s="584">
        <f t="shared" ref="AR85" si="229">AR84-AQ84</f>
        <v>102118.31999999995</v>
      </c>
    </row>
    <row r="86" spans="2:44" ht="16.2" thickTop="1">
      <c r="T86" s="391"/>
      <c r="U86" s="834"/>
      <c r="AF86" s="440"/>
      <c r="AG86" s="834"/>
    </row>
    <row r="87" spans="2:44">
      <c r="T87" s="391"/>
      <c r="U87" s="834"/>
      <c r="AF87" s="440"/>
      <c r="AG87" s="834"/>
    </row>
    <row r="88" spans="2:44">
      <c r="T88" s="391"/>
      <c r="U88" s="834"/>
      <c r="AF88" s="440"/>
      <c r="AG88" s="834"/>
    </row>
    <row r="89" spans="2:44" ht="16.2" thickBot="1">
      <c r="T89" s="391"/>
      <c r="U89" s="834"/>
      <c r="AF89" s="440"/>
      <c r="AG89" s="834"/>
    </row>
    <row r="90" spans="2:44" ht="16.2" thickTop="1">
      <c r="B90" s="545"/>
      <c r="C90" s="546"/>
      <c r="D90" s="546"/>
      <c r="E90" s="546"/>
      <c r="F90" s="547"/>
      <c r="G90" s="414" t="s">
        <v>433</v>
      </c>
      <c r="H90" s="410">
        <v>0.25</v>
      </c>
      <c r="I90" s="444"/>
      <c r="J90" s="444"/>
      <c r="K90" s="444"/>
      <c r="L90" s="444"/>
      <c r="M90" s="444"/>
      <c r="N90" s="444"/>
      <c r="O90" s="444"/>
      <c r="P90" s="444"/>
      <c r="Q90" s="444"/>
      <c r="R90" s="444"/>
      <c r="S90" s="444"/>
      <c r="T90" s="444"/>
      <c r="U90" s="831"/>
      <c r="V90" s="444"/>
      <c r="W90" s="444"/>
      <c r="X90" s="444"/>
      <c r="Y90" s="444"/>
      <c r="Z90" s="444"/>
      <c r="AA90" s="444"/>
      <c r="AB90" s="444"/>
      <c r="AC90" s="444"/>
      <c r="AD90" s="444"/>
      <c r="AE90" s="444"/>
      <c r="AF90" s="445"/>
      <c r="AG90" s="831"/>
      <c r="AH90" s="444"/>
      <c r="AI90" s="444"/>
      <c r="AJ90" s="444"/>
      <c r="AK90" s="444"/>
      <c r="AL90" s="444"/>
      <c r="AM90" s="444"/>
      <c r="AN90" s="444"/>
      <c r="AO90" s="444"/>
      <c r="AP90" s="444"/>
      <c r="AQ90" s="444"/>
      <c r="AR90" s="433"/>
    </row>
    <row r="91" spans="2:44">
      <c r="B91" s="548"/>
      <c r="F91" s="549"/>
      <c r="G91" s="411"/>
      <c r="H91" s="412"/>
      <c r="I91" s="413"/>
      <c r="J91" s="413"/>
      <c r="K91" s="413"/>
      <c r="L91" s="413"/>
      <c r="M91" s="413"/>
      <c r="N91" s="413"/>
      <c r="O91" s="413"/>
      <c r="P91" s="413"/>
      <c r="Q91" s="413"/>
      <c r="R91" s="413"/>
      <c r="S91" s="413"/>
      <c r="T91" s="413"/>
      <c r="U91" s="832"/>
      <c r="V91" s="413"/>
      <c r="W91" s="413"/>
      <c r="X91" s="413"/>
      <c r="Y91" s="413"/>
      <c r="Z91" s="413"/>
      <c r="AA91" s="413"/>
      <c r="AB91" s="413"/>
      <c r="AC91" s="413"/>
      <c r="AD91" s="413"/>
      <c r="AE91" s="413"/>
      <c r="AF91" s="432"/>
      <c r="AG91" s="832"/>
      <c r="AH91" s="413"/>
      <c r="AI91" s="413"/>
      <c r="AJ91" s="413"/>
      <c r="AK91" s="413"/>
      <c r="AL91" s="413"/>
      <c r="AM91" s="413"/>
      <c r="AN91" s="413"/>
      <c r="AO91" s="413"/>
      <c r="AP91" s="413"/>
      <c r="AQ91" s="413"/>
      <c r="AR91" s="432"/>
    </row>
    <row r="92" spans="2:44" ht="18">
      <c r="B92" s="548"/>
      <c r="C92" s="1245" t="s">
        <v>299</v>
      </c>
      <c r="D92" s="1245"/>
      <c r="F92" s="549"/>
      <c r="G92" s="419"/>
      <c r="H92" s="416"/>
      <c r="I92" s="416"/>
      <c r="J92" s="416"/>
      <c r="K92" s="416"/>
      <c r="L92" s="416"/>
      <c r="M92" s="416"/>
      <c r="N92" s="416"/>
      <c r="O92" s="416"/>
      <c r="P92" s="416"/>
      <c r="Q92" s="416"/>
      <c r="R92" s="416"/>
      <c r="S92" s="416"/>
      <c r="T92" s="416"/>
      <c r="U92" s="822"/>
      <c r="V92" s="416"/>
      <c r="W92" s="416"/>
      <c r="X92" s="416"/>
      <c r="Y92" s="416"/>
      <c r="Z92" s="416"/>
      <c r="AA92" s="416"/>
      <c r="AB92" s="416"/>
      <c r="AC92" s="416"/>
      <c r="AD92" s="416"/>
      <c r="AE92" s="416"/>
      <c r="AF92" s="433"/>
      <c r="AG92" s="822"/>
      <c r="AH92" s="416"/>
      <c r="AI92" s="416"/>
      <c r="AJ92" s="416"/>
      <c r="AK92" s="416"/>
      <c r="AL92" s="416"/>
      <c r="AM92" s="416"/>
      <c r="AN92" s="416"/>
      <c r="AO92" s="416"/>
      <c r="AP92" s="416"/>
      <c r="AQ92" s="416"/>
      <c r="AR92" s="433"/>
    </row>
    <row r="93" spans="2:44">
      <c r="B93" s="548"/>
      <c r="F93" s="549"/>
      <c r="G93" s="417" t="s">
        <v>437</v>
      </c>
      <c r="H93" s="416"/>
      <c r="I93" s="418"/>
      <c r="J93" s="416"/>
      <c r="K93" s="416"/>
      <c r="L93" s="416"/>
      <c r="M93" s="416"/>
      <c r="N93" s="416"/>
      <c r="O93" s="416"/>
      <c r="P93" s="416"/>
      <c r="Q93" s="416"/>
      <c r="R93" s="416"/>
      <c r="S93" s="416"/>
      <c r="T93" s="416"/>
      <c r="U93" s="822"/>
      <c r="V93" s="416"/>
      <c r="W93" s="416"/>
      <c r="X93" s="416"/>
      <c r="Y93" s="416"/>
      <c r="Z93" s="416"/>
      <c r="AA93" s="416"/>
      <c r="AB93" s="416"/>
      <c r="AC93" s="416"/>
      <c r="AD93" s="416"/>
      <c r="AE93" s="416"/>
      <c r="AF93" s="433"/>
      <c r="AG93" s="822"/>
      <c r="AH93" s="416"/>
      <c r="AI93" s="416"/>
      <c r="AJ93" s="416"/>
      <c r="AK93" s="416"/>
      <c r="AL93" s="416"/>
      <c r="AM93" s="416"/>
      <c r="AN93" s="416"/>
      <c r="AO93" s="416"/>
      <c r="AP93" s="416"/>
      <c r="AQ93" s="416"/>
      <c r="AR93" s="433"/>
    </row>
    <row r="94" spans="2:44">
      <c r="B94" s="548"/>
      <c r="F94" s="549"/>
      <c r="G94" s="419" t="s">
        <v>423</v>
      </c>
      <c r="H94" s="416"/>
      <c r="I94" s="418"/>
      <c r="J94" s="420">
        <f>I97</f>
        <v>0</v>
      </c>
      <c r="K94" s="420">
        <f t="shared" ref="K94" si="230">J97</f>
        <v>0</v>
      </c>
      <c r="L94" s="420">
        <f t="shared" ref="L94" si="231">K97</f>
        <v>0</v>
      </c>
      <c r="M94" s="420">
        <f t="shared" ref="M94" si="232">L97</f>
        <v>0</v>
      </c>
      <c r="N94" s="420">
        <f t="shared" ref="N94" si="233">M97</f>
        <v>0</v>
      </c>
      <c r="O94" s="420">
        <f t="shared" ref="O94" si="234">N97</f>
        <v>0</v>
      </c>
      <c r="P94" s="420">
        <f t="shared" ref="P94" si="235">O97</f>
        <v>0</v>
      </c>
      <c r="Q94" s="420">
        <f t="shared" ref="Q94" si="236">P97</f>
        <v>0</v>
      </c>
      <c r="R94" s="420">
        <f t="shared" ref="R94" si="237">Q97</f>
        <v>0</v>
      </c>
      <c r="S94" s="420">
        <f t="shared" ref="S94" si="238">R97</f>
        <v>0</v>
      </c>
      <c r="T94" s="420">
        <f t="shared" ref="T94" si="239">S97</f>
        <v>0</v>
      </c>
      <c r="U94" s="823">
        <f t="shared" ref="U94" si="240">T97</f>
        <v>0</v>
      </c>
      <c r="V94" s="420">
        <f t="shared" ref="V94" si="241">U97</f>
        <v>0</v>
      </c>
      <c r="W94" s="420">
        <f t="shared" ref="W94" si="242">V97</f>
        <v>0</v>
      </c>
      <c r="X94" s="420">
        <f t="shared" ref="X94" si="243">W97</f>
        <v>0</v>
      </c>
      <c r="Y94" s="420">
        <f t="shared" ref="Y94" si="244">X97</f>
        <v>0</v>
      </c>
      <c r="Z94" s="420">
        <f t="shared" ref="Z94" si="245">Y97</f>
        <v>0</v>
      </c>
      <c r="AA94" s="420">
        <f t="shared" ref="AA94" si="246">Z97</f>
        <v>0</v>
      </c>
      <c r="AB94" s="420">
        <f t="shared" ref="AB94" si="247">AA97</f>
        <v>0</v>
      </c>
      <c r="AC94" s="420">
        <f t="shared" ref="AC94" si="248">AB97</f>
        <v>0</v>
      </c>
      <c r="AD94" s="420">
        <f t="shared" ref="AD94" si="249">AC97</f>
        <v>0</v>
      </c>
      <c r="AE94" s="420">
        <f t="shared" ref="AE94" si="250">AD97</f>
        <v>0</v>
      </c>
      <c r="AF94" s="434">
        <f t="shared" ref="AF94" si="251">AE97</f>
        <v>0</v>
      </c>
      <c r="AG94" s="841">
        <v>20</v>
      </c>
      <c r="AH94" s="420">
        <f t="shared" ref="AH94" si="252">AG97</f>
        <v>10</v>
      </c>
      <c r="AI94" s="420">
        <f t="shared" ref="AI94" si="253">AH97</f>
        <v>12.5</v>
      </c>
      <c r="AJ94" s="420">
        <f t="shared" ref="AJ94" si="254">AI97</f>
        <v>15</v>
      </c>
      <c r="AK94" s="420">
        <f t="shared" ref="AK94" si="255">AJ97</f>
        <v>18.75</v>
      </c>
      <c r="AL94" s="420">
        <f t="shared" ref="AL94" si="256">AK97</f>
        <v>22.5</v>
      </c>
      <c r="AM94" s="420">
        <f t="shared" ref="AM94" si="257">AL97</f>
        <v>27.5</v>
      </c>
      <c r="AN94" s="420">
        <f t="shared" ref="AN94" si="258">AM97</f>
        <v>32.5</v>
      </c>
      <c r="AO94" s="420">
        <f t="shared" ref="AO94" si="259">AN97</f>
        <v>41.25</v>
      </c>
      <c r="AP94" s="420">
        <f t="shared" ref="AP94" si="260">AO97</f>
        <v>41.25</v>
      </c>
      <c r="AQ94" s="420">
        <f t="shared" ref="AQ94" si="261">AP97</f>
        <v>32.5</v>
      </c>
      <c r="AR94" s="434">
        <f t="shared" ref="AR94" si="262">AQ97</f>
        <v>38.75</v>
      </c>
    </row>
    <row r="95" spans="2:44">
      <c r="B95" s="548"/>
      <c r="F95" s="549"/>
      <c r="G95" s="419" t="s">
        <v>424</v>
      </c>
      <c r="H95" s="416"/>
      <c r="I95" s="418">
        <f>-'Sales Forecast'!E51</f>
        <v>0</v>
      </c>
      <c r="J95" s="418">
        <f>-'Sales Forecast'!F51</f>
        <v>0</v>
      </c>
      <c r="K95" s="418">
        <f>-'Sales Forecast'!G51</f>
        <v>0</v>
      </c>
      <c r="L95" s="418">
        <f>-'Sales Forecast'!H51</f>
        <v>0</v>
      </c>
      <c r="M95" s="418">
        <f>-'Sales Forecast'!I51</f>
        <v>0</v>
      </c>
      <c r="N95" s="418">
        <f>-'Sales Forecast'!J51</f>
        <v>0</v>
      </c>
      <c r="O95" s="418">
        <f>-'Sales Forecast'!K51</f>
        <v>0</v>
      </c>
      <c r="P95" s="418">
        <f>-'Sales Forecast'!L51</f>
        <v>0</v>
      </c>
      <c r="Q95" s="418">
        <f>-'Sales Forecast'!M51</f>
        <v>0</v>
      </c>
      <c r="R95" s="418">
        <f>-'Sales Forecast'!N51</f>
        <v>0</v>
      </c>
      <c r="S95" s="418">
        <f>-'Sales Forecast'!O51</f>
        <v>0</v>
      </c>
      <c r="T95" s="418">
        <f>-'Sales Forecast'!P51</f>
        <v>0</v>
      </c>
      <c r="U95" s="825">
        <f>-'Sales Forecast'!Q51</f>
        <v>0</v>
      </c>
      <c r="V95" s="817">
        <f>-'Sales Forecast'!R51</f>
        <v>0</v>
      </c>
      <c r="W95" s="817">
        <f>-'Sales Forecast'!S51</f>
        <v>0</v>
      </c>
      <c r="X95" s="817">
        <f>-'Sales Forecast'!T51</f>
        <v>0</v>
      </c>
      <c r="Y95" s="817">
        <f>-'Sales Forecast'!U51</f>
        <v>0</v>
      </c>
      <c r="Z95" s="817">
        <f>-'Sales Forecast'!V51</f>
        <v>0</v>
      </c>
      <c r="AA95" s="817">
        <f>-'Sales Forecast'!W51</f>
        <v>0</v>
      </c>
      <c r="AB95" s="817">
        <f>-'Sales Forecast'!X51</f>
        <v>0</v>
      </c>
      <c r="AC95" s="817">
        <f>-'Sales Forecast'!Y51</f>
        <v>0</v>
      </c>
      <c r="AD95" s="817">
        <f>-'Sales Forecast'!Z51</f>
        <v>0</v>
      </c>
      <c r="AE95" s="817">
        <f>-'Sales Forecast'!AA51</f>
        <v>0</v>
      </c>
      <c r="AF95" s="437">
        <f>-'Sales Forecast'!AB51</f>
        <v>0</v>
      </c>
      <c r="AG95" s="825">
        <f>-'Sales Forecast'!AC51</f>
        <v>-10</v>
      </c>
      <c r="AH95" s="817">
        <f>-'Sales Forecast'!AD51</f>
        <v>-12</v>
      </c>
      <c r="AI95" s="817">
        <f>-'Sales Forecast'!AE51</f>
        <v>-15</v>
      </c>
      <c r="AJ95" s="817">
        <f>-'Sales Forecast'!AF51</f>
        <v>-18</v>
      </c>
      <c r="AK95" s="817">
        <f>-'Sales Forecast'!AG51</f>
        <v>-22</v>
      </c>
      <c r="AL95" s="817">
        <f>-'Sales Forecast'!AH51</f>
        <v>-26</v>
      </c>
      <c r="AM95" s="817">
        <f>-'Sales Forecast'!AI51</f>
        <v>-33</v>
      </c>
      <c r="AN95" s="817">
        <f>-'Sales Forecast'!AJ51</f>
        <v>-33</v>
      </c>
      <c r="AO95" s="817">
        <f>-'Sales Forecast'!AK51</f>
        <v>-26</v>
      </c>
      <c r="AP95" s="817">
        <f>-'Sales Forecast'!AL51</f>
        <v>-31</v>
      </c>
      <c r="AQ95" s="817">
        <f>-'Sales Forecast'!AM51</f>
        <v>-47</v>
      </c>
      <c r="AR95" s="437">
        <f>-'Sales Forecast'!AN51</f>
        <v>-53</v>
      </c>
    </row>
    <row r="96" spans="2:44">
      <c r="B96" s="548"/>
      <c r="F96" s="549"/>
      <c r="G96" s="419" t="s">
        <v>425</v>
      </c>
      <c r="H96" s="416"/>
      <c r="I96" s="421">
        <v>0</v>
      </c>
      <c r="J96" s="422" t="str">
        <f>I104</f>
        <v>0</v>
      </c>
      <c r="K96" s="422" t="str">
        <f t="shared" ref="K96" si="263">J104</f>
        <v>0</v>
      </c>
      <c r="L96" s="422" t="str">
        <f t="shared" ref="L96" si="264">K104</f>
        <v>0</v>
      </c>
      <c r="M96" s="422" t="str">
        <f t="shared" ref="M96" si="265">L104</f>
        <v>0</v>
      </c>
      <c r="N96" s="422" t="str">
        <f t="shared" ref="N96" si="266">M104</f>
        <v>0</v>
      </c>
      <c r="O96" s="422" t="str">
        <f t="shared" ref="O96" si="267">N104</f>
        <v>0</v>
      </c>
      <c r="P96" s="422" t="str">
        <f t="shared" ref="P96" si="268">O104</f>
        <v>0</v>
      </c>
      <c r="Q96" s="422" t="str">
        <f t="shared" ref="Q96" si="269">P104</f>
        <v>0</v>
      </c>
      <c r="R96" s="422" t="str">
        <f t="shared" ref="R96" si="270">Q104</f>
        <v>0</v>
      </c>
      <c r="S96" s="422" t="str">
        <f t="shared" ref="S96" si="271">R104</f>
        <v>0</v>
      </c>
      <c r="T96" s="422" t="str">
        <f t="shared" ref="T96" si="272">S104</f>
        <v>0</v>
      </c>
      <c r="U96" s="824" t="str">
        <f t="shared" ref="U96" si="273">T104</f>
        <v>0</v>
      </c>
      <c r="V96" s="422" t="str">
        <f t="shared" ref="V96" si="274">U104</f>
        <v>0</v>
      </c>
      <c r="W96" s="422" t="str">
        <f t="shared" ref="W96" si="275">V104</f>
        <v>0</v>
      </c>
      <c r="X96" s="422" t="str">
        <f t="shared" ref="X96" si="276">W104</f>
        <v>0</v>
      </c>
      <c r="Y96" s="422" t="str">
        <f t="shared" ref="Y96" si="277">X104</f>
        <v>0</v>
      </c>
      <c r="Z96" s="422" t="str">
        <f t="shared" ref="Z96" si="278">Y104</f>
        <v>0</v>
      </c>
      <c r="AA96" s="422" t="str">
        <f t="shared" ref="AA96" si="279">Z104</f>
        <v>0</v>
      </c>
      <c r="AB96" s="422" t="str">
        <f t="shared" ref="AB96" si="280">AA104</f>
        <v>0</v>
      </c>
      <c r="AC96" s="422" t="str">
        <f t="shared" ref="AC96" si="281">AB104</f>
        <v>0</v>
      </c>
      <c r="AD96" s="422" t="str">
        <f t="shared" ref="AD96" si="282">AC104</f>
        <v>0</v>
      </c>
      <c r="AE96" s="422" t="str">
        <f t="shared" ref="AE96" si="283">AD104</f>
        <v>0</v>
      </c>
      <c r="AF96" s="435" t="str">
        <f t="shared" ref="AF96" si="284">AE104</f>
        <v>0</v>
      </c>
      <c r="AG96" s="824">
        <f>0</f>
        <v>0</v>
      </c>
      <c r="AH96" s="422">
        <f t="shared" ref="AH96" si="285">AG104</f>
        <v>14.5</v>
      </c>
      <c r="AI96" s="422">
        <f t="shared" ref="AI96" si="286">AH104</f>
        <v>17.5</v>
      </c>
      <c r="AJ96" s="422">
        <f t="shared" ref="AJ96" si="287">AI104</f>
        <v>21.75</v>
      </c>
      <c r="AK96" s="422">
        <f t="shared" ref="AK96" si="288">AJ104</f>
        <v>25.75</v>
      </c>
      <c r="AL96" s="422">
        <f t="shared" ref="AL96" si="289">AK104</f>
        <v>31</v>
      </c>
      <c r="AM96" s="422">
        <f t="shared" ref="AM96" si="290">AL104</f>
        <v>38</v>
      </c>
      <c r="AN96" s="422">
        <f t="shared" ref="AN96" si="291">AM104</f>
        <v>41.75</v>
      </c>
      <c r="AO96" s="422">
        <f t="shared" ref="AO96" si="292">AN104</f>
        <v>26</v>
      </c>
      <c r="AP96" s="422">
        <f t="shared" ref="AP96" si="293">AO104</f>
        <v>22.25</v>
      </c>
      <c r="AQ96" s="422">
        <f t="shared" ref="AQ96" si="294">AP104</f>
        <v>53.25</v>
      </c>
      <c r="AR96" s="435">
        <f t="shared" ref="AR96" si="295">AQ104</f>
        <v>73</v>
      </c>
    </row>
    <row r="97" spans="2:44">
      <c r="B97" s="548"/>
      <c r="F97" s="549"/>
      <c r="G97" s="417" t="s">
        <v>426</v>
      </c>
      <c r="H97" s="423"/>
      <c r="I97" s="424">
        <f>SUM(I94:I96)</f>
        <v>0</v>
      </c>
      <c r="J97" s="424">
        <f>SUM(J94:J96)</f>
        <v>0</v>
      </c>
      <c r="K97" s="424">
        <f t="shared" ref="K97:AR97" si="296">SUM(K94:K96)</f>
        <v>0</v>
      </c>
      <c r="L97" s="424">
        <f t="shared" si="296"/>
        <v>0</v>
      </c>
      <c r="M97" s="424">
        <f t="shared" si="296"/>
        <v>0</v>
      </c>
      <c r="N97" s="424">
        <f t="shared" si="296"/>
        <v>0</v>
      </c>
      <c r="O97" s="424">
        <f t="shared" si="296"/>
        <v>0</v>
      </c>
      <c r="P97" s="424">
        <f t="shared" si="296"/>
        <v>0</v>
      </c>
      <c r="Q97" s="424">
        <f t="shared" si="296"/>
        <v>0</v>
      </c>
      <c r="R97" s="424">
        <f t="shared" si="296"/>
        <v>0</v>
      </c>
      <c r="S97" s="424">
        <f t="shared" si="296"/>
        <v>0</v>
      </c>
      <c r="T97" s="816">
        <f t="shared" si="296"/>
        <v>0</v>
      </c>
      <c r="U97" s="820">
        <f t="shared" si="296"/>
        <v>0</v>
      </c>
      <c r="V97" s="816">
        <f t="shared" si="296"/>
        <v>0</v>
      </c>
      <c r="W97" s="816">
        <f t="shared" si="296"/>
        <v>0</v>
      </c>
      <c r="X97" s="816">
        <f t="shared" si="296"/>
        <v>0</v>
      </c>
      <c r="Y97" s="816">
        <f t="shared" si="296"/>
        <v>0</v>
      </c>
      <c r="Z97" s="816">
        <f t="shared" si="296"/>
        <v>0</v>
      </c>
      <c r="AA97" s="816">
        <f t="shared" si="296"/>
        <v>0</v>
      </c>
      <c r="AB97" s="816">
        <f t="shared" si="296"/>
        <v>0</v>
      </c>
      <c r="AC97" s="816">
        <f t="shared" si="296"/>
        <v>0</v>
      </c>
      <c r="AD97" s="816">
        <f t="shared" si="296"/>
        <v>0</v>
      </c>
      <c r="AE97" s="816">
        <f t="shared" si="296"/>
        <v>0</v>
      </c>
      <c r="AF97" s="436">
        <f t="shared" si="296"/>
        <v>0</v>
      </c>
      <c r="AG97" s="820">
        <f t="shared" si="296"/>
        <v>10</v>
      </c>
      <c r="AH97" s="816">
        <f t="shared" si="296"/>
        <v>12.5</v>
      </c>
      <c r="AI97" s="816">
        <f t="shared" si="296"/>
        <v>15</v>
      </c>
      <c r="AJ97" s="816">
        <f t="shared" si="296"/>
        <v>18.75</v>
      </c>
      <c r="AK97" s="816">
        <f t="shared" si="296"/>
        <v>22.5</v>
      </c>
      <c r="AL97" s="816">
        <f t="shared" si="296"/>
        <v>27.5</v>
      </c>
      <c r="AM97" s="816">
        <f t="shared" si="296"/>
        <v>32.5</v>
      </c>
      <c r="AN97" s="816">
        <f t="shared" si="296"/>
        <v>41.25</v>
      </c>
      <c r="AO97" s="816">
        <f t="shared" si="296"/>
        <v>41.25</v>
      </c>
      <c r="AP97" s="816">
        <f t="shared" si="296"/>
        <v>32.5</v>
      </c>
      <c r="AQ97" s="816">
        <f t="shared" si="296"/>
        <v>38.75</v>
      </c>
      <c r="AR97" s="436">
        <f t="shared" si="296"/>
        <v>58.75</v>
      </c>
    </row>
    <row r="98" spans="2:44">
      <c r="B98" s="548"/>
      <c r="F98" s="549"/>
      <c r="G98" s="417"/>
      <c r="H98" s="423"/>
      <c r="I98" s="424"/>
      <c r="J98" s="424"/>
      <c r="K98" s="424"/>
      <c r="L98" s="424"/>
      <c r="M98" s="424"/>
      <c r="N98" s="424"/>
      <c r="O98" s="424"/>
      <c r="P98" s="424"/>
      <c r="Q98" s="424"/>
      <c r="R98" s="424"/>
      <c r="S98" s="424"/>
      <c r="T98" s="816"/>
      <c r="U98" s="820"/>
      <c r="V98" s="816"/>
      <c r="W98" s="816"/>
      <c r="X98" s="816"/>
      <c r="Y98" s="816"/>
      <c r="Z98" s="816"/>
      <c r="AA98" s="816"/>
      <c r="AB98" s="816"/>
      <c r="AC98" s="816"/>
      <c r="AD98" s="816"/>
      <c r="AE98" s="816"/>
      <c r="AF98" s="436"/>
      <c r="AG98" s="820"/>
      <c r="AH98" s="816"/>
      <c r="AI98" s="816"/>
      <c r="AJ98" s="816"/>
      <c r="AK98" s="816"/>
      <c r="AL98" s="816"/>
      <c r="AM98" s="816"/>
      <c r="AN98" s="816"/>
      <c r="AO98" s="816"/>
      <c r="AP98" s="816"/>
      <c r="AQ98" s="816"/>
      <c r="AR98" s="436"/>
    </row>
    <row r="99" spans="2:44">
      <c r="B99" s="548"/>
      <c r="F99" s="549"/>
      <c r="G99" s="417" t="s">
        <v>439</v>
      </c>
      <c r="H99" s="416"/>
      <c r="I99" s="418"/>
      <c r="J99" s="416"/>
      <c r="K99" s="416"/>
      <c r="L99" s="416"/>
      <c r="M99" s="416"/>
      <c r="N99" s="416"/>
      <c r="O99" s="416"/>
      <c r="P99" s="416"/>
      <c r="Q99" s="416"/>
      <c r="R99" s="416"/>
      <c r="S99" s="416"/>
      <c r="T99" s="416"/>
      <c r="U99" s="822"/>
      <c r="V99" s="416"/>
      <c r="W99" s="416"/>
      <c r="X99" s="416"/>
      <c r="Y99" s="416"/>
      <c r="Z99" s="416"/>
      <c r="AA99" s="416"/>
      <c r="AB99" s="416"/>
      <c r="AC99" s="416"/>
      <c r="AD99" s="416"/>
      <c r="AE99" s="416"/>
      <c r="AF99" s="433"/>
      <c r="AG99" s="822"/>
      <c r="AH99" s="416"/>
      <c r="AI99" s="416"/>
      <c r="AJ99" s="416"/>
      <c r="AK99" s="416"/>
      <c r="AL99" s="416"/>
      <c r="AM99" s="416"/>
      <c r="AN99" s="416"/>
      <c r="AO99" s="416"/>
      <c r="AP99" s="416"/>
      <c r="AQ99" s="416"/>
      <c r="AR99" s="433"/>
    </row>
    <row r="100" spans="2:44">
      <c r="B100" s="548"/>
      <c r="F100" s="549"/>
      <c r="G100" s="419" t="s">
        <v>427</v>
      </c>
      <c r="H100" s="416"/>
      <c r="I100" s="418">
        <f>-(I95+J95)</f>
        <v>0</v>
      </c>
      <c r="J100" s="418">
        <f t="shared" ref="J100" si="297">-(J95+K95)</f>
        <v>0</v>
      </c>
      <c r="K100" s="418">
        <f t="shared" ref="K100" si="298">-(K95+L95)</f>
        <v>0</v>
      </c>
      <c r="L100" s="418">
        <f t="shared" ref="L100" si="299">-(L95+M95)</f>
        <v>0</v>
      </c>
      <c r="M100" s="418">
        <f t="shared" ref="M100" si="300">-(M95+N95)</f>
        <v>0</v>
      </c>
      <c r="N100" s="418">
        <f t="shared" ref="N100" si="301">-(N95+O95)</f>
        <v>0</v>
      </c>
      <c r="O100" s="418">
        <f t="shared" ref="O100" si="302">-(O95+P95)</f>
        <v>0</v>
      </c>
      <c r="P100" s="418">
        <f t="shared" ref="P100" si="303">-(P95+Q95)</f>
        <v>0</v>
      </c>
      <c r="Q100" s="418">
        <f t="shared" ref="Q100" si="304">-(Q95+R95)</f>
        <v>0</v>
      </c>
      <c r="R100" s="418">
        <f t="shared" ref="R100" si="305">-(R95+S95)</f>
        <v>0</v>
      </c>
      <c r="S100" s="418">
        <f t="shared" ref="S100" si="306">-(S95+T95)</f>
        <v>0</v>
      </c>
      <c r="T100" s="817">
        <f t="shared" ref="T100" si="307">-(T95+U95)</f>
        <v>0</v>
      </c>
      <c r="U100" s="825">
        <f t="shared" ref="U100" si="308">-(U95+V95)</f>
        <v>0</v>
      </c>
      <c r="V100" s="817">
        <f t="shared" ref="V100" si="309">-(V95+W95)</f>
        <v>0</v>
      </c>
      <c r="W100" s="817">
        <f t="shared" ref="W100" si="310">-(W95+X95)</f>
        <v>0</v>
      </c>
      <c r="X100" s="817">
        <f t="shared" ref="X100" si="311">-(X95+Y95)</f>
        <v>0</v>
      </c>
      <c r="Y100" s="817">
        <f t="shared" ref="Y100" si="312">-(Y95+Z95)</f>
        <v>0</v>
      </c>
      <c r="Z100" s="817">
        <f t="shared" ref="Z100" si="313">-(Z95+AA95)</f>
        <v>0</v>
      </c>
      <c r="AA100" s="817">
        <f t="shared" ref="AA100" si="314">-(AA95+AB95)</f>
        <v>0</v>
      </c>
      <c r="AB100" s="817">
        <f t="shared" ref="AB100" si="315">-(AB95+AC95)</f>
        <v>0</v>
      </c>
      <c r="AC100" s="817">
        <f t="shared" ref="AC100" si="316">-(AC95+AD95)</f>
        <v>0</v>
      </c>
      <c r="AD100" s="817">
        <f t="shared" ref="AD100" si="317">-(AD95+AE95)</f>
        <v>0</v>
      </c>
      <c r="AE100" s="817">
        <f t="shared" ref="AE100" si="318">-(AE95+AF95)</f>
        <v>0</v>
      </c>
      <c r="AF100" s="437">
        <v>0</v>
      </c>
      <c r="AG100" s="825">
        <f t="shared" ref="AG100" si="319">-(AG95+AH95)</f>
        <v>22</v>
      </c>
      <c r="AH100" s="817">
        <f t="shared" ref="AH100" si="320">-(AH95+AI95)</f>
        <v>27</v>
      </c>
      <c r="AI100" s="817">
        <f t="shared" ref="AI100" si="321">-(AI95+AJ95)</f>
        <v>33</v>
      </c>
      <c r="AJ100" s="817">
        <f t="shared" ref="AJ100" si="322">-(AJ95+AK95)</f>
        <v>40</v>
      </c>
      <c r="AK100" s="817">
        <f t="shared" ref="AK100" si="323">-(AK95+AL95)</f>
        <v>48</v>
      </c>
      <c r="AL100" s="817">
        <f t="shared" ref="AL100" si="324">-(AL95+AM95)</f>
        <v>59</v>
      </c>
      <c r="AM100" s="817">
        <f t="shared" ref="AM100" si="325">-(AM95+AN95)</f>
        <v>66</v>
      </c>
      <c r="AN100" s="817">
        <f t="shared" ref="AN100" si="326">-(AN95+AO95)</f>
        <v>59</v>
      </c>
      <c r="AO100" s="817">
        <f t="shared" ref="AO100" si="327">-(AO95+AP95)</f>
        <v>57</v>
      </c>
      <c r="AP100" s="817">
        <f t="shared" ref="AP100" si="328">-(AP95+AQ95)</f>
        <v>78</v>
      </c>
      <c r="AQ100" s="817">
        <f t="shared" ref="AQ100" si="329">-(AQ95+AR95)</f>
        <v>100</v>
      </c>
      <c r="AR100" s="437">
        <f t="shared" ref="AR100" si="330">-(AR95+AS95)</f>
        <v>53</v>
      </c>
    </row>
    <row r="101" spans="2:44">
      <c r="B101" s="548"/>
      <c r="F101" s="549"/>
      <c r="G101" s="419" t="s">
        <v>428</v>
      </c>
      <c r="H101" s="416"/>
      <c r="I101" s="418">
        <f>I97</f>
        <v>0</v>
      </c>
      <c r="J101" s="418">
        <f t="shared" ref="J101:AR101" si="331">J97</f>
        <v>0</v>
      </c>
      <c r="K101" s="418">
        <f t="shared" si="331"/>
        <v>0</v>
      </c>
      <c r="L101" s="418">
        <f t="shared" si="331"/>
        <v>0</v>
      </c>
      <c r="M101" s="418">
        <f t="shared" si="331"/>
        <v>0</v>
      </c>
      <c r="N101" s="418">
        <f t="shared" si="331"/>
        <v>0</v>
      </c>
      <c r="O101" s="418">
        <f t="shared" si="331"/>
        <v>0</v>
      </c>
      <c r="P101" s="418">
        <f t="shared" si="331"/>
        <v>0</v>
      </c>
      <c r="Q101" s="418">
        <f t="shared" si="331"/>
        <v>0</v>
      </c>
      <c r="R101" s="418">
        <f t="shared" si="331"/>
        <v>0</v>
      </c>
      <c r="S101" s="418">
        <f t="shared" si="331"/>
        <v>0</v>
      </c>
      <c r="T101" s="817">
        <f t="shared" si="331"/>
        <v>0</v>
      </c>
      <c r="U101" s="825">
        <f t="shared" si="331"/>
        <v>0</v>
      </c>
      <c r="V101" s="817">
        <f t="shared" si="331"/>
        <v>0</v>
      </c>
      <c r="W101" s="817">
        <f t="shared" si="331"/>
        <v>0</v>
      </c>
      <c r="X101" s="817">
        <f t="shared" si="331"/>
        <v>0</v>
      </c>
      <c r="Y101" s="817">
        <f t="shared" si="331"/>
        <v>0</v>
      </c>
      <c r="Z101" s="817">
        <f t="shared" si="331"/>
        <v>0</v>
      </c>
      <c r="AA101" s="817">
        <f t="shared" si="331"/>
        <v>0</v>
      </c>
      <c r="AB101" s="817">
        <f t="shared" si="331"/>
        <v>0</v>
      </c>
      <c r="AC101" s="817">
        <f t="shared" si="331"/>
        <v>0</v>
      </c>
      <c r="AD101" s="817">
        <f t="shared" si="331"/>
        <v>0</v>
      </c>
      <c r="AE101" s="817">
        <f t="shared" si="331"/>
        <v>0</v>
      </c>
      <c r="AF101" s="437">
        <f t="shared" si="331"/>
        <v>0</v>
      </c>
      <c r="AG101" s="825">
        <f t="shared" si="331"/>
        <v>10</v>
      </c>
      <c r="AH101" s="817">
        <f t="shared" si="331"/>
        <v>12.5</v>
      </c>
      <c r="AI101" s="817">
        <f t="shared" si="331"/>
        <v>15</v>
      </c>
      <c r="AJ101" s="817">
        <f t="shared" si="331"/>
        <v>18.75</v>
      </c>
      <c r="AK101" s="817">
        <f t="shared" si="331"/>
        <v>22.5</v>
      </c>
      <c r="AL101" s="817">
        <f t="shared" si="331"/>
        <v>27.5</v>
      </c>
      <c r="AM101" s="817">
        <f t="shared" si="331"/>
        <v>32.5</v>
      </c>
      <c r="AN101" s="817">
        <f t="shared" si="331"/>
        <v>41.25</v>
      </c>
      <c r="AO101" s="817">
        <f t="shared" si="331"/>
        <v>41.25</v>
      </c>
      <c r="AP101" s="817">
        <f t="shared" si="331"/>
        <v>32.5</v>
      </c>
      <c r="AQ101" s="817">
        <f t="shared" si="331"/>
        <v>38.75</v>
      </c>
      <c r="AR101" s="437">
        <f t="shared" si="331"/>
        <v>58.75</v>
      </c>
    </row>
    <row r="102" spans="2:44">
      <c r="B102" s="548"/>
      <c r="F102" s="549"/>
      <c r="G102" s="419" t="s">
        <v>429</v>
      </c>
      <c r="H102" s="416"/>
      <c r="I102" s="418">
        <f>-I100+I101</f>
        <v>0</v>
      </c>
      <c r="J102" s="418">
        <f t="shared" ref="J102:AR102" si="332">-J100+J101</f>
        <v>0</v>
      </c>
      <c r="K102" s="418">
        <f t="shared" si="332"/>
        <v>0</v>
      </c>
      <c r="L102" s="418">
        <f t="shared" si="332"/>
        <v>0</v>
      </c>
      <c r="M102" s="418">
        <f t="shared" si="332"/>
        <v>0</v>
      </c>
      <c r="N102" s="418">
        <f t="shared" si="332"/>
        <v>0</v>
      </c>
      <c r="O102" s="418">
        <f t="shared" si="332"/>
        <v>0</v>
      </c>
      <c r="P102" s="418">
        <f t="shared" si="332"/>
        <v>0</v>
      </c>
      <c r="Q102" s="418">
        <f t="shared" si="332"/>
        <v>0</v>
      </c>
      <c r="R102" s="418">
        <f t="shared" si="332"/>
        <v>0</v>
      </c>
      <c r="S102" s="418">
        <f t="shared" si="332"/>
        <v>0</v>
      </c>
      <c r="T102" s="817">
        <f t="shared" si="332"/>
        <v>0</v>
      </c>
      <c r="U102" s="825">
        <f t="shared" si="332"/>
        <v>0</v>
      </c>
      <c r="V102" s="817">
        <f t="shared" si="332"/>
        <v>0</v>
      </c>
      <c r="W102" s="817">
        <f t="shared" si="332"/>
        <v>0</v>
      </c>
      <c r="X102" s="817">
        <f t="shared" si="332"/>
        <v>0</v>
      </c>
      <c r="Y102" s="817">
        <f t="shared" si="332"/>
        <v>0</v>
      </c>
      <c r="Z102" s="817">
        <f t="shared" si="332"/>
        <v>0</v>
      </c>
      <c r="AA102" s="817">
        <f t="shared" si="332"/>
        <v>0</v>
      </c>
      <c r="AB102" s="817">
        <f t="shared" si="332"/>
        <v>0</v>
      </c>
      <c r="AC102" s="817">
        <f t="shared" si="332"/>
        <v>0</v>
      </c>
      <c r="AD102" s="817">
        <f t="shared" si="332"/>
        <v>0</v>
      </c>
      <c r="AE102" s="817">
        <f t="shared" si="332"/>
        <v>0</v>
      </c>
      <c r="AF102" s="437">
        <f t="shared" si="332"/>
        <v>0</v>
      </c>
      <c r="AG102" s="825">
        <f t="shared" si="332"/>
        <v>-12</v>
      </c>
      <c r="AH102" s="817">
        <f t="shared" si="332"/>
        <v>-14.5</v>
      </c>
      <c r="AI102" s="817">
        <f t="shared" si="332"/>
        <v>-18</v>
      </c>
      <c r="AJ102" s="817">
        <f t="shared" si="332"/>
        <v>-21.25</v>
      </c>
      <c r="AK102" s="817">
        <f t="shared" si="332"/>
        <v>-25.5</v>
      </c>
      <c r="AL102" s="817">
        <f t="shared" si="332"/>
        <v>-31.5</v>
      </c>
      <c r="AM102" s="817">
        <f t="shared" si="332"/>
        <v>-33.5</v>
      </c>
      <c r="AN102" s="817">
        <f t="shared" si="332"/>
        <v>-17.75</v>
      </c>
      <c r="AO102" s="817">
        <f t="shared" si="332"/>
        <v>-15.75</v>
      </c>
      <c r="AP102" s="817">
        <f t="shared" si="332"/>
        <v>-45.5</v>
      </c>
      <c r="AQ102" s="817">
        <f t="shared" si="332"/>
        <v>-61.25</v>
      </c>
      <c r="AR102" s="437">
        <f t="shared" si="332"/>
        <v>5.75</v>
      </c>
    </row>
    <row r="103" spans="2:44">
      <c r="B103" s="548"/>
      <c r="F103" s="549"/>
      <c r="G103" s="419" t="s">
        <v>430</v>
      </c>
      <c r="H103" s="416"/>
      <c r="I103" s="418">
        <f t="shared" ref="I103:AF103" si="333">-I95*$H$47</f>
        <v>0</v>
      </c>
      <c r="J103" s="418">
        <f t="shared" si="333"/>
        <v>0</v>
      </c>
      <c r="K103" s="418">
        <f t="shared" si="333"/>
        <v>0</v>
      </c>
      <c r="L103" s="418">
        <f t="shared" si="333"/>
        <v>0</v>
      </c>
      <c r="M103" s="418">
        <f t="shared" si="333"/>
        <v>0</v>
      </c>
      <c r="N103" s="418">
        <f t="shared" si="333"/>
        <v>0</v>
      </c>
      <c r="O103" s="418">
        <f t="shared" si="333"/>
        <v>0</v>
      </c>
      <c r="P103" s="418">
        <f t="shared" si="333"/>
        <v>0</v>
      </c>
      <c r="Q103" s="418">
        <f t="shared" si="333"/>
        <v>0</v>
      </c>
      <c r="R103" s="418">
        <f t="shared" si="333"/>
        <v>0</v>
      </c>
      <c r="S103" s="418">
        <f t="shared" si="333"/>
        <v>0</v>
      </c>
      <c r="T103" s="817">
        <f t="shared" si="333"/>
        <v>0</v>
      </c>
      <c r="U103" s="825">
        <f t="shared" si="333"/>
        <v>0</v>
      </c>
      <c r="V103" s="817">
        <f t="shared" si="333"/>
        <v>0</v>
      </c>
      <c r="W103" s="817">
        <f t="shared" si="333"/>
        <v>0</v>
      </c>
      <c r="X103" s="817">
        <f t="shared" si="333"/>
        <v>0</v>
      </c>
      <c r="Y103" s="817">
        <f t="shared" si="333"/>
        <v>0</v>
      </c>
      <c r="Z103" s="817">
        <f t="shared" si="333"/>
        <v>0</v>
      </c>
      <c r="AA103" s="817">
        <f t="shared" si="333"/>
        <v>0</v>
      </c>
      <c r="AB103" s="817">
        <f t="shared" si="333"/>
        <v>0</v>
      </c>
      <c r="AC103" s="817">
        <f t="shared" si="333"/>
        <v>0</v>
      </c>
      <c r="AD103" s="817">
        <f t="shared" si="333"/>
        <v>0</v>
      </c>
      <c r="AE103" s="817">
        <f t="shared" si="333"/>
        <v>0</v>
      </c>
      <c r="AF103" s="437">
        <f t="shared" si="333"/>
        <v>0</v>
      </c>
      <c r="AG103" s="825">
        <f>-AG95*$H$90</f>
        <v>2.5</v>
      </c>
      <c r="AH103" s="817">
        <f t="shared" ref="AH103:AR103" si="334">-AH95*$H$90</f>
        <v>3</v>
      </c>
      <c r="AI103" s="817">
        <f t="shared" si="334"/>
        <v>3.75</v>
      </c>
      <c r="AJ103" s="817">
        <f t="shared" si="334"/>
        <v>4.5</v>
      </c>
      <c r="AK103" s="817">
        <f t="shared" si="334"/>
        <v>5.5</v>
      </c>
      <c r="AL103" s="817">
        <f t="shared" si="334"/>
        <v>6.5</v>
      </c>
      <c r="AM103" s="817">
        <f t="shared" si="334"/>
        <v>8.25</v>
      </c>
      <c r="AN103" s="817">
        <f t="shared" si="334"/>
        <v>8.25</v>
      </c>
      <c r="AO103" s="817">
        <f t="shared" si="334"/>
        <v>6.5</v>
      </c>
      <c r="AP103" s="817">
        <f t="shared" si="334"/>
        <v>7.75</v>
      </c>
      <c r="AQ103" s="817">
        <f t="shared" si="334"/>
        <v>11.75</v>
      </c>
      <c r="AR103" s="437">
        <f t="shared" si="334"/>
        <v>13.25</v>
      </c>
    </row>
    <row r="104" spans="2:44">
      <c r="B104" s="548"/>
      <c r="F104" s="549"/>
      <c r="G104" s="417" t="s">
        <v>431</v>
      </c>
      <c r="H104" s="423"/>
      <c r="I104" s="425" t="str">
        <f>IF((I103-I102)&lt;=0,"0",(I103-I102))</f>
        <v>0</v>
      </c>
      <c r="J104" s="425" t="str">
        <f t="shared" ref="J104:AQ104" si="335">IF((J103-J102)&lt;=0,"0",(J103-J102))</f>
        <v>0</v>
      </c>
      <c r="K104" s="425" t="str">
        <f t="shared" si="335"/>
        <v>0</v>
      </c>
      <c r="L104" s="425" t="str">
        <f t="shared" si="335"/>
        <v>0</v>
      </c>
      <c r="M104" s="425" t="str">
        <f t="shared" si="335"/>
        <v>0</v>
      </c>
      <c r="N104" s="425" t="str">
        <f t="shared" si="335"/>
        <v>0</v>
      </c>
      <c r="O104" s="425" t="str">
        <f t="shared" si="335"/>
        <v>0</v>
      </c>
      <c r="P104" s="425" t="str">
        <f t="shared" si="335"/>
        <v>0</v>
      </c>
      <c r="Q104" s="425" t="str">
        <f t="shared" si="335"/>
        <v>0</v>
      </c>
      <c r="R104" s="425" t="str">
        <f t="shared" si="335"/>
        <v>0</v>
      </c>
      <c r="S104" s="425" t="str">
        <f t="shared" si="335"/>
        <v>0</v>
      </c>
      <c r="T104" s="425" t="str">
        <f t="shared" si="335"/>
        <v>0</v>
      </c>
      <c r="U104" s="826" t="str">
        <f t="shared" si="335"/>
        <v>0</v>
      </c>
      <c r="V104" s="818" t="str">
        <f t="shared" si="335"/>
        <v>0</v>
      </c>
      <c r="W104" s="818" t="str">
        <f t="shared" si="335"/>
        <v>0</v>
      </c>
      <c r="X104" s="818" t="str">
        <f t="shared" si="335"/>
        <v>0</v>
      </c>
      <c r="Y104" s="818" t="str">
        <f t="shared" si="335"/>
        <v>0</v>
      </c>
      <c r="Z104" s="818" t="str">
        <f t="shared" si="335"/>
        <v>0</v>
      </c>
      <c r="AA104" s="818" t="str">
        <f t="shared" si="335"/>
        <v>0</v>
      </c>
      <c r="AB104" s="818" t="str">
        <f t="shared" si="335"/>
        <v>0</v>
      </c>
      <c r="AC104" s="818" t="str">
        <f t="shared" si="335"/>
        <v>0</v>
      </c>
      <c r="AD104" s="818" t="str">
        <f t="shared" si="335"/>
        <v>0</v>
      </c>
      <c r="AE104" s="818" t="str">
        <f t="shared" si="335"/>
        <v>0</v>
      </c>
      <c r="AF104" s="438" t="str">
        <f t="shared" si="335"/>
        <v>0</v>
      </c>
      <c r="AG104" s="826">
        <f t="shared" si="335"/>
        <v>14.5</v>
      </c>
      <c r="AH104" s="818">
        <f t="shared" si="335"/>
        <v>17.5</v>
      </c>
      <c r="AI104" s="818">
        <f t="shared" si="335"/>
        <v>21.75</v>
      </c>
      <c r="AJ104" s="818">
        <f t="shared" si="335"/>
        <v>25.75</v>
      </c>
      <c r="AK104" s="818">
        <f t="shared" si="335"/>
        <v>31</v>
      </c>
      <c r="AL104" s="818">
        <f t="shared" si="335"/>
        <v>38</v>
      </c>
      <c r="AM104" s="818">
        <f t="shared" si="335"/>
        <v>41.75</v>
      </c>
      <c r="AN104" s="818">
        <f t="shared" si="335"/>
        <v>26</v>
      </c>
      <c r="AO104" s="818">
        <f t="shared" si="335"/>
        <v>22.25</v>
      </c>
      <c r="AP104" s="818">
        <f t="shared" si="335"/>
        <v>53.25</v>
      </c>
      <c r="AQ104" s="818">
        <f t="shared" si="335"/>
        <v>73</v>
      </c>
      <c r="AR104" s="438">
        <f>IF((AR103-AR102)&lt;=0,"0",(AR103-AR102))</f>
        <v>7.5</v>
      </c>
    </row>
    <row r="105" spans="2:44">
      <c r="B105" s="548"/>
      <c r="F105" s="549"/>
      <c r="G105" s="419"/>
      <c r="H105" s="416"/>
      <c r="I105" s="426"/>
      <c r="J105" s="416"/>
      <c r="K105" s="416"/>
      <c r="L105" s="416"/>
      <c r="M105" s="416"/>
      <c r="N105" s="416"/>
      <c r="O105" s="416"/>
      <c r="P105" s="416"/>
      <c r="Q105" s="416"/>
      <c r="R105" s="416"/>
      <c r="S105" s="416"/>
      <c r="T105" s="416"/>
      <c r="U105" s="822"/>
      <c r="V105" s="416"/>
      <c r="W105" s="416"/>
      <c r="X105" s="416"/>
      <c r="Y105" s="416"/>
      <c r="Z105" s="416"/>
      <c r="AA105" s="416"/>
      <c r="AB105" s="416"/>
      <c r="AC105" s="416"/>
      <c r="AD105" s="416"/>
      <c r="AE105" s="416"/>
      <c r="AF105" s="433"/>
      <c r="AG105" s="822"/>
      <c r="AH105" s="416"/>
      <c r="AI105" s="416"/>
      <c r="AJ105" s="416"/>
      <c r="AK105" s="416"/>
      <c r="AL105" s="416"/>
      <c r="AM105" s="416"/>
      <c r="AN105" s="416"/>
      <c r="AO105" s="416"/>
      <c r="AP105" s="416"/>
      <c r="AQ105" s="416"/>
      <c r="AR105" s="433"/>
    </row>
    <row r="106" spans="2:44">
      <c r="B106" s="548"/>
      <c r="F106" s="549"/>
      <c r="G106" s="449" t="s">
        <v>432</v>
      </c>
      <c r="H106" s="428"/>
      <c r="I106" s="428">
        <f>'Pricing Model'!$G$15*I96</f>
        <v>0</v>
      </c>
      <c r="J106" s="416">
        <f>'Pricing Model'!$G$15*J96</f>
        <v>0</v>
      </c>
      <c r="K106" s="428">
        <f>'Pricing Model'!$G$15*K96</f>
        <v>0</v>
      </c>
      <c r="L106" s="428">
        <f>'Pricing Model'!$G$15*L96</f>
        <v>0</v>
      </c>
      <c r="M106" s="428">
        <f>'Pricing Model'!$G$15*M96</f>
        <v>0</v>
      </c>
      <c r="N106" s="428">
        <f>'Pricing Model'!$G$15*N96</f>
        <v>0</v>
      </c>
      <c r="O106" s="428">
        <f>'Pricing Model'!$G$15*O96</f>
        <v>0</v>
      </c>
      <c r="P106" s="428">
        <f>'Pricing Model'!$G$15*P96</f>
        <v>0</v>
      </c>
      <c r="Q106" s="428">
        <f>'Pricing Model'!$G$15*Q96</f>
        <v>0</v>
      </c>
      <c r="R106" s="428">
        <f>'Pricing Model'!$G$15*R96</f>
        <v>0</v>
      </c>
      <c r="S106" s="428">
        <f>'Pricing Model'!$G$15*S96</f>
        <v>0</v>
      </c>
      <c r="T106" s="428">
        <f>'Pricing Model'!$G$15*T96</f>
        <v>0</v>
      </c>
      <c r="U106" s="827">
        <f>'Pricing Model'!$G$35*U96</f>
        <v>0</v>
      </c>
      <c r="V106" s="428">
        <f>'Pricing Model'!$G$35*V96</f>
        <v>0</v>
      </c>
      <c r="W106" s="428">
        <f>'Pricing Model'!$G$35*W96</f>
        <v>0</v>
      </c>
      <c r="X106" s="428">
        <f>'Pricing Model'!$G$35*X96</f>
        <v>0</v>
      </c>
      <c r="Y106" s="428">
        <f>'Pricing Model'!$G$35*Y96</f>
        <v>0</v>
      </c>
      <c r="Z106" s="428">
        <f>'Pricing Model'!$G$35*Z96</f>
        <v>0</v>
      </c>
      <c r="AA106" s="428">
        <f>'Pricing Model'!$G$35*AA96</f>
        <v>0</v>
      </c>
      <c r="AB106" s="428">
        <f>'Pricing Model'!$G$35*AB96</f>
        <v>0</v>
      </c>
      <c r="AC106" s="428">
        <f>'Pricing Model'!$G$35*AC96</f>
        <v>0</v>
      </c>
      <c r="AD106" s="428">
        <f>'Pricing Model'!$G$35*AD96</f>
        <v>0</v>
      </c>
      <c r="AE106" s="428">
        <f>'Pricing Model'!$G$35*AE96</f>
        <v>0</v>
      </c>
      <c r="AF106" s="439">
        <f>'Pricing Model'!$G$35*AF96</f>
        <v>0</v>
      </c>
      <c r="AG106" s="827">
        <f>'Pricing Model'!$G$56*AG96</f>
        <v>0</v>
      </c>
      <c r="AH106" s="428">
        <f>'Pricing Model'!$G$56*AH96</f>
        <v>7616.8499999999995</v>
      </c>
      <c r="AI106" s="428">
        <f>'Pricing Model'!$G$56*AI96</f>
        <v>9192.75</v>
      </c>
      <c r="AJ106" s="428">
        <f>'Pricing Model'!$G$56*AJ96</f>
        <v>11425.275</v>
      </c>
      <c r="AK106" s="428">
        <f>'Pricing Model'!$G$56*AK96</f>
        <v>13526.474999999999</v>
      </c>
      <c r="AL106" s="428">
        <f>'Pricing Model'!$G$56*AL96</f>
        <v>16284.3</v>
      </c>
      <c r="AM106" s="428">
        <f>'Pricing Model'!$G$56*AM96</f>
        <v>19961.399999999998</v>
      </c>
      <c r="AN106" s="428">
        <f>'Pricing Model'!$G$56*AN96</f>
        <v>21931.274999999998</v>
      </c>
      <c r="AO106" s="428">
        <f>'Pricing Model'!$G$56*AO96</f>
        <v>13657.8</v>
      </c>
      <c r="AP106" s="428">
        <f>'Pricing Model'!$G$56*AP96</f>
        <v>11687.924999999999</v>
      </c>
      <c r="AQ106" s="428">
        <f>'Pricing Model'!$G$56*AQ96</f>
        <v>27972.224999999999</v>
      </c>
      <c r="AR106" s="439">
        <f>'Pricing Model'!$G$56*AR96</f>
        <v>38346.899999999994</v>
      </c>
    </row>
    <row r="107" spans="2:44" ht="16.2" thickBot="1">
      <c r="B107" s="550"/>
      <c r="C107" s="551"/>
      <c r="D107" s="551"/>
      <c r="E107" s="551"/>
      <c r="F107" s="552"/>
      <c r="G107" s="411" t="s">
        <v>440</v>
      </c>
      <c r="H107" s="429"/>
      <c r="I107" s="582">
        <f>I106</f>
        <v>0</v>
      </c>
      <c r="J107" s="583">
        <f>J106-I106</f>
        <v>0</v>
      </c>
      <c r="K107" s="583">
        <f>K106-J106</f>
        <v>0</v>
      </c>
      <c r="L107" s="583">
        <f t="shared" ref="L107" si="336">L106-K106</f>
        <v>0</v>
      </c>
      <c r="M107" s="583">
        <f t="shared" ref="M107" si="337">M106-L106</f>
        <v>0</v>
      </c>
      <c r="N107" s="583">
        <f>N106-M106</f>
        <v>0</v>
      </c>
      <c r="O107" s="583">
        <f t="shared" ref="O107" si="338">O106-N106</f>
        <v>0</v>
      </c>
      <c r="P107" s="583">
        <f t="shared" ref="P107" si="339">P106-O106</f>
        <v>0</v>
      </c>
      <c r="Q107" s="583">
        <f t="shared" ref="Q107" si="340">Q106-P106</f>
        <v>0</v>
      </c>
      <c r="R107" s="583">
        <f t="shared" ref="R107" si="341">R106-Q106</f>
        <v>0</v>
      </c>
      <c r="S107" s="583">
        <f t="shared" ref="S107" si="342">S106-R106</f>
        <v>0</v>
      </c>
      <c r="T107" s="583">
        <f t="shared" ref="T107" si="343">T106-S106</f>
        <v>0</v>
      </c>
      <c r="U107" s="828">
        <f t="shared" ref="U107" si="344">U106-T106</f>
        <v>0</v>
      </c>
      <c r="V107" s="583">
        <f t="shared" ref="V107" si="345">V106-U106</f>
        <v>0</v>
      </c>
      <c r="W107" s="583">
        <f t="shared" ref="W107" si="346">W106-V106</f>
        <v>0</v>
      </c>
      <c r="X107" s="583">
        <f t="shared" ref="X107" si="347">X106-W106</f>
        <v>0</v>
      </c>
      <c r="Y107" s="583">
        <f t="shared" ref="Y107" si="348">Y106-X106</f>
        <v>0</v>
      </c>
      <c r="Z107" s="583">
        <f t="shared" ref="Z107" si="349">Z106-Y106</f>
        <v>0</v>
      </c>
      <c r="AA107" s="583">
        <f t="shared" ref="AA107" si="350">AA106-Z106</f>
        <v>0</v>
      </c>
      <c r="AB107" s="583">
        <f t="shared" ref="AB107" si="351">AB106-AA106</f>
        <v>0</v>
      </c>
      <c r="AC107" s="583">
        <f t="shared" ref="AC107" si="352">AC106-AB106</f>
        <v>0</v>
      </c>
      <c r="AD107" s="583">
        <f t="shared" ref="AD107" si="353">AD106-AC106</f>
        <v>0</v>
      </c>
      <c r="AE107" s="583">
        <f t="shared" ref="AE107" si="354">AE106-AD106</f>
        <v>0</v>
      </c>
      <c r="AF107" s="584">
        <f t="shared" ref="AF107" si="355">AF106-AE106</f>
        <v>0</v>
      </c>
      <c r="AG107" s="828">
        <f t="shared" ref="AG107" si="356">AG106-AF106</f>
        <v>0</v>
      </c>
      <c r="AH107" s="583">
        <f t="shared" ref="AH107" si="357">AH106-AG106</f>
        <v>7616.8499999999995</v>
      </c>
      <c r="AI107" s="583">
        <f t="shared" ref="AI107" si="358">AI106-AH106</f>
        <v>1575.9000000000005</v>
      </c>
      <c r="AJ107" s="583">
        <f t="shared" ref="AJ107" si="359">AJ106-AI106</f>
        <v>2232.5249999999996</v>
      </c>
      <c r="AK107" s="583">
        <f t="shared" ref="AK107" si="360">AK106-AJ106</f>
        <v>2101.1999999999989</v>
      </c>
      <c r="AL107" s="583">
        <f t="shared" ref="AL107" si="361">AL106-AK106</f>
        <v>2757.8250000000007</v>
      </c>
      <c r="AM107" s="583">
        <f t="shared" ref="AM107" si="362">AM106-AL106</f>
        <v>3677.0999999999985</v>
      </c>
      <c r="AN107" s="583">
        <f t="shared" ref="AN107" si="363">AN106-AM106</f>
        <v>1969.875</v>
      </c>
      <c r="AO107" s="583">
        <f t="shared" ref="AO107" si="364">AO106-AN106</f>
        <v>-8273.4749999999985</v>
      </c>
      <c r="AP107" s="583">
        <f t="shared" ref="AP107" si="365">AP106-AO106</f>
        <v>-1969.875</v>
      </c>
      <c r="AQ107" s="583">
        <f t="shared" ref="AQ107" si="366">AQ106-AP106</f>
        <v>16284.3</v>
      </c>
      <c r="AR107" s="584">
        <f t="shared" ref="AR107" si="367">AR106-AQ106</f>
        <v>10374.674999999996</v>
      </c>
    </row>
    <row r="108" spans="2:44" s="2" customFormat="1" ht="16.2" thickTop="1">
      <c r="F108" s="443"/>
      <c r="G108" s="542"/>
      <c r="H108" s="543"/>
      <c r="I108" s="384"/>
      <c r="J108" s="384"/>
      <c r="K108" s="384"/>
      <c r="L108" s="384"/>
      <c r="M108" s="384"/>
      <c r="N108" s="384"/>
      <c r="O108" s="384"/>
      <c r="P108" s="384"/>
      <c r="Q108" s="384"/>
      <c r="R108" s="384"/>
      <c r="S108" s="384"/>
      <c r="T108" s="384"/>
      <c r="U108" s="835"/>
      <c r="V108" s="384"/>
      <c r="W108" s="384"/>
      <c r="X108" s="384"/>
      <c r="Y108" s="384"/>
      <c r="Z108" s="384"/>
      <c r="AA108" s="384"/>
      <c r="AB108" s="384"/>
      <c r="AC108" s="384"/>
      <c r="AD108" s="384"/>
      <c r="AE108" s="384"/>
      <c r="AF108" s="544"/>
      <c r="AG108" s="835"/>
      <c r="AH108" s="384"/>
      <c r="AI108" s="384"/>
      <c r="AJ108" s="384"/>
      <c r="AK108" s="384"/>
      <c r="AL108" s="384"/>
      <c r="AM108" s="384"/>
      <c r="AN108" s="384"/>
      <c r="AO108" s="384"/>
      <c r="AP108" s="384"/>
      <c r="AQ108" s="384"/>
      <c r="AR108" s="539"/>
    </row>
    <row r="109" spans="2:44">
      <c r="G109" s="535"/>
      <c r="H109" s="536"/>
      <c r="I109" s="537"/>
      <c r="J109" s="537"/>
      <c r="K109" s="537"/>
      <c r="L109" s="537"/>
      <c r="M109" s="537"/>
      <c r="N109" s="537"/>
      <c r="O109" s="537"/>
      <c r="P109" s="537"/>
      <c r="Q109" s="537"/>
      <c r="R109" s="537"/>
      <c r="S109" s="537"/>
      <c r="T109" s="537"/>
      <c r="U109" s="836"/>
      <c r="V109" s="537"/>
      <c r="W109" s="537"/>
      <c r="X109" s="537"/>
      <c r="Y109" s="537"/>
      <c r="Z109" s="537"/>
      <c r="AA109" s="537"/>
      <c r="AB109" s="537"/>
      <c r="AC109" s="537"/>
      <c r="AD109" s="537"/>
      <c r="AE109" s="537"/>
      <c r="AF109" s="538"/>
      <c r="AG109" s="836"/>
      <c r="AH109" s="537"/>
      <c r="AI109" s="537"/>
      <c r="AJ109" s="537"/>
      <c r="AK109" s="537"/>
      <c r="AL109" s="537"/>
      <c r="AM109" s="537"/>
      <c r="AN109" s="537"/>
      <c r="AO109" s="537"/>
      <c r="AP109" s="537"/>
      <c r="AQ109" s="537"/>
      <c r="AR109" s="538"/>
    </row>
    <row r="110" spans="2:44" ht="16.2" thickBot="1">
      <c r="G110" s="458"/>
      <c r="H110" s="2"/>
      <c r="I110" s="2"/>
      <c r="J110" s="2"/>
      <c r="K110" s="2"/>
      <c r="L110" s="2"/>
      <c r="M110" s="2"/>
      <c r="N110" s="2"/>
      <c r="O110" s="2"/>
      <c r="P110" s="2"/>
      <c r="Q110" s="2"/>
      <c r="R110" s="2"/>
      <c r="S110" s="2"/>
      <c r="T110" s="2"/>
      <c r="U110" s="837"/>
      <c r="V110" s="2"/>
      <c r="W110" s="2"/>
      <c r="X110" s="2"/>
      <c r="Y110" s="2"/>
      <c r="Z110" s="2"/>
      <c r="AA110" s="2"/>
      <c r="AB110" s="2"/>
      <c r="AC110" s="2"/>
      <c r="AD110" s="2"/>
      <c r="AE110" s="2"/>
      <c r="AF110" s="539"/>
      <c r="AG110" s="837"/>
      <c r="AH110" s="2"/>
      <c r="AI110" s="2"/>
      <c r="AJ110" s="2"/>
      <c r="AK110" s="2"/>
      <c r="AL110" s="2"/>
      <c r="AM110" s="2"/>
      <c r="AN110" s="2"/>
      <c r="AO110" s="2"/>
      <c r="AP110" s="2"/>
      <c r="AQ110" s="2"/>
      <c r="AR110" s="539"/>
    </row>
    <row r="111" spans="2:44" ht="16.2" thickTop="1">
      <c r="B111" s="545"/>
      <c r="C111" s="546"/>
      <c r="D111" s="546"/>
      <c r="E111" s="546"/>
      <c r="F111" s="547"/>
      <c r="G111" s="414" t="s">
        <v>433</v>
      </c>
      <c r="H111" s="410">
        <v>0.35</v>
      </c>
      <c r="I111" s="444"/>
      <c r="J111" s="444"/>
      <c r="K111" s="444"/>
      <c r="L111" s="444"/>
      <c r="M111" s="444"/>
      <c r="N111" s="444"/>
      <c r="O111" s="444"/>
      <c r="P111" s="444"/>
      <c r="Q111" s="444"/>
      <c r="R111" s="444"/>
      <c r="S111" s="444"/>
      <c r="T111" s="444"/>
      <c r="U111" s="831"/>
      <c r="V111" s="444"/>
      <c r="W111" s="444"/>
      <c r="X111" s="444"/>
      <c r="Y111" s="444"/>
      <c r="Z111" s="444"/>
      <c r="AA111" s="444"/>
      <c r="AB111" s="444"/>
      <c r="AC111" s="444"/>
      <c r="AD111" s="444"/>
      <c r="AE111" s="444"/>
      <c r="AF111" s="445"/>
      <c r="AG111" s="831"/>
      <c r="AH111" s="444"/>
      <c r="AI111" s="444"/>
      <c r="AJ111" s="444"/>
      <c r="AK111" s="444"/>
      <c r="AL111" s="444"/>
      <c r="AM111" s="444"/>
      <c r="AN111" s="444"/>
      <c r="AO111" s="444"/>
      <c r="AP111" s="444"/>
      <c r="AQ111" s="444"/>
      <c r="AR111" s="433"/>
    </row>
    <row r="112" spans="2:44">
      <c r="B112" s="548"/>
      <c r="F112" s="549"/>
      <c r="G112" s="411"/>
      <c r="H112" s="412"/>
      <c r="I112" s="413"/>
      <c r="J112" s="413"/>
      <c r="K112" s="413"/>
      <c r="L112" s="413"/>
      <c r="M112" s="413"/>
      <c r="N112" s="413"/>
      <c r="O112" s="413"/>
      <c r="P112" s="413"/>
      <c r="Q112" s="413"/>
      <c r="R112" s="413"/>
      <c r="S112" s="413"/>
      <c r="T112" s="413"/>
      <c r="U112" s="832"/>
      <c r="V112" s="413"/>
      <c r="W112" s="413"/>
      <c r="X112" s="413"/>
      <c r="Y112" s="413"/>
      <c r="Z112" s="413"/>
      <c r="AA112" s="413"/>
      <c r="AB112" s="413"/>
      <c r="AC112" s="413"/>
      <c r="AD112" s="413"/>
      <c r="AE112" s="413"/>
      <c r="AF112" s="432"/>
      <c r="AG112" s="832"/>
      <c r="AH112" s="413"/>
      <c r="AI112" s="413"/>
      <c r="AJ112" s="413"/>
      <c r="AK112" s="413"/>
      <c r="AL112" s="413"/>
      <c r="AM112" s="413"/>
      <c r="AN112" s="413"/>
      <c r="AO112" s="413"/>
      <c r="AP112" s="413"/>
      <c r="AQ112" s="413"/>
      <c r="AR112" s="432"/>
    </row>
    <row r="113" spans="2:44" ht="18">
      <c r="B113" s="548"/>
      <c r="C113" s="1245" t="s">
        <v>300</v>
      </c>
      <c r="D113" s="1245"/>
      <c r="F113" s="549"/>
      <c r="G113" s="419"/>
      <c r="H113" s="416"/>
      <c r="I113" s="416"/>
      <c r="J113" s="416"/>
      <c r="K113" s="416"/>
      <c r="L113" s="416"/>
      <c r="M113" s="416"/>
      <c r="N113" s="416"/>
      <c r="O113" s="416"/>
      <c r="P113" s="416"/>
      <c r="Q113" s="416"/>
      <c r="R113" s="416"/>
      <c r="S113" s="416"/>
      <c r="T113" s="416"/>
      <c r="U113" s="822"/>
      <c r="V113" s="416"/>
      <c r="W113" s="416"/>
      <c r="X113" s="416"/>
      <c r="Y113" s="416"/>
      <c r="Z113" s="416"/>
      <c r="AA113" s="416"/>
      <c r="AB113" s="416"/>
      <c r="AC113" s="416"/>
      <c r="AD113" s="416"/>
      <c r="AE113" s="416"/>
      <c r="AF113" s="433"/>
      <c r="AG113" s="822"/>
      <c r="AH113" s="416"/>
      <c r="AI113" s="416"/>
      <c r="AJ113" s="416"/>
      <c r="AK113" s="416"/>
      <c r="AL113" s="416"/>
      <c r="AM113" s="416"/>
      <c r="AN113" s="416"/>
      <c r="AO113" s="416"/>
      <c r="AP113" s="416"/>
      <c r="AQ113" s="416"/>
      <c r="AR113" s="433"/>
    </row>
    <row r="114" spans="2:44">
      <c r="B114" s="548"/>
      <c r="F114" s="549"/>
      <c r="G114" s="417" t="s">
        <v>437</v>
      </c>
      <c r="H114" s="416"/>
      <c r="I114" s="418"/>
      <c r="J114" s="416"/>
      <c r="K114" s="416"/>
      <c r="L114" s="416"/>
      <c r="M114" s="416"/>
      <c r="N114" s="416"/>
      <c r="O114" s="416"/>
      <c r="P114" s="416"/>
      <c r="Q114" s="416"/>
      <c r="R114" s="416"/>
      <c r="S114" s="416"/>
      <c r="T114" s="416"/>
      <c r="U114" s="822"/>
      <c r="V114" s="416"/>
      <c r="W114" s="416"/>
      <c r="X114" s="416"/>
      <c r="Y114" s="416"/>
      <c r="Z114" s="416"/>
      <c r="AA114" s="416"/>
      <c r="AB114" s="416"/>
      <c r="AC114" s="416"/>
      <c r="AD114" s="416"/>
      <c r="AE114" s="416"/>
      <c r="AF114" s="433"/>
      <c r="AG114" s="822"/>
      <c r="AH114" s="416"/>
      <c r="AI114" s="416"/>
      <c r="AJ114" s="416"/>
      <c r="AK114" s="416"/>
      <c r="AL114" s="416"/>
      <c r="AM114" s="416"/>
      <c r="AN114" s="416"/>
      <c r="AO114" s="416"/>
      <c r="AP114" s="416"/>
      <c r="AQ114" s="416"/>
      <c r="AR114" s="433"/>
    </row>
    <row r="115" spans="2:44">
      <c r="B115" s="548"/>
      <c r="F115" s="549"/>
      <c r="G115" s="419" t="s">
        <v>423</v>
      </c>
      <c r="H115" s="416"/>
      <c r="I115" s="418"/>
      <c r="J115" s="420">
        <f>I118</f>
        <v>0</v>
      </c>
      <c r="K115" s="420">
        <f t="shared" ref="K115" si="368">J118</f>
        <v>0</v>
      </c>
      <c r="L115" s="420">
        <f t="shared" ref="L115" si="369">K118</f>
        <v>0</v>
      </c>
      <c r="M115" s="420">
        <f t="shared" ref="M115" si="370">L118</f>
        <v>0</v>
      </c>
      <c r="N115" s="420">
        <f t="shared" ref="N115" si="371">M118</f>
        <v>0</v>
      </c>
      <c r="O115" s="420">
        <f t="shared" ref="O115" si="372">N118</f>
        <v>0</v>
      </c>
      <c r="P115" s="420">
        <f t="shared" ref="P115" si="373">O118</f>
        <v>0</v>
      </c>
      <c r="Q115" s="420">
        <f t="shared" ref="Q115" si="374">P118</f>
        <v>0</v>
      </c>
      <c r="R115" s="420">
        <f t="shared" ref="R115" si="375">Q118</f>
        <v>0</v>
      </c>
      <c r="S115" s="420">
        <f t="shared" ref="S115" si="376">R118</f>
        <v>0</v>
      </c>
      <c r="T115" s="420">
        <f t="shared" ref="T115" si="377">S118</f>
        <v>0</v>
      </c>
      <c r="U115" s="823">
        <f t="shared" ref="U115" si="378">T118</f>
        <v>0</v>
      </c>
      <c r="V115" s="420">
        <f t="shared" ref="V115" si="379">U118</f>
        <v>0</v>
      </c>
      <c r="W115" s="420">
        <f t="shared" ref="W115" si="380">V118</f>
        <v>0</v>
      </c>
      <c r="X115" s="420">
        <f t="shared" ref="X115" si="381">W118</f>
        <v>0</v>
      </c>
      <c r="Y115" s="420">
        <f t="shared" ref="Y115" si="382">X118</f>
        <v>0</v>
      </c>
      <c r="Z115" s="420">
        <f t="shared" ref="Z115" si="383">Y118</f>
        <v>0</v>
      </c>
      <c r="AA115" s="420">
        <f t="shared" ref="AA115" si="384">Z118</f>
        <v>0</v>
      </c>
      <c r="AB115" s="420">
        <f t="shared" ref="AB115" si="385">AA118</f>
        <v>0</v>
      </c>
      <c r="AC115" s="420">
        <f t="shared" ref="AC115" si="386">AB118</f>
        <v>0</v>
      </c>
      <c r="AD115" s="420">
        <f t="shared" ref="AD115" si="387">AC118</f>
        <v>0</v>
      </c>
      <c r="AE115" s="420">
        <f t="shared" ref="AE115" si="388">AD118</f>
        <v>0</v>
      </c>
      <c r="AF115" s="434">
        <f t="shared" ref="AF115" si="389">AE118</f>
        <v>0</v>
      </c>
      <c r="AG115" s="841">
        <v>30</v>
      </c>
      <c r="AH115" s="420">
        <f t="shared" ref="AH115" si="390">AG118</f>
        <v>5</v>
      </c>
      <c r="AI115" s="420">
        <f t="shared" ref="AI115" si="391">AH118</f>
        <v>33.75</v>
      </c>
      <c r="AJ115" s="420">
        <f t="shared" ref="AJ115" si="392">AI118</f>
        <v>37.799999999999997</v>
      </c>
      <c r="AK115" s="420">
        <f t="shared" ref="AK115" si="393">AJ118</f>
        <v>41.85</v>
      </c>
      <c r="AL115" s="420">
        <f t="shared" ref="AL115" si="394">AK118</f>
        <v>47.25</v>
      </c>
      <c r="AM115" s="420">
        <f t="shared" ref="AM115" si="395">AL118</f>
        <v>52.65</v>
      </c>
      <c r="AN115" s="420">
        <f t="shared" ref="AN115" si="396">AM118</f>
        <v>58.05</v>
      </c>
      <c r="AO115" s="420">
        <f t="shared" ref="AO115" si="397">AN118</f>
        <v>70.2</v>
      </c>
      <c r="AP115" s="420">
        <f t="shared" ref="AP115" si="398">AO118</f>
        <v>70.2</v>
      </c>
      <c r="AQ115" s="420">
        <f t="shared" ref="AQ115" si="399">AP118</f>
        <v>64.8</v>
      </c>
      <c r="AR115" s="434">
        <f t="shared" ref="AR115" si="400">AQ118</f>
        <v>71.55</v>
      </c>
    </row>
    <row r="116" spans="2:44">
      <c r="B116" s="548"/>
      <c r="F116" s="549"/>
      <c r="G116" s="419" t="s">
        <v>424</v>
      </c>
      <c r="H116" s="416"/>
      <c r="I116" s="418">
        <f>-'Sales Forecast'!E56</f>
        <v>0</v>
      </c>
      <c r="J116" s="418">
        <f>-'Sales Forecast'!F56</f>
        <v>0</v>
      </c>
      <c r="K116" s="418">
        <f>-'Sales Forecast'!G56</f>
        <v>0</v>
      </c>
      <c r="L116" s="418">
        <f>-'Sales Forecast'!H56</f>
        <v>0</v>
      </c>
      <c r="M116" s="418">
        <f>-'Sales Forecast'!I56</f>
        <v>0</v>
      </c>
      <c r="N116" s="418">
        <f>-'Sales Forecast'!J56</f>
        <v>0</v>
      </c>
      <c r="O116" s="418">
        <f>-'Sales Forecast'!K56</f>
        <v>0</v>
      </c>
      <c r="P116" s="418">
        <f>-'Sales Forecast'!L56</f>
        <v>0</v>
      </c>
      <c r="Q116" s="418">
        <f>-'Sales Forecast'!M56</f>
        <v>0</v>
      </c>
      <c r="R116" s="418">
        <f>-'Sales Forecast'!N56</f>
        <v>0</v>
      </c>
      <c r="S116" s="418">
        <f>-'Sales Forecast'!O56</f>
        <v>0</v>
      </c>
      <c r="T116" s="418">
        <f>-'Sales Forecast'!P56</f>
        <v>0</v>
      </c>
      <c r="U116" s="825">
        <f>-'Sales Forecast'!Q56</f>
        <v>0</v>
      </c>
      <c r="V116" s="817">
        <f>-'Sales Forecast'!R56</f>
        <v>0</v>
      </c>
      <c r="W116" s="817">
        <f>-'Sales Forecast'!S56</f>
        <v>0</v>
      </c>
      <c r="X116" s="817">
        <f>-'Sales Forecast'!T56</f>
        <v>0</v>
      </c>
      <c r="Y116" s="817">
        <f>-'Sales Forecast'!U56</f>
        <v>0</v>
      </c>
      <c r="Z116" s="817">
        <f>-'Sales Forecast'!V56</f>
        <v>0</v>
      </c>
      <c r="AA116" s="817">
        <f>-'Sales Forecast'!W56</f>
        <v>0</v>
      </c>
      <c r="AB116" s="817">
        <f>-'Sales Forecast'!X56</f>
        <v>0</v>
      </c>
      <c r="AC116" s="817">
        <f>-'Sales Forecast'!Y56</f>
        <v>0</v>
      </c>
      <c r="AD116" s="817">
        <f>-'Sales Forecast'!Z56</f>
        <v>0</v>
      </c>
      <c r="AE116" s="817">
        <f>-'Sales Forecast'!AA56</f>
        <v>0</v>
      </c>
      <c r="AF116" s="437">
        <f>-'Sales Forecast'!AB56</f>
        <v>0</v>
      </c>
      <c r="AG116" s="825">
        <f>-'Sales Forecast'!AC56</f>
        <v>-25</v>
      </c>
      <c r="AH116" s="817">
        <f>-'Sales Forecast'!AD56</f>
        <v>-28</v>
      </c>
      <c r="AI116" s="817">
        <f>-'Sales Forecast'!AE56</f>
        <v>-31</v>
      </c>
      <c r="AJ116" s="817">
        <f>-'Sales Forecast'!AF56</f>
        <v>-35</v>
      </c>
      <c r="AK116" s="817">
        <f>-'Sales Forecast'!AG56</f>
        <v>-39</v>
      </c>
      <c r="AL116" s="817">
        <f>-'Sales Forecast'!AH56</f>
        <v>-43</v>
      </c>
      <c r="AM116" s="817">
        <f>-'Sales Forecast'!AI56</f>
        <v>-52</v>
      </c>
      <c r="AN116" s="817">
        <f>-'Sales Forecast'!AJ56</f>
        <v>-52</v>
      </c>
      <c r="AO116" s="817">
        <f>-'Sales Forecast'!AK56</f>
        <v>-48</v>
      </c>
      <c r="AP116" s="817">
        <f>-'Sales Forecast'!AL56</f>
        <v>-53</v>
      </c>
      <c r="AQ116" s="817">
        <f>-'Sales Forecast'!AM56</f>
        <v>-83</v>
      </c>
      <c r="AR116" s="437">
        <f>-'Sales Forecast'!AN56</f>
        <v>-91</v>
      </c>
    </row>
    <row r="117" spans="2:44">
      <c r="B117" s="548"/>
      <c r="F117" s="549"/>
      <c r="G117" s="419" t="s">
        <v>425</v>
      </c>
      <c r="H117" s="416"/>
      <c r="I117" s="421">
        <v>0</v>
      </c>
      <c r="J117" s="422" t="str">
        <f>I125</f>
        <v>0</v>
      </c>
      <c r="K117" s="422" t="str">
        <f t="shared" ref="K117" si="401">J125</f>
        <v>0</v>
      </c>
      <c r="L117" s="422" t="str">
        <f t="shared" ref="L117" si="402">K125</f>
        <v>0</v>
      </c>
      <c r="M117" s="422" t="str">
        <f t="shared" ref="M117" si="403">L125</f>
        <v>0</v>
      </c>
      <c r="N117" s="422" t="str">
        <f t="shared" ref="N117" si="404">M125</f>
        <v>0</v>
      </c>
      <c r="O117" s="422" t="str">
        <f t="shared" ref="O117" si="405">N125</f>
        <v>0</v>
      </c>
      <c r="P117" s="422" t="str">
        <f t="shared" ref="P117" si="406">O125</f>
        <v>0</v>
      </c>
      <c r="Q117" s="422" t="str">
        <f t="shared" ref="Q117" si="407">P125</f>
        <v>0</v>
      </c>
      <c r="R117" s="422" t="str">
        <f t="shared" ref="R117" si="408">Q125</f>
        <v>0</v>
      </c>
      <c r="S117" s="422" t="str">
        <f t="shared" ref="S117" si="409">R125</f>
        <v>0</v>
      </c>
      <c r="T117" s="422" t="str">
        <f t="shared" ref="T117" si="410">S125</f>
        <v>0</v>
      </c>
      <c r="U117" s="824" t="str">
        <f t="shared" ref="U117" si="411">T125</f>
        <v>0</v>
      </c>
      <c r="V117" s="422" t="str">
        <f t="shared" ref="V117" si="412">U125</f>
        <v>0</v>
      </c>
      <c r="W117" s="422" t="str">
        <f t="shared" ref="W117" si="413">V125</f>
        <v>0</v>
      </c>
      <c r="X117" s="422" t="str">
        <f t="shared" ref="X117" si="414">W125</f>
        <v>0</v>
      </c>
      <c r="Y117" s="422" t="str">
        <f t="shared" ref="Y117" si="415">X125</f>
        <v>0</v>
      </c>
      <c r="Z117" s="422" t="str">
        <f t="shared" ref="Z117" si="416">Y125</f>
        <v>0</v>
      </c>
      <c r="AA117" s="422" t="str">
        <f t="shared" ref="AA117" si="417">Z125</f>
        <v>0</v>
      </c>
      <c r="AB117" s="422" t="str">
        <f t="shared" ref="AB117" si="418">AA125</f>
        <v>0</v>
      </c>
      <c r="AC117" s="422" t="str">
        <f t="shared" ref="AC117" si="419">AB125</f>
        <v>0</v>
      </c>
      <c r="AD117" s="422" t="str">
        <f t="shared" ref="AD117" si="420">AC125</f>
        <v>0</v>
      </c>
      <c r="AE117" s="422" t="str">
        <f t="shared" ref="AE117" si="421">AD125</f>
        <v>0</v>
      </c>
      <c r="AF117" s="435" t="str">
        <f t="shared" ref="AF117" si="422">AE125</f>
        <v>0</v>
      </c>
      <c r="AG117" s="824">
        <v>0</v>
      </c>
      <c r="AH117" s="422">
        <f t="shared" ref="AH117" si="423">AG125</f>
        <v>56.75</v>
      </c>
      <c r="AI117" s="422">
        <f t="shared" ref="AI117" si="424">AH125</f>
        <v>35.049999999999997</v>
      </c>
      <c r="AJ117" s="422">
        <f t="shared" ref="AJ117" si="425">AI125</f>
        <v>39.050000000000004</v>
      </c>
      <c r="AK117" s="422">
        <f t="shared" ref="AK117" si="426">AJ125</f>
        <v>44.4</v>
      </c>
      <c r="AL117" s="422">
        <f t="shared" ref="AL117" si="427">AK125</f>
        <v>48.4</v>
      </c>
      <c r="AM117" s="422">
        <f t="shared" ref="AM117" si="428">AL125</f>
        <v>57.4</v>
      </c>
      <c r="AN117" s="422">
        <f t="shared" ref="AN117" si="429">AM125</f>
        <v>64.150000000000006</v>
      </c>
      <c r="AO117" s="422">
        <f t="shared" ref="AO117" si="430">AN125</f>
        <v>48</v>
      </c>
      <c r="AP117" s="422">
        <f t="shared" ref="AP117" si="431">AO125</f>
        <v>47.599999999999994</v>
      </c>
      <c r="AQ117" s="422">
        <f t="shared" ref="AQ117" si="432">AP125</f>
        <v>89.75</v>
      </c>
      <c r="AR117" s="435">
        <f t="shared" ref="AR117" si="433">AQ125</f>
        <v>131.5</v>
      </c>
    </row>
    <row r="118" spans="2:44">
      <c r="B118" s="548"/>
      <c r="F118" s="549"/>
      <c r="G118" s="417" t="s">
        <v>426</v>
      </c>
      <c r="H118" s="423"/>
      <c r="I118" s="424">
        <f>SUM(I115:I117)</f>
        <v>0</v>
      </c>
      <c r="J118" s="424">
        <f>SUM(J115:J117)</f>
        <v>0</v>
      </c>
      <c r="K118" s="424">
        <f t="shared" ref="K118:AR118" si="434">SUM(K115:K117)</f>
        <v>0</v>
      </c>
      <c r="L118" s="424">
        <f t="shared" si="434"/>
        <v>0</v>
      </c>
      <c r="M118" s="424">
        <f t="shared" si="434"/>
        <v>0</v>
      </c>
      <c r="N118" s="424">
        <f t="shared" si="434"/>
        <v>0</v>
      </c>
      <c r="O118" s="424">
        <f t="shared" si="434"/>
        <v>0</v>
      </c>
      <c r="P118" s="424">
        <f t="shared" si="434"/>
        <v>0</v>
      </c>
      <c r="Q118" s="424">
        <f t="shared" si="434"/>
        <v>0</v>
      </c>
      <c r="R118" s="424">
        <f t="shared" si="434"/>
        <v>0</v>
      </c>
      <c r="S118" s="424">
        <f t="shared" si="434"/>
        <v>0</v>
      </c>
      <c r="T118" s="816">
        <f t="shared" si="434"/>
        <v>0</v>
      </c>
      <c r="U118" s="820">
        <f t="shared" si="434"/>
        <v>0</v>
      </c>
      <c r="V118" s="816">
        <f t="shared" si="434"/>
        <v>0</v>
      </c>
      <c r="W118" s="816">
        <f t="shared" si="434"/>
        <v>0</v>
      </c>
      <c r="X118" s="816">
        <f t="shared" si="434"/>
        <v>0</v>
      </c>
      <c r="Y118" s="816">
        <f t="shared" si="434"/>
        <v>0</v>
      </c>
      <c r="Z118" s="816">
        <f t="shared" si="434"/>
        <v>0</v>
      </c>
      <c r="AA118" s="816">
        <f t="shared" si="434"/>
        <v>0</v>
      </c>
      <c r="AB118" s="816">
        <f t="shared" si="434"/>
        <v>0</v>
      </c>
      <c r="AC118" s="816">
        <f t="shared" si="434"/>
        <v>0</v>
      </c>
      <c r="AD118" s="816">
        <f t="shared" si="434"/>
        <v>0</v>
      </c>
      <c r="AE118" s="816">
        <f t="shared" si="434"/>
        <v>0</v>
      </c>
      <c r="AF118" s="436">
        <f t="shared" si="434"/>
        <v>0</v>
      </c>
      <c r="AG118" s="820">
        <f t="shared" si="434"/>
        <v>5</v>
      </c>
      <c r="AH118" s="816">
        <f t="shared" si="434"/>
        <v>33.75</v>
      </c>
      <c r="AI118" s="816">
        <f t="shared" si="434"/>
        <v>37.799999999999997</v>
      </c>
      <c r="AJ118" s="816">
        <f t="shared" si="434"/>
        <v>41.85</v>
      </c>
      <c r="AK118" s="816">
        <f t="shared" si="434"/>
        <v>47.25</v>
      </c>
      <c r="AL118" s="816">
        <f t="shared" si="434"/>
        <v>52.65</v>
      </c>
      <c r="AM118" s="816">
        <f t="shared" si="434"/>
        <v>58.05</v>
      </c>
      <c r="AN118" s="816">
        <f t="shared" si="434"/>
        <v>70.2</v>
      </c>
      <c r="AO118" s="816">
        <f t="shared" si="434"/>
        <v>70.2</v>
      </c>
      <c r="AP118" s="816">
        <f t="shared" si="434"/>
        <v>64.8</v>
      </c>
      <c r="AQ118" s="816">
        <f t="shared" si="434"/>
        <v>71.55</v>
      </c>
      <c r="AR118" s="436">
        <f t="shared" si="434"/>
        <v>112.05</v>
      </c>
    </row>
    <row r="119" spans="2:44">
      <c r="B119" s="548"/>
      <c r="F119" s="549"/>
      <c r="G119" s="417"/>
      <c r="H119" s="423"/>
      <c r="I119" s="424"/>
      <c r="J119" s="424"/>
      <c r="K119" s="424"/>
      <c r="L119" s="424"/>
      <c r="M119" s="424"/>
      <c r="N119" s="424"/>
      <c r="O119" s="424"/>
      <c r="P119" s="424"/>
      <c r="Q119" s="424"/>
      <c r="R119" s="424"/>
      <c r="S119" s="424"/>
      <c r="T119" s="816"/>
      <c r="U119" s="820"/>
      <c r="V119" s="816"/>
      <c r="W119" s="816"/>
      <c r="X119" s="816"/>
      <c r="Y119" s="816"/>
      <c r="Z119" s="816"/>
      <c r="AA119" s="816"/>
      <c r="AB119" s="816"/>
      <c r="AC119" s="816"/>
      <c r="AD119" s="816"/>
      <c r="AE119" s="816"/>
      <c r="AF119" s="436"/>
      <c r="AG119" s="820"/>
      <c r="AH119" s="816"/>
      <c r="AI119" s="816"/>
      <c r="AJ119" s="816"/>
      <c r="AK119" s="816"/>
      <c r="AL119" s="816"/>
      <c r="AM119" s="816"/>
      <c r="AN119" s="816"/>
      <c r="AO119" s="816"/>
      <c r="AP119" s="816"/>
      <c r="AQ119" s="816"/>
      <c r="AR119" s="436"/>
    </row>
    <row r="120" spans="2:44">
      <c r="B120" s="548"/>
      <c r="F120" s="549"/>
      <c r="G120" s="417" t="s">
        <v>439</v>
      </c>
      <c r="H120" s="416"/>
      <c r="I120" s="418"/>
      <c r="J120" s="416"/>
      <c r="K120" s="416"/>
      <c r="L120" s="416"/>
      <c r="M120" s="416"/>
      <c r="N120" s="416"/>
      <c r="O120" s="416"/>
      <c r="P120" s="416"/>
      <c r="Q120" s="416"/>
      <c r="R120" s="416"/>
      <c r="S120" s="416"/>
      <c r="T120" s="416"/>
      <c r="U120" s="822"/>
      <c r="V120" s="416"/>
      <c r="W120" s="416"/>
      <c r="X120" s="416"/>
      <c r="Y120" s="416"/>
      <c r="Z120" s="416"/>
      <c r="AA120" s="416"/>
      <c r="AB120" s="416"/>
      <c r="AC120" s="416"/>
      <c r="AD120" s="416"/>
      <c r="AE120" s="416"/>
      <c r="AF120" s="433"/>
      <c r="AG120" s="822"/>
      <c r="AH120" s="416"/>
      <c r="AI120" s="416"/>
      <c r="AJ120" s="416"/>
      <c r="AK120" s="416"/>
      <c r="AL120" s="416"/>
      <c r="AM120" s="416"/>
      <c r="AN120" s="416"/>
      <c r="AO120" s="416"/>
      <c r="AP120" s="416"/>
      <c r="AQ120" s="416"/>
      <c r="AR120" s="433"/>
    </row>
    <row r="121" spans="2:44">
      <c r="B121" s="548"/>
      <c r="F121" s="549"/>
      <c r="G121" s="419" t="s">
        <v>427</v>
      </c>
      <c r="H121" s="416"/>
      <c r="I121" s="418">
        <f>-(I116+J116)</f>
        <v>0</v>
      </c>
      <c r="J121" s="418">
        <f t="shared" ref="J121" si="435">-(J116+K116)</f>
        <v>0</v>
      </c>
      <c r="K121" s="418">
        <f t="shared" ref="K121" si="436">-(K116+L116)</f>
        <v>0</v>
      </c>
      <c r="L121" s="418">
        <f t="shared" ref="L121" si="437">-(L116+M116)</f>
        <v>0</v>
      </c>
      <c r="M121" s="418">
        <f t="shared" ref="M121" si="438">-(M116+N116)</f>
        <v>0</v>
      </c>
      <c r="N121" s="418">
        <f t="shared" ref="N121" si="439">-(N116+O116)</f>
        <v>0</v>
      </c>
      <c r="O121" s="418">
        <f t="shared" ref="O121" si="440">-(O116+P116)</f>
        <v>0</v>
      </c>
      <c r="P121" s="418">
        <f t="shared" ref="P121" si="441">-(P116+Q116)</f>
        <v>0</v>
      </c>
      <c r="Q121" s="418">
        <f t="shared" ref="Q121" si="442">-(Q116+R116)</f>
        <v>0</v>
      </c>
      <c r="R121" s="418">
        <f t="shared" ref="R121" si="443">-(R116+S116)</f>
        <v>0</v>
      </c>
      <c r="S121" s="418">
        <f t="shared" ref="S121" si="444">-(S116+T116)</f>
        <v>0</v>
      </c>
      <c r="T121" s="817">
        <f t="shared" ref="T121" si="445">-(T116+U116)</f>
        <v>0</v>
      </c>
      <c r="U121" s="825">
        <f t="shared" ref="U121" si="446">-(U116+V116)</f>
        <v>0</v>
      </c>
      <c r="V121" s="817">
        <f t="shared" ref="V121" si="447">-(V116+W116)</f>
        <v>0</v>
      </c>
      <c r="W121" s="817">
        <f t="shared" ref="W121" si="448">-(W116+X116)</f>
        <v>0</v>
      </c>
      <c r="X121" s="817">
        <f t="shared" ref="X121" si="449">-(X116+Y116)</f>
        <v>0</v>
      </c>
      <c r="Y121" s="817">
        <f t="shared" ref="Y121" si="450">-(Y116+Z116)</f>
        <v>0</v>
      </c>
      <c r="Z121" s="817">
        <f t="shared" ref="Z121" si="451">-(Z116+AA116)</f>
        <v>0</v>
      </c>
      <c r="AA121" s="817">
        <f t="shared" ref="AA121" si="452">-(AA116+AB116)</f>
        <v>0</v>
      </c>
      <c r="AB121" s="817">
        <f t="shared" ref="AB121" si="453">-(AB116+AC116)</f>
        <v>0</v>
      </c>
      <c r="AC121" s="817">
        <f t="shared" ref="AC121" si="454">-(AC116+AD116)</f>
        <v>0</v>
      </c>
      <c r="AD121" s="817">
        <f t="shared" ref="AD121" si="455">-(AD116+AE116)</f>
        <v>0</v>
      </c>
      <c r="AE121" s="817">
        <f t="shared" ref="AE121" si="456">-(AE116+AF116)</f>
        <v>0</v>
      </c>
      <c r="AF121" s="437">
        <v>0</v>
      </c>
      <c r="AG121" s="825">
        <f t="shared" ref="AG121" si="457">-(AG116+AH116)</f>
        <v>53</v>
      </c>
      <c r="AH121" s="817">
        <f t="shared" ref="AH121" si="458">-(AH116+AI116)</f>
        <v>59</v>
      </c>
      <c r="AI121" s="817">
        <f t="shared" ref="AI121" si="459">-(AI116+AJ116)</f>
        <v>66</v>
      </c>
      <c r="AJ121" s="817">
        <f t="shared" ref="AJ121" si="460">-(AJ116+AK116)</f>
        <v>74</v>
      </c>
      <c r="AK121" s="817">
        <f t="shared" ref="AK121" si="461">-(AK116+AL116)</f>
        <v>82</v>
      </c>
      <c r="AL121" s="817">
        <f t="shared" ref="AL121" si="462">-(AL116+AM116)</f>
        <v>95</v>
      </c>
      <c r="AM121" s="817">
        <f t="shared" ref="AM121" si="463">-(AM116+AN116)</f>
        <v>104</v>
      </c>
      <c r="AN121" s="817">
        <f t="shared" ref="AN121" si="464">-(AN116+AO116)</f>
        <v>100</v>
      </c>
      <c r="AO121" s="817">
        <f t="shared" ref="AO121" si="465">-(AO116+AP116)</f>
        <v>101</v>
      </c>
      <c r="AP121" s="817">
        <f t="shared" ref="AP121" si="466">-(AP116+AQ116)</f>
        <v>136</v>
      </c>
      <c r="AQ121" s="817">
        <f t="shared" ref="AQ121" si="467">-(AQ116+AR116)</f>
        <v>174</v>
      </c>
      <c r="AR121" s="437">
        <f t="shared" ref="AR121" si="468">-(AR116+AS116)</f>
        <v>91</v>
      </c>
    </row>
    <row r="122" spans="2:44">
      <c r="B122" s="548"/>
      <c r="F122" s="549"/>
      <c r="G122" s="419" t="s">
        <v>428</v>
      </c>
      <c r="H122" s="416"/>
      <c r="I122" s="418">
        <f>I118</f>
        <v>0</v>
      </c>
      <c r="J122" s="418">
        <f t="shared" ref="J122:AR122" si="469">J118</f>
        <v>0</v>
      </c>
      <c r="K122" s="418">
        <f t="shared" si="469"/>
        <v>0</v>
      </c>
      <c r="L122" s="418">
        <f t="shared" si="469"/>
        <v>0</v>
      </c>
      <c r="M122" s="418">
        <f t="shared" si="469"/>
        <v>0</v>
      </c>
      <c r="N122" s="418">
        <f t="shared" si="469"/>
        <v>0</v>
      </c>
      <c r="O122" s="418">
        <f t="shared" si="469"/>
        <v>0</v>
      </c>
      <c r="P122" s="418">
        <f t="shared" si="469"/>
        <v>0</v>
      </c>
      <c r="Q122" s="418">
        <f t="shared" si="469"/>
        <v>0</v>
      </c>
      <c r="R122" s="418">
        <f t="shared" si="469"/>
        <v>0</v>
      </c>
      <c r="S122" s="418">
        <f t="shared" si="469"/>
        <v>0</v>
      </c>
      <c r="T122" s="817">
        <f t="shared" si="469"/>
        <v>0</v>
      </c>
      <c r="U122" s="825">
        <f t="shared" si="469"/>
        <v>0</v>
      </c>
      <c r="V122" s="817">
        <f t="shared" si="469"/>
        <v>0</v>
      </c>
      <c r="W122" s="817">
        <f t="shared" si="469"/>
        <v>0</v>
      </c>
      <c r="X122" s="817">
        <f t="shared" si="469"/>
        <v>0</v>
      </c>
      <c r="Y122" s="817">
        <f t="shared" si="469"/>
        <v>0</v>
      </c>
      <c r="Z122" s="817">
        <f t="shared" si="469"/>
        <v>0</v>
      </c>
      <c r="AA122" s="817">
        <f t="shared" si="469"/>
        <v>0</v>
      </c>
      <c r="AB122" s="817">
        <f t="shared" si="469"/>
        <v>0</v>
      </c>
      <c r="AC122" s="817">
        <f t="shared" si="469"/>
        <v>0</v>
      </c>
      <c r="AD122" s="817">
        <f t="shared" si="469"/>
        <v>0</v>
      </c>
      <c r="AE122" s="817">
        <f t="shared" si="469"/>
        <v>0</v>
      </c>
      <c r="AF122" s="437">
        <f t="shared" si="469"/>
        <v>0</v>
      </c>
      <c r="AG122" s="825">
        <f t="shared" si="469"/>
        <v>5</v>
      </c>
      <c r="AH122" s="817">
        <f t="shared" si="469"/>
        <v>33.75</v>
      </c>
      <c r="AI122" s="817">
        <f t="shared" si="469"/>
        <v>37.799999999999997</v>
      </c>
      <c r="AJ122" s="817">
        <f t="shared" si="469"/>
        <v>41.85</v>
      </c>
      <c r="AK122" s="817">
        <f t="shared" si="469"/>
        <v>47.25</v>
      </c>
      <c r="AL122" s="817">
        <f t="shared" si="469"/>
        <v>52.65</v>
      </c>
      <c r="AM122" s="817">
        <f t="shared" si="469"/>
        <v>58.05</v>
      </c>
      <c r="AN122" s="817">
        <f t="shared" si="469"/>
        <v>70.2</v>
      </c>
      <c r="AO122" s="817">
        <f t="shared" si="469"/>
        <v>70.2</v>
      </c>
      <c r="AP122" s="817">
        <f t="shared" si="469"/>
        <v>64.8</v>
      </c>
      <c r="AQ122" s="817">
        <f t="shared" si="469"/>
        <v>71.55</v>
      </c>
      <c r="AR122" s="437">
        <f t="shared" si="469"/>
        <v>112.05</v>
      </c>
    </row>
    <row r="123" spans="2:44">
      <c r="B123" s="548"/>
      <c r="F123" s="549"/>
      <c r="G123" s="419" t="s">
        <v>429</v>
      </c>
      <c r="H123" s="416"/>
      <c r="I123" s="418">
        <f>-I121+I122</f>
        <v>0</v>
      </c>
      <c r="J123" s="418">
        <f t="shared" ref="J123:AR123" si="470">-J121+J122</f>
        <v>0</v>
      </c>
      <c r="K123" s="418">
        <f t="shared" si="470"/>
        <v>0</v>
      </c>
      <c r="L123" s="418">
        <f t="shared" si="470"/>
        <v>0</v>
      </c>
      <c r="M123" s="418">
        <f t="shared" si="470"/>
        <v>0</v>
      </c>
      <c r="N123" s="418">
        <f t="shared" si="470"/>
        <v>0</v>
      </c>
      <c r="O123" s="418">
        <f t="shared" si="470"/>
        <v>0</v>
      </c>
      <c r="P123" s="418">
        <f t="shared" si="470"/>
        <v>0</v>
      </c>
      <c r="Q123" s="418">
        <f t="shared" si="470"/>
        <v>0</v>
      </c>
      <c r="R123" s="418">
        <f t="shared" si="470"/>
        <v>0</v>
      </c>
      <c r="S123" s="418">
        <f t="shared" si="470"/>
        <v>0</v>
      </c>
      <c r="T123" s="817">
        <f t="shared" si="470"/>
        <v>0</v>
      </c>
      <c r="U123" s="825">
        <f t="shared" si="470"/>
        <v>0</v>
      </c>
      <c r="V123" s="817">
        <f t="shared" si="470"/>
        <v>0</v>
      </c>
      <c r="W123" s="817">
        <f t="shared" si="470"/>
        <v>0</v>
      </c>
      <c r="X123" s="817">
        <f t="shared" si="470"/>
        <v>0</v>
      </c>
      <c r="Y123" s="817">
        <f t="shared" si="470"/>
        <v>0</v>
      </c>
      <c r="Z123" s="817">
        <f t="shared" si="470"/>
        <v>0</v>
      </c>
      <c r="AA123" s="817">
        <f t="shared" si="470"/>
        <v>0</v>
      </c>
      <c r="AB123" s="817">
        <f t="shared" si="470"/>
        <v>0</v>
      </c>
      <c r="AC123" s="817">
        <f t="shared" si="470"/>
        <v>0</v>
      </c>
      <c r="AD123" s="817">
        <f t="shared" si="470"/>
        <v>0</v>
      </c>
      <c r="AE123" s="817">
        <f t="shared" si="470"/>
        <v>0</v>
      </c>
      <c r="AF123" s="437">
        <f t="shared" si="470"/>
        <v>0</v>
      </c>
      <c r="AG123" s="825">
        <f t="shared" si="470"/>
        <v>-48</v>
      </c>
      <c r="AH123" s="817">
        <f t="shared" si="470"/>
        <v>-25.25</v>
      </c>
      <c r="AI123" s="817">
        <f t="shared" si="470"/>
        <v>-28.200000000000003</v>
      </c>
      <c r="AJ123" s="817">
        <f t="shared" si="470"/>
        <v>-32.15</v>
      </c>
      <c r="AK123" s="817">
        <f t="shared" si="470"/>
        <v>-34.75</v>
      </c>
      <c r="AL123" s="817">
        <f t="shared" si="470"/>
        <v>-42.35</v>
      </c>
      <c r="AM123" s="817">
        <f t="shared" si="470"/>
        <v>-45.95</v>
      </c>
      <c r="AN123" s="817">
        <f t="shared" si="470"/>
        <v>-29.799999999999997</v>
      </c>
      <c r="AO123" s="817">
        <f t="shared" si="470"/>
        <v>-30.799999999999997</v>
      </c>
      <c r="AP123" s="817">
        <f t="shared" si="470"/>
        <v>-71.2</v>
      </c>
      <c r="AQ123" s="817">
        <f t="shared" si="470"/>
        <v>-102.45</v>
      </c>
      <c r="AR123" s="437">
        <f t="shared" si="470"/>
        <v>21.049999999999997</v>
      </c>
    </row>
    <row r="124" spans="2:44">
      <c r="B124" s="548"/>
      <c r="F124" s="549"/>
      <c r="G124" s="419" t="s">
        <v>430</v>
      </c>
      <c r="H124" s="416"/>
      <c r="I124" s="418">
        <f t="shared" ref="I124:AF124" si="471">-I116*$H$47</f>
        <v>0</v>
      </c>
      <c r="J124" s="418">
        <f t="shared" si="471"/>
        <v>0</v>
      </c>
      <c r="K124" s="418">
        <f t="shared" si="471"/>
        <v>0</v>
      </c>
      <c r="L124" s="418">
        <f t="shared" si="471"/>
        <v>0</v>
      </c>
      <c r="M124" s="418">
        <f t="shared" si="471"/>
        <v>0</v>
      </c>
      <c r="N124" s="418">
        <f t="shared" si="471"/>
        <v>0</v>
      </c>
      <c r="O124" s="418">
        <f t="shared" si="471"/>
        <v>0</v>
      </c>
      <c r="P124" s="418">
        <f t="shared" si="471"/>
        <v>0</v>
      </c>
      <c r="Q124" s="418">
        <f t="shared" si="471"/>
        <v>0</v>
      </c>
      <c r="R124" s="418">
        <f t="shared" si="471"/>
        <v>0</v>
      </c>
      <c r="S124" s="418">
        <f t="shared" si="471"/>
        <v>0</v>
      </c>
      <c r="T124" s="817">
        <f t="shared" si="471"/>
        <v>0</v>
      </c>
      <c r="U124" s="825">
        <f t="shared" si="471"/>
        <v>0</v>
      </c>
      <c r="V124" s="817">
        <f t="shared" si="471"/>
        <v>0</v>
      </c>
      <c r="W124" s="817">
        <f t="shared" si="471"/>
        <v>0</v>
      </c>
      <c r="X124" s="817">
        <f t="shared" si="471"/>
        <v>0</v>
      </c>
      <c r="Y124" s="817">
        <f t="shared" si="471"/>
        <v>0</v>
      </c>
      <c r="Z124" s="817">
        <f t="shared" si="471"/>
        <v>0</v>
      </c>
      <c r="AA124" s="817">
        <f t="shared" si="471"/>
        <v>0</v>
      </c>
      <c r="AB124" s="817">
        <f t="shared" si="471"/>
        <v>0</v>
      </c>
      <c r="AC124" s="817">
        <f t="shared" si="471"/>
        <v>0</v>
      </c>
      <c r="AD124" s="817">
        <f t="shared" si="471"/>
        <v>0</v>
      </c>
      <c r="AE124" s="817">
        <f t="shared" si="471"/>
        <v>0</v>
      </c>
      <c r="AF124" s="437">
        <f t="shared" si="471"/>
        <v>0</v>
      </c>
      <c r="AG124" s="825">
        <f>-AG116*$H$111</f>
        <v>8.75</v>
      </c>
      <c r="AH124" s="817">
        <f t="shared" ref="AH124:AR124" si="472">-AH116*$H$111</f>
        <v>9.7999999999999989</v>
      </c>
      <c r="AI124" s="817">
        <f t="shared" si="472"/>
        <v>10.85</v>
      </c>
      <c r="AJ124" s="817">
        <f t="shared" si="472"/>
        <v>12.25</v>
      </c>
      <c r="AK124" s="817">
        <f t="shared" si="472"/>
        <v>13.649999999999999</v>
      </c>
      <c r="AL124" s="817">
        <f t="shared" si="472"/>
        <v>15.049999999999999</v>
      </c>
      <c r="AM124" s="817">
        <f t="shared" si="472"/>
        <v>18.2</v>
      </c>
      <c r="AN124" s="817">
        <f t="shared" si="472"/>
        <v>18.2</v>
      </c>
      <c r="AO124" s="817">
        <f t="shared" si="472"/>
        <v>16.799999999999997</v>
      </c>
      <c r="AP124" s="817">
        <f t="shared" si="472"/>
        <v>18.549999999999997</v>
      </c>
      <c r="AQ124" s="817">
        <f t="shared" si="472"/>
        <v>29.049999999999997</v>
      </c>
      <c r="AR124" s="437">
        <f t="shared" si="472"/>
        <v>31.849999999999998</v>
      </c>
    </row>
    <row r="125" spans="2:44">
      <c r="B125" s="548"/>
      <c r="F125" s="549"/>
      <c r="G125" s="417" t="s">
        <v>431</v>
      </c>
      <c r="H125" s="423"/>
      <c r="I125" s="425" t="str">
        <f>IF((I124-I123)&lt;=0,"0",(I124-I123))</f>
        <v>0</v>
      </c>
      <c r="J125" s="425" t="str">
        <f t="shared" ref="J125:AQ125" si="473">IF((J124-J123)&lt;=0,"0",(J124-J123))</f>
        <v>0</v>
      </c>
      <c r="K125" s="425" t="str">
        <f t="shared" si="473"/>
        <v>0</v>
      </c>
      <c r="L125" s="425" t="str">
        <f t="shared" si="473"/>
        <v>0</v>
      </c>
      <c r="M125" s="425" t="str">
        <f t="shared" si="473"/>
        <v>0</v>
      </c>
      <c r="N125" s="425" t="str">
        <f t="shared" si="473"/>
        <v>0</v>
      </c>
      <c r="O125" s="425" t="str">
        <f t="shared" si="473"/>
        <v>0</v>
      </c>
      <c r="P125" s="425" t="str">
        <f t="shared" si="473"/>
        <v>0</v>
      </c>
      <c r="Q125" s="425" t="str">
        <f t="shared" si="473"/>
        <v>0</v>
      </c>
      <c r="R125" s="425" t="str">
        <f t="shared" si="473"/>
        <v>0</v>
      </c>
      <c r="S125" s="425" t="str">
        <f t="shared" si="473"/>
        <v>0</v>
      </c>
      <c r="T125" s="425" t="str">
        <f t="shared" si="473"/>
        <v>0</v>
      </c>
      <c r="U125" s="826" t="str">
        <f t="shared" si="473"/>
        <v>0</v>
      </c>
      <c r="V125" s="818" t="str">
        <f t="shared" si="473"/>
        <v>0</v>
      </c>
      <c r="W125" s="818" t="str">
        <f t="shared" si="473"/>
        <v>0</v>
      </c>
      <c r="X125" s="818" t="str">
        <f t="shared" si="473"/>
        <v>0</v>
      </c>
      <c r="Y125" s="818" t="str">
        <f t="shared" si="473"/>
        <v>0</v>
      </c>
      <c r="Z125" s="818" t="str">
        <f t="shared" si="473"/>
        <v>0</v>
      </c>
      <c r="AA125" s="818" t="str">
        <f t="shared" si="473"/>
        <v>0</v>
      </c>
      <c r="AB125" s="818" t="str">
        <f t="shared" si="473"/>
        <v>0</v>
      </c>
      <c r="AC125" s="818" t="str">
        <f t="shared" si="473"/>
        <v>0</v>
      </c>
      <c r="AD125" s="818" t="str">
        <f t="shared" si="473"/>
        <v>0</v>
      </c>
      <c r="AE125" s="818" t="str">
        <f t="shared" si="473"/>
        <v>0</v>
      </c>
      <c r="AF125" s="438" t="str">
        <f t="shared" si="473"/>
        <v>0</v>
      </c>
      <c r="AG125" s="826">
        <f t="shared" si="473"/>
        <v>56.75</v>
      </c>
      <c r="AH125" s="818">
        <f t="shared" si="473"/>
        <v>35.049999999999997</v>
      </c>
      <c r="AI125" s="818">
        <f t="shared" si="473"/>
        <v>39.050000000000004</v>
      </c>
      <c r="AJ125" s="818">
        <f t="shared" si="473"/>
        <v>44.4</v>
      </c>
      <c r="AK125" s="818">
        <f t="shared" si="473"/>
        <v>48.4</v>
      </c>
      <c r="AL125" s="818">
        <f t="shared" si="473"/>
        <v>57.4</v>
      </c>
      <c r="AM125" s="818">
        <f t="shared" si="473"/>
        <v>64.150000000000006</v>
      </c>
      <c r="AN125" s="818">
        <f t="shared" si="473"/>
        <v>48</v>
      </c>
      <c r="AO125" s="818">
        <f t="shared" si="473"/>
        <v>47.599999999999994</v>
      </c>
      <c r="AP125" s="818">
        <f t="shared" si="473"/>
        <v>89.75</v>
      </c>
      <c r="AQ125" s="818">
        <f t="shared" si="473"/>
        <v>131.5</v>
      </c>
      <c r="AR125" s="438">
        <f>IF((AR124-AR123)&lt;=0,"0",(AR124-AR123))</f>
        <v>10.8</v>
      </c>
    </row>
    <row r="126" spans="2:44">
      <c r="B126" s="548"/>
      <c r="F126" s="549"/>
      <c r="G126" s="419"/>
      <c r="H126" s="416"/>
      <c r="I126" s="426"/>
      <c r="J126" s="416"/>
      <c r="K126" s="416"/>
      <c r="L126" s="416"/>
      <c r="M126" s="416"/>
      <c r="N126" s="416"/>
      <c r="O126" s="416"/>
      <c r="P126" s="416"/>
      <c r="Q126" s="416"/>
      <c r="R126" s="416"/>
      <c r="S126" s="416"/>
      <c r="T126" s="416"/>
      <c r="U126" s="822"/>
      <c r="V126" s="416"/>
      <c r="W126" s="416"/>
      <c r="X126" s="416"/>
      <c r="Y126" s="416"/>
      <c r="Z126" s="416"/>
      <c r="AA126" s="416"/>
      <c r="AB126" s="416"/>
      <c r="AC126" s="416"/>
      <c r="AD126" s="416"/>
      <c r="AE126" s="416"/>
      <c r="AF126" s="433"/>
      <c r="AG126" s="822"/>
      <c r="AH126" s="416"/>
      <c r="AI126" s="416"/>
      <c r="AJ126" s="416"/>
      <c r="AK126" s="416"/>
      <c r="AL126" s="416"/>
      <c r="AM126" s="416"/>
      <c r="AN126" s="416"/>
      <c r="AO126" s="416"/>
      <c r="AP126" s="416"/>
      <c r="AQ126" s="416"/>
      <c r="AR126" s="433"/>
    </row>
    <row r="127" spans="2:44">
      <c r="B127" s="548"/>
      <c r="F127" s="549"/>
      <c r="G127" s="449" t="s">
        <v>432</v>
      </c>
      <c r="H127" s="428"/>
      <c r="I127" s="428">
        <f>'Pricing Model'!$G$15*I117</f>
        <v>0</v>
      </c>
      <c r="J127" s="416">
        <f>'Pricing Model'!$G$15*J117</f>
        <v>0</v>
      </c>
      <c r="K127" s="428">
        <f>'Pricing Model'!$G$15*K117</f>
        <v>0</v>
      </c>
      <c r="L127" s="428">
        <f>'Pricing Model'!$G$15*L117</f>
        <v>0</v>
      </c>
      <c r="M127" s="428">
        <f>'Pricing Model'!$G$15*M117</f>
        <v>0</v>
      </c>
      <c r="N127" s="428">
        <f>'Pricing Model'!$G$15*N117</f>
        <v>0</v>
      </c>
      <c r="O127" s="428">
        <f>'Pricing Model'!$G$15*O117</f>
        <v>0</v>
      </c>
      <c r="P127" s="428">
        <f>'Pricing Model'!$G$15*P117</f>
        <v>0</v>
      </c>
      <c r="Q127" s="428">
        <f>'Pricing Model'!$G$15*Q117</f>
        <v>0</v>
      </c>
      <c r="R127" s="428">
        <f>'Pricing Model'!$G$15*R117</f>
        <v>0</v>
      </c>
      <c r="S127" s="428">
        <f>'Pricing Model'!$G$15*S117</f>
        <v>0</v>
      </c>
      <c r="T127" s="428">
        <f>'Pricing Model'!$G$15*T117</f>
        <v>0</v>
      </c>
      <c r="U127" s="827">
        <f>'Pricing Model'!$G$35*U117</f>
        <v>0</v>
      </c>
      <c r="V127" s="428">
        <f>'Pricing Model'!$G$35*V117</f>
        <v>0</v>
      </c>
      <c r="W127" s="428">
        <f>'Pricing Model'!$G$35*W117</f>
        <v>0</v>
      </c>
      <c r="X127" s="428">
        <f>'Pricing Model'!$G$35*X117</f>
        <v>0</v>
      </c>
      <c r="Y127" s="428">
        <f>'Pricing Model'!$G$35*Y117</f>
        <v>0</v>
      </c>
      <c r="Z127" s="428">
        <f>'Pricing Model'!$G$35*Z117</f>
        <v>0</v>
      </c>
      <c r="AA127" s="428">
        <f>'Pricing Model'!$G$35*AA117</f>
        <v>0</v>
      </c>
      <c r="AB127" s="428">
        <f>'Pricing Model'!$G$35*AB117</f>
        <v>0</v>
      </c>
      <c r="AC127" s="428">
        <f>'Pricing Model'!$G$35*AC117</f>
        <v>0</v>
      </c>
      <c r="AD127" s="428">
        <f>'Pricing Model'!$G$35*AD117</f>
        <v>0</v>
      </c>
      <c r="AE127" s="428">
        <f>'Pricing Model'!$G$35*AE117</f>
        <v>0</v>
      </c>
      <c r="AF127" s="439">
        <f>'Pricing Model'!$G$35*AF117</f>
        <v>0</v>
      </c>
      <c r="AG127" s="827">
        <f>'Pricing Model'!$G$56*AG117</f>
        <v>0</v>
      </c>
      <c r="AH127" s="428">
        <f>'Pricing Model'!$G$56*AH117</f>
        <v>29810.774999999998</v>
      </c>
      <c r="AI127" s="428">
        <f>'Pricing Model'!$G$56*AI117</f>
        <v>18411.764999999996</v>
      </c>
      <c r="AJ127" s="428">
        <f>'Pricing Model'!$G$56*AJ117</f>
        <v>20512.965</v>
      </c>
      <c r="AK127" s="428">
        <f>'Pricing Model'!$G$56*AK117</f>
        <v>23323.319999999996</v>
      </c>
      <c r="AL127" s="428">
        <f>'Pricing Model'!$G$56*AL117</f>
        <v>25424.519999999997</v>
      </c>
      <c r="AM127" s="428">
        <f>'Pricing Model'!$G$56*AM117</f>
        <v>30152.219999999998</v>
      </c>
      <c r="AN127" s="428">
        <f>'Pricing Model'!$G$56*AN117</f>
        <v>33697.995000000003</v>
      </c>
      <c r="AO127" s="428">
        <f>'Pricing Model'!$G$56*AO117</f>
        <v>25214.399999999998</v>
      </c>
      <c r="AP127" s="428">
        <f>'Pricing Model'!$G$56*AP117</f>
        <v>25004.279999999995</v>
      </c>
      <c r="AQ127" s="428">
        <f>'Pricing Model'!$G$56*AQ117</f>
        <v>47145.674999999996</v>
      </c>
      <c r="AR127" s="439">
        <f>'Pricing Model'!$G$56*AR117</f>
        <v>69076.95</v>
      </c>
    </row>
    <row r="128" spans="2:44" ht="16.2" thickBot="1">
      <c r="B128" s="550"/>
      <c r="C128" s="551"/>
      <c r="D128" s="551"/>
      <c r="E128" s="551"/>
      <c r="F128" s="552"/>
      <c r="G128" s="411" t="s">
        <v>440</v>
      </c>
      <c r="H128" s="429"/>
      <c r="I128" s="582">
        <f>I127</f>
        <v>0</v>
      </c>
      <c r="J128" s="583">
        <f>J127-I127</f>
        <v>0</v>
      </c>
      <c r="K128" s="583">
        <f>K127-J127</f>
        <v>0</v>
      </c>
      <c r="L128" s="583">
        <f t="shared" ref="L128" si="474">L127-K127</f>
        <v>0</v>
      </c>
      <c r="M128" s="583">
        <f t="shared" ref="M128" si="475">M127-L127</f>
        <v>0</v>
      </c>
      <c r="N128" s="583">
        <f>N127-M127</f>
        <v>0</v>
      </c>
      <c r="O128" s="583">
        <f t="shared" ref="O128" si="476">O127-N127</f>
        <v>0</v>
      </c>
      <c r="P128" s="583">
        <f t="shared" ref="P128" si="477">P127-O127</f>
        <v>0</v>
      </c>
      <c r="Q128" s="583">
        <f t="shared" ref="Q128" si="478">Q127-P127</f>
        <v>0</v>
      </c>
      <c r="R128" s="583">
        <f t="shared" ref="R128" si="479">R127-Q127</f>
        <v>0</v>
      </c>
      <c r="S128" s="583">
        <f t="shared" ref="S128" si="480">S127-R127</f>
        <v>0</v>
      </c>
      <c r="T128" s="583">
        <f t="shared" ref="T128" si="481">T127-S127</f>
        <v>0</v>
      </c>
      <c r="U128" s="828">
        <f t="shared" ref="U128" si="482">U127-T127</f>
        <v>0</v>
      </c>
      <c r="V128" s="583">
        <f t="shared" ref="V128" si="483">V127-U127</f>
        <v>0</v>
      </c>
      <c r="W128" s="583">
        <f t="shared" ref="W128" si="484">W127-V127</f>
        <v>0</v>
      </c>
      <c r="X128" s="583">
        <f t="shared" ref="X128" si="485">X127-W127</f>
        <v>0</v>
      </c>
      <c r="Y128" s="583">
        <f t="shared" ref="Y128" si="486">Y127-X127</f>
        <v>0</v>
      </c>
      <c r="Z128" s="583">
        <f t="shared" ref="Z128" si="487">Z127-Y127</f>
        <v>0</v>
      </c>
      <c r="AA128" s="583">
        <f t="shared" ref="AA128" si="488">AA127-Z127</f>
        <v>0</v>
      </c>
      <c r="AB128" s="583">
        <f t="shared" ref="AB128" si="489">AB127-AA127</f>
        <v>0</v>
      </c>
      <c r="AC128" s="583">
        <f t="shared" ref="AC128" si="490">AC127-AB127</f>
        <v>0</v>
      </c>
      <c r="AD128" s="583">
        <f t="shared" ref="AD128" si="491">AD127-AC127</f>
        <v>0</v>
      </c>
      <c r="AE128" s="583">
        <f t="shared" ref="AE128" si="492">AE127-AD127</f>
        <v>0</v>
      </c>
      <c r="AF128" s="584">
        <f t="shared" ref="AF128" si="493">AF127-AE127</f>
        <v>0</v>
      </c>
      <c r="AG128" s="828">
        <f t="shared" ref="AG128" si="494">AG127-AF127</f>
        <v>0</v>
      </c>
      <c r="AH128" s="583">
        <f t="shared" ref="AH128" si="495">AH127-AG127</f>
        <v>29810.774999999998</v>
      </c>
      <c r="AI128" s="583">
        <f t="shared" ref="AI128" si="496">AI127-AH127</f>
        <v>-11399.010000000002</v>
      </c>
      <c r="AJ128" s="583">
        <f t="shared" ref="AJ128" si="497">AJ127-AI127</f>
        <v>2101.2000000000044</v>
      </c>
      <c r="AK128" s="583">
        <f t="shared" ref="AK128" si="498">AK127-AJ127</f>
        <v>2810.3549999999959</v>
      </c>
      <c r="AL128" s="583">
        <f t="shared" ref="AL128" si="499">AL127-AK127</f>
        <v>2101.2000000000007</v>
      </c>
      <c r="AM128" s="583">
        <f t="shared" ref="AM128" si="500">AM127-AL127</f>
        <v>4727.7000000000007</v>
      </c>
      <c r="AN128" s="583">
        <f t="shared" ref="AN128" si="501">AN127-AM127</f>
        <v>3545.7750000000051</v>
      </c>
      <c r="AO128" s="583">
        <f t="shared" ref="AO128" si="502">AO127-AN127</f>
        <v>-8483.5950000000048</v>
      </c>
      <c r="AP128" s="583">
        <f t="shared" ref="AP128" si="503">AP127-AO127</f>
        <v>-210.12000000000262</v>
      </c>
      <c r="AQ128" s="583">
        <f t="shared" ref="AQ128" si="504">AQ127-AP127</f>
        <v>22141.395</v>
      </c>
      <c r="AR128" s="584">
        <f t="shared" ref="AR128" si="505">AR127-AQ127</f>
        <v>21931.275000000001</v>
      </c>
    </row>
    <row r="129" spans="2:44" ht="16.2" thickTop="1">
      <c r="G129" s="535"/>
      <c r="H129" s="536"/>
      <c r="I129" s="537"/>
      <c r="J129" s="537"/>
      <c r="K129" s="537"/>
      <c r="L129" s="537"/>
      <c r="M129" s="537"/>
      <c r="N129" s="537"/>
      <c r="O129" s="537"/>
      <c r="P129" s="537"/>
      <c r="Q129" s="537"/>
      <c r="R129" s="537"/>
      <c r="S129" s="537"/>
      <c r="T129" s="537"/>
      <c r="U129" s="836"/>
      <c r="V129" s="537"/>
      <c r="W129" s="537"/>
      <c r="X129" s="537"/>
      <c r="Y129" s="537"/>
      <c r="Z129" s="537"/>
      <c r="AA129" s="537"/>
      <c r="AB129" s="537"/>
      <c r="AC129" s="537"/>
      <c r="AD129" s="537"/>
      <c r="AE129" s="537"/>
      <c r="AF129" s="538"/>
      <c r="AG129" s="836"/>
      <c r="AH129" s="537"/>
      <c r="AI129" s="537"/>
      <c r="AJ129" s="537"/>
      <c r="AK129" s="537"/>
      <c r="AL129" s="537"/>
      <c r="AM129" s="537"/>
      <c r="AN129" s="537"/>
      <c r="AO129" s="537"/>
      <c r="AP129" s="537"/>
      <c r="AQ129" s="537"/>
      <c r="AR129" s="538"/>
    </row>
    <row r="130" spans="2:44">
      <c r="G130" s="458"/>
      <c r="H130" s="2"/>
      <c r="I130" s="2"/>
      <c r="J130" s="2"/>
      <c r="K130" s="2"/>
      <c r="L130" s="2"/>
      <c r="M130" s="2"/>
      <c r="N130" s="2"/>
      <c r="O130" s="2"/>
      <c r="P130" s="2"/>
      <c r="Q130" s="2"/>
      <c r="R130" s="2"/>
      <c r="S130" s="2"/>
      <c r="T130" s="2"/>
      <c r="U130" s="837"/>
      <c r="V130" s="2"/>
      <c r="W130" s="2"/>
      <c r="X130" s="2"/>
      <c r="Y130" s="2"/>
      <c r="Z130" s="2"/>
      <c r="AA130" s="2"/>
      <c r="AB130" s="2"/>
      <c r="AC130" s="2"/>
      <c r="AD130" s="2"/>
      <c r="AE130" s="2"/>
      <c r="AF130" s="539"/>
      <c r="AG130" s="837"/>
      <c r="AH130" s="2"/>
      <c r="AI130" s="2"/>
      <c r="AJ130" s="2"/>
      <c r="AK130" s="2"/>
      <c r="AL130" s="2"/>
      <c r="AM130" s="2"/>
      <c r="AN130" s="2"/>
      <c r="AO130" s="2"/>
      <c r="AP130" s="2"/>
      <c r="AQ130" s="2"/>
      <c r="AR130" s="539"/>
    </row>
    <row r="131" spans="2:44" ht="16.2" thickBot="1">
      <c r="G131" s="540"/>
      <c r="H131" s="2"/>
      <c r="I131" s="541"/>
      <c r="J131" s="2"/>
      <c r="K131" s="2"/>
      <c r="L131" s="2"/>
      <c r="M131" s="2"/>
      <c r="N131" s="2"/>
      <c r="O131" s="2"/>
      <c r="P131" s="2"/>
      <c r="Q131" s="2"/>
      <c r="R131" s="2"/>
      <c r="S131" s="2"/>
      <c r="T131" s="2"/>
      <c r="U131" s="837"/>
      <c r="V131" s="2"/>
      <c r="W131" s="2"/>
      <c r="X131" s="2"/>
      <c r="Y131" s="2"/>
      <c r="Z131" s="2"/>
      <c r="AA131" s="2"/>
      <c r="AB131" s="2"/>
      <c r="AC131" s="2"/>
      <c r="AD131" s="2"/>
      <c r="AE131" s="2"/>
      <c r="AF131" s="539"/>
      <c r="AG131" s="837"/>
      <c r="AH131" s="2"/>
      <c r="AI131" s="2"/>
      <c r="AJ131" s="2"/>
      <c r="AK131" s="2"/>
      <c r="AL131" s="2"/>
      <c r="AM131" s="2"/>
      <c r="AN131" s="2"/>
      <c r="AO131" s="2"/>
      <c r="AP131" s="2"/>
      <c r="AQ131" s="2"/>
      <c r="AR131" s="539"/>
    </row>
    <row r="132" spans="2:44" ht="16.2" thickTop="1">
      <c r="B132" s="545"/>
      <c r="C132" s="546"/>
      <c r="D132" s="546"/>
      <c r="E132" s="546"/>
      <c r="F132" s="547"/>
      <c r="G132" s="414" t="s">
        <v>433</v>
      </c>
      <c r="H132" s="410">
        <v>0.3</v>
      </c>
      <c r="I132" s="416"/>
      <c r="J132" s="416"/>
      <c r="K132" s="416"/>
      <c r="L132" s="416"/>
      <c r="M132" s="416"/>
      <c r="N132" s="416"/>
      <c r="O132" s="416"/>
      <c r="P132" s="416"/>
      <c r="Q132" s="416"/>
      <c r="R132" s="416"/>
      <c r="S132" s="416"/>
      <c r="T132" s="416"/>
      <c r="U132" s="822"/>
      <c r="V132" s="416"/>
      <c r="W132" s="416"/>
      <c r="X132" s="416"/>
      <c r="Y132" s="416"/>
      <c r="Z132" s="416"/>
      <c r="AA132" s="416"/>
      <c r="AB132" s="416"/>
      <c r="AC132" s="416"/>
      <c r="AD132" s="416"/>
      <c r="AE132" s="416"/>
      <c r="AF132" s="433"/>
      <c r="AG132" s="822"/>
      <c r="AH132" s="416"/>
      <c r="AI132" s="416"/>
      <c r="AJ132" s="416"/>
      <c r="AK132" s="416"/>
      <c r="AL132" s="416"/>
      <c r="AM132" s="416"/>
      <c r="AN132" s="416"/>
      <c r="AO132" s="416"/>
      <c r="AP132" s="416"/>
      <c r="AQ132" s="416"/>
      <c r="AR132" s="433"/>
    </row>
    <row r="133" spans="2:44" ht="21">
      <c r="B133" s="548"/>
      <c r="C133" s="1243" t="s">
        <v>520</v>
      </c>
      <c r="D133" s="1243"/>
      <c r="F133" s="549"/>
      <c r="G133" s="414"/>
      <c r="H133" s="415"/>
      <c r="I133" s="416"/>
      <c r="J133" s="416"/>
      <c r="K133" s="416"/>
      <c r="L133" s="416"/>
      <c r="M133" s="416"/>
      <c r="N133" s="416"/>
      <c r="O133" s="416"/>
      <c r="P133" s="416"/>
      <c r="Q133" s="416"/>
      <c r="R133" s="416"/>
      <c r="S133" s="416"/>
      <c r="T133" s="416"/>
      <c r="U133" s="822"/>
      <c r="V133" s="416"/>
      <c r="W133" s="416"/>
      <c r="X133" s="416"/>
      <c r="Y133" s="416"/>
      <c r="Z133" s="416"/>
      <c r="AA133" s="416"/>
      <c r="AB133" s="416"/>
      <c r="AC133" s="416"/>
      <c r="AD133" s="416"/>
      <c r="AE133" s="416"/>
      <c r="AF133" s="433"/>
      <c r="AG133" s="822"/>
      <c r="AH133" s="416"/>
      <c r="AI133" s="416"/>
      <c r="AJ133" s="416"/>
      <c r="AK133" s="416"/>
      <c r="AL133" s="416"/>
      <c r="AM133" s="416"/>
      <c r="AN133" s="416"/>
      <c r="AO133" s="416"/>
      <c r="AP133" s="416"/>
      <c r="AQ133" s="416"/>
      <c r="AR133" s="433"/>
    </row>
    <row r="134" spans="2:44">
      <c r="B134" s="548"/>
      <c r="F134" s="549"/>
      <c r="G134" s="417" t="s">
        <v>437</v>
      </c>
      <c r="H134" s="416"/>
      <c r="I134" s="418"/>
      <c r="J134" s="416"/>
      <c r="K134" s="416"/>
      <c r="L134" s="416"/>
      <c r="M134" s="416"/>
      <c r="N134" s="416"/>
      <c r="O134" s="416"/>
      <c r="P134" s="416"/>
      <c r="Q134" s="416"/>
      <c r="R134" s="416"/>
      <c r="S134" s="416"/>
      <c r="T134" s="416"/>
      <c r="U134" s="822"/>
      <c r="V134" s="416"/>
      <c r="W134" s="416"/>
      <c r="X134" s="416"/>
      <c r="Y134" s="416"/>
      <c r="Z134" s="416"/>
      <c r="AA134" s="416"/>
      <c r="AB134" s="416"/>
      <c r="AC134" s="416"/>
      <c r="AD134" s="416"/>
      <c r="AE134" s="416"/>
      <c r="AF134" s="433"/>
      <c r="AG134" s="822"/>
      <c r="AH134" s="416"/>
      <c r="AI134" s="416"/>
      <c r="AJ134" s="416"/>
      <c r="AK134" s="416"/>
      <c r="AL134" s="416"/>
      <c r="AM134" s="416"/>
      <c r="AN134" s="416"/>
      <c r="AO134" s="416"/>
      <c r="AP134" s="416"/>
      <c r="AQ134" s="416"/>
      <c r="AR134" s="433"/>
    </row>
    <row r="135" spans="2:44">
      <c r="B135" s="548"/>
      <c r="F135" s="549"/>
      <c r="G135" s="419" t="s">
        <v>423</v>
      </c>
      <c r="H135" s="416"/>
      <c r="I135" s="388">
        <v>20</v>
      </c>
      <c r="J135" s="420">
        <f>I138</f>
        <v>9</v>
      </c>
      <c r="K135" s="420">
        <f t="shared" ref="K135" si="506">J138</f>
        <v>14.3</v>
      </c>
      <c r="L135" s="420">
        <f t="shared" ref="L135" si="507">K138</f>
        <v>15.6</v>
      </c>
      <c r="M135" s="420">
        <f t="shared" ref="M135" si="508">L138</f>
        <v>15.6</v>
      </c>
      <c r="N135" s="420">
        <f t="shared" ref="N135" si="509">M138</f>
        <v>16.899999999999999</v>
      </c>
      <c r="O135" s="420">
        <f t="shared" ref="O135" si="510">N138</f>
        <v>18.2</v>
      </c>
      <c r="P135" s="420">
        <f t="shared" ref="P135" si="511">O138</f>
        <v>19.5</v>
      </c>
      <c r="Q135" s="420">
        <f t="shared" ref="Q135" si="512">P138</f>
        <v>20.8</v>
      </c>
      <c r="R135" s="420">
        <f t="shared" ref="R135" si="513">Q138</f>
        <v>29.900000000000002</v>
      </c>
      <c r="S135" s="420">
        <f t="shared" ref="S135" si="514">R138</f>
        <v>39</v>
      </c>
      <c r="T135" s="420">
        <f t="shared" ref="T135" si="515">S138</f>
        <v>53.3</v>
      </c>
      <c r="U135" s="823">
        <f t="shared" ref="U135" si="516">T138</f>
        <v>61.1</v>
      </c>
      <c r="V135" s="420">
        <f t="shared" ref="V135" si="517">U138</f>
        <v>71.5</v>
      </c>
      <c r="W135" s="420">
        <f t="shared" ref="W135" si="518">V138</f>
        <v>87.1</v>
      </c>
      <c r="X135" s="420">
        <f t="shared" ref="X135" si="519">W138</f>
        <v>106.6</v>
      </c>
      <c r="Y135" s="420">
        <f t="shared" ref="Y135" si="520">X138</f>
        <v>126.1</v>
      </c>
      <c r="Z135" s="420">
        <f t="shared" ref="Z135" si="521">Y138</f>
        <v>146.9</v>
      </c>
      <c r="AA135" s="420">
        <f t="shared" ref="AA135" si="522">Z138</f>
        <v>159.9</v>
      </c>
      <c r="AB135" s="420">
        <f t="shared" ref="AB135" si="523">AA138</f>
        <v>176.79999999999998</v>
      </c>
      <c r="AC135" s="420">
        <f t="shared" ref="AC135" si="524">AB138</f>
        <v>193.7</v>
      </c>
      <c r="AD135" s="420">
        <f t="shared" ref="AD135" si="525">AC138</f>
        <v>213.2</v>
      </c>
      <c r="AE135" s="420">
        <f t="shared" ref="AE135" si="526">AD138</f>
        <v>230.1</v>
      </c>
      <c r="AF135" s="434">
        <f t="shared" ref="AF135" si="527">AE138</f>
        <v>249.6</v>
      </c>
      <c r="AG135" s="823">
        <f t="shared" ref="AG135" si="528">AF138</f>
        <v>270.39999999999998</v>
      </c>
      <c r="AH135" s="420">
        <f t="shared" ref="AH135" si="529">AG138</f>
        <v>263.89999999999998</v>
      </c>
      <c r="AI135" s="420">
        <f t="shared" ref="AI135" si="530">AH138</f>
        <v>300.3</v>
      </c>
      <c r="AJ135" s="420">
        <f t="shared" ref="AJ135" si="531">AI138</f>
        <v>330.2</v>
      </c>
      <c r="AK135" s="420">
        <f t="shared" ref="AK135" si="532">AJ138</f>
        <v>364</v>
      </c>
      <c r="AL135" s="420">
        <f t="shared" ref="AL135" si="533">AK138</f>
        <v>390</v>
      </c>
      <c r="AM135" s="420">
        <f t="shared" ref="AM135" si="534">AL138</f>
        <v>421.2</v>
      </c>
      <c r="AN135" s="420">
        <f t="shared" ref="AN135" si="535">AM138</f>
        <v>452.4</v>
      </c>
      <c r="AO135" s="420">
        <f t="shared" ref="AO135" si="536">AN138</f>
        <v>483.6</v>
      </c>
      <c r="AP135" s="420">
        <f t="shared" ref="AP135" si="537">AO138</f>
        <v>497.9</v>
      </c>
      <c r="AQ135" s="420">
        <f t="shared" ref="AQ135" si="538">AP138</f>
        <v>510.9</v>
      </c>
      <c r="AR135" s="434">
        <f t="shared" ref="AR135" si="539">AQ138</f>
        <v>522.6</v>
      </c>
    </row>
    <row r="136" spans="2:44">
      <c r="B136" s="548"/>
      <c r="F136" s="549"/>
      <c r="G136" s="419" t="s">
        <v>424</v>
      </c>
      <c r="H136" s="416"/>
      <c r="I136" s="418">
        <f>-'Sales Forecast'!E75</f>
        <v>-11</v>
      </c>
      <c r="J136" s="418">
        <f>-'Sales Forecast'!F75</f>
        <v>-12</v>
      </c>
      <c r="K136" s="418">
        <f>-'Sales Forecast'!G75</f>
        <v>-12</v>
      </c>
      <c r="L136" s="418">
        <f>-'Sales Forecast'!H75</f>
        <v>-13</v>
      </c>
      <c r="M136" s="418">
        <f>-'Sales Forecast'!I75</f>
        <v>-14</v>
      </c>
      <c r="N136" s="418">
        <f>-'Sales Forecast'!J75</f>
        <v>-15</v>
      </c>
      <c r="O136" s="418">
        <f>-'Sales Forecast'!K75</f>
        <v>-16</v>
      </c>
      <c r="P136" s="418">
        <f>-'Sales Forecast'!L75</f>
        <v>-23</v>
      </c>
      <c r="Q136" s="418">
        <f>-'Sales Forecast'!M75</f>
        <v>-30</v>
      </c>
      <c r="R136" s="418">
        <f>-'Sales Forecast'!N75</f>
        <v>-41</v>
      </c>
      <c r="S136" s="418">
        <f>-'Sales Forecast'!O75</f>
        <v>-47</v>
      </c>
      <c r="T136" s="418">
        <f>-'Sales Forecast'!P75</f>
        <v>-55</v>
      </c>
      <c r="U136" s="825">
        <f>-'Sales Forecast'!Q75</f>
        <v>-67</v>
      </c>
      <c r="V136" s="817">
        <f>-'Sales Forecast'!R75</f>
        <v>-82</v>
      </c>
      <c r="W136" s="817">
        <f>-'Sales Forecast'!S75</f>
        <v>-97</v>
      </c>
      <c r="X136" s="817">
        <f>-'Sales Forecast'!T75</f>
        <v>-113</v>
      </c>
      <c r="Y136" s="817">
        <f>-'Sales Forecast'!U75</f>
        <v>-123</v>
      </c>
      <c r="Z136" s="817">
        <f>-'Sales Forecast'!V75</f>
        <v>-136</v>
      </c>
      <c r="AA136" s="817">
        <f>-'Sales Forecast'!W75</f>
        <v>-149</v>
      </c>
      <c r="AB136" s="817">
        <f>-'Sales Forecast'!X75</f>
        <v>-164</v>
      </c>
      <c r="AC136" s="817">
        <f>-'Sales Forecast'!Y75</f>
        <v>-177</v>
      </c>
      <c r="AD136" s="817">
        <f>-'Sales Forecast'!Z75</f>
        <v>-192</v>
      </c>
      <c r="AE136" s="817">
        <f>-'Sales Forecast'!AA75</f>
        <v>-208</v>
      </c>
      <c r="AF136" s="437">
        <f>-'Sales Forecast'!AB75</f>
        <v>-203</v>
      </c>
      <c r="AG136" s="825">
        <f>-'Sales Forecast'!AC75</f>
        <v>-231</v>
      </c>
      <c r="AH136" s="817">
        <f>-'Sales Forecast'!AD75</f>
        <v>-254</v>
      </c>
      <c r="AI136" s="817">
        <f>-'Sales Forecast'!AE75</f>
        <v>-280</v>
      </c>
      <c r="AJ136" s="817">
        <f>-'Sales Forecast'!AF75</f>
        <v>-300</v>
      </c>
      <c r="AK136" s="817">
        <f>-'Sales Forecast'!AG75</f>
        <v>-324</v>
      </c>
      <c r="AL136" s="817">
        <f>-'Sales Forecast'!AH75</f>
        <v>-348</v>
      </c>
      <c r="AM136" s="817">
        <f>-'Sales Forecast'!AI75</f>
        <v>-372</v>
      </c>
      <c r="AN136" s="817">
        <f>-'Sales Forecast'!AJ75</f>
        <v>-383</v>
      </c>
      <c r="AO136" s="817">
        <f>-'Sales Forecast'!AK75</f>
        <v>-393</v>
      </c>
      <c r="AP136" s="817">
        <f>-'Sales Forecast'!AL75</f>
        <v>-402</v>
      </c>
      <c r="AQ136" s="817">
        <f>-'Sales Forecast'!AM75</f>
        <v>-413</v>
      </c>
      <c r="AR136" s="437">
        <f>-'Sales Forecast'!AN75</f>
        <v>-420</v>
      </c>
    </row>
    <row r="137" spans="2:44">
      <c r="B137" s="548"/>
      <c r="F137" s="549"/>
      <c r="G137" s="419" t="s">
        <v>425</v>
      </c>
      <c r="H137" s="416"/>
      <c r="I137" s="421">
        <v>0</v>
      </c>
      <c r="J137" s="422">
        <f>I145</f>
        <v>17.3</v>
      </c>
      <c r="K137" s="422">
        <f t="shared" ref="K137" si="540">J145</f>
        <v>13.299999999999999</v>
      </c>
      <c r="L137" s="422">
        <f t="shared" ref="L137" si="541">K145</f>
        <v>13</v>
      </c>
      <c r="M137" s="422">
        <f t="shared" ref="M137" si="542">L145</f>
        <v>15.3</v>
      </c>
      <c r="N137" s="422">
        <f t="shared" ref="N137" si="543">M145</f>
        <v>16.3</v>
      </c>
      <c r="O137" s="422">
        <f t="shared" ref="O137" si="544">N145</f>
        <v>17.3</v>
      </c>
      <c r="P137" s="422">
        <f t="shared" ref="P137" si="545">O145</f>
        <v>24.3</v>
      </c>
      <c r="Q137" s="422">
        <f t="shared" ref="Q137" si="546">P145</f>
        <v>39.1</v>
      </c>
      <c r="R137" s="422">
        <f t="shared" ref="R137" si="547">Q145</f>
        <v>50.099999999999994</v>
      </c>
      <c r="S137" s="422">
        <f t="shared" ref="S137" si="548">R145</f>
        <v>61.3</v>
      </c>
      <c r="T137" s="422">
        <f t="shared" ref="T137" si="549">S145</f>
        <v>62.800000000000004</v>
      </c>
      <c r="U137" s="824">
        <f t="shared" ref="U137" si="550">T145</f>
        <v>77.400000000000006</v>
      </c>
      <c r="V137" s="422">
        <f t="shared" ref="V137" si="551">U145</f>
        <v>97.6</v>
      </c>
      <c r="W137" s="422">
        <f t="shared" ref="W137" si="552">V145</f>
        <v>116.5</v>
      </c>
      <c r="X137" s="422">
        <f t="shared" ref="X137" si="553">W145</f>
        <v>132.5</v>
      </c>
      <c r="Y137" s="422">
        <f t="shared" ref="Y137" si="554">X145</f>
        <v>143.80000000000001</v>
      </c>
      <c r="Z137" s="422">
        <f t="shared" ref="Z137" si="555">Y145</f>
        <v>149</v>
      </c>
      <c r="AA137" s="422">
        <f t="shared" ref="AA137" si="556">Z145</f>
        <v>165.89999999999998</v>
      </c>
      <c r="AB137" s="422">
        <f t="shared" ref="AB137" si="557">AA145</f>
        <v>180.9</v>
      </c>
      <c r="AC137" s="422">
        <f t="shared" ref="AC137" si="558">AB145</f>
        <v>196.5</v>
      </c>
      <c r="AD137" s="422">
        <f t="shared" ref="AD137" si="559">AC145</f>
        <v>208.9</v>
      </c>
      <c r="AE137" s="422">
        <f t="shared" ref="AE137" si="560">AD145</f>
        <v>227.5</v>
      </c>
      <c r="AF137" s="435">
        <f t="shared" ref="AF137" si="561">AE145</f>
        <v>223.8</v>
      </c>
      <c r="AG137" s="824">
        <f t="shared" ref="AG137" si="562">AF145</f>
        <v>224.50000000000003</v>
      </c>
      <c r="AH137" s="422">
        <f t="shared" ref="AH137" si="563">AG145</f>
        <v>290.40000000000003</v>
      </c>
      <c r="AI137" s="422">
        <f t="shared" ref="AI137" si="564">AH145</f>
        <v>309.89999999999998</v>
      </c>
      <c r="AJ137" s="422">
        <f t="shared" ref="AJ137" si="565">AI145</f>
        <v>333.8</v>
      </c>
      <c r="AK137" s="422">
        <f t="shared" ref="AK137" si="566">AJ145</f>
        <v>350</v>
      </c>
      <c r="AL137" s="422">
        <f t="shared" ref="AL137" si="567">AK145</f>
        <v>379.2</v>
      </c>
      <c r="AM137" s="422">
        <f t="shared" ref="AM137" si="568">AL145</f>
        <v>403.2</v>
      </c>
      <c r="AN137" s="422">
        <f t="shared" ref="AN137" si="569">AM145</f>
        <v>414.20000000000005</v>
      </c>
      <c r="AO137" s="422">
        <f t="shared" ref="AO137" si="570">AN145</f>
        <v>407.29999999999995</v>
      </c>
      <c r="AP137" s="422">
        <f t="shared" ref="AP137" si="571">AO145</f>
        <v>415</v>
      </c>
      <c r="AQ137" s="422">
        <f t="shared" ref="AQ137" si="572">AP145</f>
        <v>424.70000000000005</v>
      </c>
      <c r="AR137" s="435">
        <f t="shared" ref="AR137" si="573">AQ145</f>
        <v>434.29999999999995</v>
      </c>
    </row>
    <row r="138" spans="2:44">
      <c r="B138" s="548"/>
      <c r="F138" s="549"/>
      <c r="G138" s="417" t="s">
        <v>426</v>
      </c>
      <c r="H138" s="423"/>
      <c r="I138" s="424">
        <f>SUM(I135:I137)</f>
        <v>9</v>
      </c>
      <c r="J138" s="424">
        <f>SUM(J135:J137)</f>
        <v>14.3</v>
      </c>
      <c r="K138" s="424">
        <f t="shared" ref="K138:AR138" si="574">SUM(K135:K137)</f>
        <v>15.6</v>
      </c>
      <c r="L138" s="424">
        <f t="shared" si="574"/>
        <v>15.6</v>
      </c>
      <c r="M138" s="424">
        <f t="shared" si="574"/>
        <v>16.899999999999999</v>
      </c>
      <c r="N138" s="424">
        <f t="shared" si="574"/>
        <v>18.2</v>
      </c>
      <c r="O138" s="424">
        <f t="shared" si="574"/>
        <v>19.5</v>
      </c>
      <c r="P138" s="424">
        <f t="shared" si="574"/>
        <v>20.8</v>
      </c>
      <c r="Q138" s="424">
        <f t="shared" si="574"/>
        <v>29.900000000000002</v>
      </c>
      <c r="R138" s="424">
        <f t="shared" si="574"/>
        <v>39</v>
      </c>
      <c r="S138" s="424">
        <f t="shared" si="574"/>
        <v>53.3</v>
      </c>
      <c r="T138" s="816">
        <f t="shared" si="574"/>
        <v>61.1</v>
      </c>
      <c r="U138" s="820">
        <f t="shared" si="574"/>
        <v>71.5</v>
      </c>
      <c r="V138" s="816">
        <f t="shared" si="574"/>
        <v>87.1</v>
      </c>
      <c r="W138" s="816">
        <f t="shared" si="574"/>
        <v>106.6</v>
      </c>
      <c r="X138" s="816">
        <f t="shared" si="574"/>
        <v>126.1</v>
      </c>
      <c r="Y138" s="816">
        <f t="shared" si="574"/>
        <v>146.9</v>
      </c>
      <c r="Z138" s="816">
        <f t="shared" si="574"/>
        <v>159.9</v>
      </c>
      <c r="AA138" s="816">
        <f t="shared" si="574"/>
        <v>176.79999999999998</v>
      </c>
      <c r="AB138" s="816">
        <f t="shared" si="574"/>
        <v>193.7</v>
      </c>
      <c r="AC138" s="816">
        <f t="shared" si="574"/>
        <v>213.2</v>
      </c>
      <c r="AD138" s="816">
        <f t="shared" si="574"/>
        <v>230.1</v>
      </c>
      <c r="AE138" s="816">
        <f t="shared" si="574"/>
        <v>249.6</v>
      </c>
      <c r="AF138" s="436">
        <f t="shared" si="574"/>
        <v>270.39999999999998</v>
      </c>
      <c r="AG138" s="820">
        <f t="shared" si="574"/>
        <v>263.89999999999998</v>
      </c>
      <c r="AH138" s="816">
        <f t="shared" si="574"/>
        <v>300.3</v>
      </c>
      <c r="AI138" s="816">
        <f t="shared" si="574"/>
        <v>330.2</v>
      </c>
      <c r="AJ138" s="816">
        <f t="shared" si="574"/>
        <v>364</v>
      </c>
      <c r="AK138" s="816">
        <f t="shared" si="574"/>
        <v>390</v>
      </c>
      <c r="AL138" s="816">
        <f t="shared" si="574"/>
        <v>421.2</v>
      </c>
      <c r="AM138" s="816">
        <f t="shared" si="574"/>
        <v>452.4</v>
      </c>
      <c r="AN138" s="816">
        <f t="shared" si="574"/>
        <v>483.6</v>
      </c>
      <c r="AO138" s="816">
        <f t="shared" si="574"/>
        <v>497.9</v>
      </c>
      <c r="AP138" s="816">
        <f t="shared" si="574"/>
        <v>510.9</v>
      </c>
      <c r="AQ138" s="816">
        <f t="shared" si="574"/>
        <v>522.6</v>
      </c>
      <c r="AR138" s="436">
        <f t="shared" si="574"/>
        <v>536.9</v>
      </c>
    </row>
    <row r="139" spans="2:44">
      <c r="B139" s="548"/>
      <c r="F139" s="549"/>
      <c r="G139" s="417"/>
      <c r="H139" s="423"/>
      <c r="I139" s="424"/>
      <c r="J139" s="424"/>
      <c r="K139" s="424"/>
      <c r="L139" s="424"/>
      <c r="M139" s="424"/>
      <c r="N139" s="424"/>
      <c r="O139" s="424"/>
      <c r="P139" s="424"/>
      <c r="Q139" s="424"/>
      <c r="R139" s="424"/>
      <c r="S139" s="424"/>
      <c r="T139" s="816"/>
      <c r="U139" s="820"/>
      <c r="V139" s="816"/>
      <c r="W139" s="816"/>
      <c r="X139" s="816"/>
      <c r="Y139" s="816"/>
      <c r="Z139" s="816"/>
      <c r="AA139" s="816"/>
      <c r="AB139" s="816"/>
      <c r="AC139" s="816"/>
      <c r="AD139" s="816"/>
      <c r="AE139" s="816"/>
      <c r="AF139" s="436"/>
      <c r="AG139" s="820"/>
      <c r="AH139" s="816"/>
      <c r="AI139" s="816"/>
      <c r="AJ139" s="816"/>
      <c r="AK139" s="816"/>
      <c r="AL139" s="816"/>
      <c r="AM139" s="816"/>
      <c r="AN139" s="816"/>
      <c r="AO139" s="816"/>
      <c r="AP139" s="816"/>
      <c r="AQ139" s="816"/>
      <c r="AR139" s="436"/>
    </row>
    <row r="140" spans="2:44">
      <c r="B140" s="548"/>
      <c r="F140" s="549"/>
      <c r="G140" s="417" t="s">
        <v>438</v>
      </c>
      <c r="H140" s="416"/>
      <c r="I140" s="418"/>
      <c r="J140" s="416"/>
      <c r="K140" s="416"/>
      <c r="L140" s="416"/>
      <c r="M140" s="416"/>
      <c r="N140" s="416"/>
      <c r="O140" s="416"/>
      <c r="P140" s="416"/>
      <c r="Q140" s="416"/>
      <c r="R140" s="416"/>
      <c r="S140" s="416"/>
      <c r="T140" s="416"/>
      <c r="U140" s="822"/>
      <c r="V140" s="416"/>
      <c r="W140" s="416"/>
      <c r="X140" s="416"/>
      <c r="Y140" s="416"/>
      <c r="Z140" s="416"/>
      <c r="AA140" s="416"/>
      <c r="AB140" s="416"/>
      <c r="AC140" s="416"/>
      <c r="AD140" s="416"/>
      <c r="AE140" s="416"/>
      <c r="AF140" s="433"/>
      <c r="AG140" s="822"/>
      <c r="AH140" s="416"/>
      <c r="AI140" s="416"/>
      <c r="AJ140" s="416"/>
      <c r="AK140" s="416"/>
      <c r="AL140" s="416"/>
      <c r="AM140" s="416"/>
      <c r="AN140" s="416"/>
      <c r="AO140" s="416"/>
      <c r="AP140" s="416"/>
      <c r="AQ140" s="416"/>
      <c r="AR140" s="433"/>
    </row>
    <row r="141" spans="2:44">
      <c r="B141" s="548"/>
      <c r="F141" s="549"/>
      <c r="G141" s="419" t="s">
        <v>427</v>
      </c>
      <c r="H141" s="416"/>
      <c r="I141" s="418">
        <f>-(I136+J136)</f>
        <v>23</v>
      </c>
      <c r="J141" s="418">
        <f t="shared" ref="J141" si="575">-(J136+K136)</f>
        <v>24</v>
      </c>
      <c r="K141" s="418">
        <f t="shared" ref="K141" si="576">-(K136+L136)</f>
        <v>25</v>
      </c>
      <c r="L141" s="418">
        <f t="shared" ref="L141" si="577">-(L136+M136)</f>
        <v>27</v>
      </c>
      <c r="M141" s="418">
        <f t="shared" ref="M141" si="578">-(M136+N136)</f>
        <v>29</v>
      </c>
      <c r="N141" s="418">
        <f t="shared" ref="N141" si="579">-(N136+O136)</f>
        <v>31</v>
      </c>
      <c r="O141" s="418">
        <f t="shared" ref="O141" si="580">-(O136+P136)</f>
        <v>39</v>
      </c>
      <c r="P141" s="418">
        <f t="shared" ref="P141" si="581">-(P136+Q136)</f>
        <v>53</v>
      </c>
      <c r="Q141" s="418">
        <f t="shared" ref="Q141" si="582">-(Q136+R136)</f>
        <v>71</v>
      </c>
      <c r="R141" s="418">
        <f t="shared" ref="R141" si="583">-(R136+S136)</f>
        <v>88</v>
      </c>
      <c r="S141" s="418">
        <f t="shared" ref="S141" si="584">-(S136+T136)</f>
        <v>102</v>
      </c>
      <c r="T141" s="817">
        <f t="shared" ref="T141" si="585">-(T136+U136)</f>
        <v>122</v>
      </c>
      <c r="U141" s="825">
        <f t="shared" ref="U141" si="586">-(U136+V136)</f>
        <v>149</v>
      </c>
      <c r="V141" s="817">
        <f t="shared" ref="V141" si="587">-(V136+W136)</f>
        <v>179</v>
      </c>
      <c r="W141" s="817">
        <f t="shared" ref="W141" si="588">-(W136+X136)</f>
        <v>210</v>
      </c>
      <c r="X141" s="817">
        <f t="shared" ref="X141" si="589">-(X136+Y136)</f>
        <v>236</v>
      </c>
      <c r="Y141" s="817">
        <f t="shared" ref="Y141" si="590">-(Y136+Z136)</f>
        <v>259</v>
      </c>
      <c r="Z141" s="817">
        <f t="shared" ref="Z141" si="591">-(Z136+AA136)</f>
        <v>285</v>
      </c>
      <c r="AA141" s="817">
        <f t="shared" ref="AA141" si="592">-(AA136+AB136)</f>
        <v>313</v>
      </c>
      <c r="AB141" s="817">
        <f t="shared" ref="AB141" si="593">-(AB136+AC136)</f>
        <v>341</v>
      </c>
      <c r="AC141" s="817">
        <f t="shared" ref="AC141" si="594">-(AC136+AD136)</f>
        <v>369</v>
      </c>
      <c r="AD141" s="817">
        <f t="shared" ref="AD141" si="595">-(AD136+AE136)</f>
        <v>400</v>
      </c>
      <c r="AE141" s="817">
        <f t="shared" ref="AE141" si="596">-(AE136+AF136)</f>
        <v>411</v>
      </c>
      <c r="AF141" s="437">
        <f t="shared" ref="AF141" si="597">-(AF136+AG136)</f>
        <v>434</v>
      </c>
      <c r="AG141" s="825">
        <f t="shared" ref="AG141" si="598">-(AG136+AH136)</f>
        <v>485</v>
      </c>
      <c r="AH141" s="817">
        <f t="shared" ref="AH141" si="599">-(AH136+AI136)</f>
        <v>534</v>
      </c>
      <c r="AI141" s="817">
        <f t="shared" ref="AI141" si="600">-(AI136+AJ136)</f>
        <v>580</v>
      </c>
      <c r="AJ141" s="817">
        <f t="shared" ref="AJ141" si="601">-(AJ136+AK136)</f>
        <v>624</v>
      </c>
      <c r="AK141" s="817">
        <f t="shared" ref="AK141" si="602">-(AK136+AL136)</f>
        <v>672</v>
      </c>
      <c r="AL141" s="817">
        <f t="shared" ref="AL141" si="603">-(AL136+AM136)</f>
        <v>720</v>
      </c>
      <c r="AM141" s="817">
        <f t="shared" ref="AM141" si="604">-(AM136+AN136)</f>
        <v>755</v>
      </c>
      <c r="AN141" s="817">
        <f t="shared" ref="AN141" si="605">-(AN136+AO136)</f>
        <v>776</v>
      </c>
      <c r="AO141" s="817">
        <f t="shared" ref="AO141" si="606">-(AO136+AP136)</f>
        <v>795</v>
      </c>
      <c r="AP141" s="817">
        <f t="shared" ref="AP141" si="607">-(AP136+AQ136)</f>
        <v>815</v>
      </c>
      <c r="AQ141" s="817">
        <f t="shared" ref="AQ141" si="608">-(AQ136+AR136)</f>
        <v>833</v>
      </c>
      <c r="AR141" s="437">
        <f>-(AR136+AS136)</f>
        <v>420</v>
      </c>
    </row>
    <row r="142" spans="2:44">
      <c r="B142" s="548"/>
      <c r="F142" s="549"/>
      <c r="G142" s="419" t="s">
        <v>428</v>
      </c>
      <c r="H142" s="416"/>
      <c r="I142" s="418">
        <f>I138</f>
        <v>9</v>
      </c>
      <c r="J142" s="418">
        <f t="shared" ref="J142:AB142" si="609">J138</f>
        <v>14.3</v>
      </c>
      <c r="K142" s="418">
        <f t="shared" si="609"/>
        <v>15.6</v>
      </c>
      <c r="L142" s="418">
        <f t="shared" si="609"/>
        <v>15.6</v>
      </c>
      <c r="M142" s="418">
        <f t="shared" si="609"/>
        <v>16.899999999999999</v>
      </c>
      <c r="N142" s="418">
        <f t="shared" si="609"/>
        <v>18.2</v>
      </c>
      <c r="O142" s="418">
        <f t="shared" si="609"/>
        <v>19.5</v>
      </c>
      <c r="P142" s="418">
        <f t="shared" si="609"/>
        <v>20.8</v>
      </c>
      <c r="Q142" s="418">
        <f t="shared" si="609"/>
        <v>29.900000000000002</v>
      </c>
      <c r="R142" s="418">
        <f t="shared" si="609"/>
        <v>39</v>
      </c>
      <c r="S142" s="418">
        <f t="shared" si="609"/>
        <v>53.3</v>
      </c>
      <c r="T142" s="817">
        <f t="shared" si="609"/>
        <v>61.1</v>
      </c>
      <c r="U142" s="825">
        <f t="shared" si="609"/>
        <v>71.5</v>
      </c>
      <c r="V142" s="817">
        <f t="shared" si="609"/>
        <v>87.1</v>
      </c>
      <c r="W142" s="817">
        <f t="shared" si="609"/>
        <v>106.6</v>
      </c>
      <c r="X142" s="817">
        <f t="shared" si="609"/>
        <v>126.1</v>
      </c>
      <c r="Y142" s="817">
        <f t="shared" si="609"/>
        <v>146.9</v>
      </c>
      <c r="Z142" s="817">
        <f t="shared" si="609"/>
        <v>159.9</v>
      </c>
      <c r="AA142" s="817">
        <f t="shared" si="609"/>
        <v>176.79999999999998</v>
      </c>
      <c r="AB142" s="817">
        <f t="shared" si="609"/>
        <v>193.7</v>
      </c>
      <c r="AC142" s="817">
        <f>AC138</f>
        <v>213.2</v>
      </c>
      <c r="AD142" s="817">
        <f t="shared" ref="AD142:AR142" si="610">AD138</f>
        <v>230.1</v>
      </c>
      <c r="AE142" s="817">
        <f t="shared" si="610"/>
        <v>249.6</v>
      </c>
      <c r="AF142" s="437">
        <f t="shared" si="610"/>
        <v>270.39999999999998</v>
      </c>
      <c r="AG142" s="825">
        <f t="shared" si="610"/>
        <v>263.89999999999998</v>
      </c>
      <c r="AH142" s="817">
        <f t="shared" si="610"/>
        <v>300.3</v>
      </c>
      <c r="AI142" s="817">
        <f t="shared" si="610"/>
        <v>330.2</v>
      </c>
      <c r="AJ142" s="817">
        <f t="shared" si="610"/>
        <v>364</v>
      </c>
      <c r="AK142" s="817">
        <f t="shared" si="610"/>
        <v>390</v>
      </c>
      <c r="AL142" s="817">
        <f t="shared" si="610"/>
        <v>421.2</v>
      </c>
      <c r="AM142" s="817">
        <f t="shared" si="610"/>
        <v>452.4</v>
      </c>
      <c r="AN142" s="817">
        <f t="shared" si="610"/>
        <v>483.6</v>
      </c>
      <c r="AO142" s="817">
        <f t="shared" si="610"/>
        <v>497.9</v>
      </c>
      <c r="AP142" s="817">
        <f t="shared" si="610"/>
        <v>510.9</v>
      </c>
      <c r="AQ142" s="817">
        <f t="shared" si="610"/>
        <v>522.6</v>
      </c>
      <c r="AR142" s="437">
        <f t="shared" si="610"/>
        <v>536.9</v>
      </c>
    </row>
    <row r="143" spans="2:44">
      <c r="B143" s="548"/>
      <c r="F143" s="549"/>
      <c r="G143" s="419" t="s">
        <v>429</v>
      </c>
      <c r="H143" s="416"/>
      <c r="I143" s="418">
        <f>-I141+I142</f>
        <v>-14</v>
      </c>
      <c r="J143" s="418">
        <f t="shared" ref="J143:AR143" si="611">-J141+J142</f>
        <v>-9.6999999999999993</v>
      </c>
      <c r="K143" s="418">
        <f t="shared" si="611"/>
        <v>-9.4</v>
      </c>
      <c r="L143" s="418">
        <f t="shared" si="611"/>
        <v>-11.4</v>
      </c>
      <c r="M143" s="418">
        <f t="shared" si="611"/>
        <v>-12.100000000000001</v>
      </c>
      <c r="N143" s="418">
        <f t="shared" si="611"/>
        <v>-12.8</v>
      </c>
      <c r="O143" s="418">
        <f t="shared" si="611"/>
        <v>-19.5</v>
      </c>
      <c r="P143" s="418">
        <f t="shared" si="611"/>
        <v>-32.200000000000003</v>
      </c>
      <c r="Q143" s="418">
        <f t="shared" si="611"/>
        <v>-41.099999999999994</v>
      </c>
      <c r="R143" s="418">
        <f t="shared" si="611"/>
        <v>-49</v>
      </c>
      <c r="S143" s="418">
        <f t="shared" si="611"/>
        <v>-48.7</v>
      </c>
      <c r="T143" s="817">
        <f t="shared" si="611"/>
        <v>-60.9</v>
      </c>
      <c r="U143" s="825">
        <f t="shared" si="611"/>
        <v>-77.5</v>
      </c>
      <c r="V143" s="817">
        <f t="shared" si="611"/>
        <v>-91.9</v>
      </c>
      <c r="W143" s="817">
        <f t="shared" si="611"/>
        <v>-103.4</v>
      </c>
      <c r="X143" s="817">
        <f t="shared" si="611"/>
        <v>-109.9</v>
      </c>
      <c r="Y143" s="817">
        <f t="shared" si="611"/>
        <v>-112.1</v>
      </c>
      <c r="Z143" s="817">
        <f t="shared" si="611"/>
        <v>-125.1</v>
      </c>
      <c r="AA143" s="817">
        <f t="shared" si="611"/>
        <v>-136.20000000000002</v>
      </c>
      <c r="AB143" s="817">
        <f t="shared" si="611"/>
        <v>-147.30000000000001</v>
      </c>
      <c r="AC143" s="817">
        <f t="shared" si="611"/>
        <v>-155.80000000000001</v>
      </c>
      <c r="AD143" s="817">
        <f t="shared" si="611"/>
        <v>-169.9</v>
      </c>
      <c r="AE143" s="817">
        <f t="shared" si="611"/>
        <v>-161.4</v>
      </c>
      <c r="AF143" s="437">
        <f t="shared" si="611"/>
        <v>-163.60000000000002</v>
      </c>
      <c r="AG143" s="825">
        <f t="shared" si="611"/>
        <v>-221.10000000000002</v>
      </c>
      <c r="AH143" s="817">
        <f t="shared" si="611"/>
        <v>-233.7</v>
      </c>
      <c r="AI143" s="817">
        <f t="shared" si="611"/>
        <v>-249.8</v>
      </c>
      <c r="AJ143" s="817">
        <f t="shared" si="611"/>
        <v>-260</v>
      </c>
      <c r="AK143" s="817">
        <f t="shared" si="611"/>
        <v>-282</v>
      </c>
      <c r="AL143" s="817">
        <f t="shared" si="611"/>
        <v>-298.8</v>
      </c>
      <c r="AM143" s="817">
        <f t="shared" si="611"/>
        <v>-302.60000000000002</v>
      </c>
      <c r="AN143" s="817">
        <f t="shared" si="611"/>
        <v>-292.39999999999998</v>
      </c>
      <c r="AO143" s="817">
        <f t="shared" si="611"/>
        <v>-297.10000000000002</v>
      </c>
      <c r="AP143" s="817">
        <f t="shared" si="611"/>
        <v>-304.10000000000002</v>
      </c>
      <c r="AQ143" s="817">
        <f t="shared" si="611"/>
        <v>-310.39999999999998</v>
      </c>
      <c r="AR143" s="437">
        <f t="shared" si="611"/>
        <v>116.89999999999998</v>
      </c>
    </row>
    <row r="144" spans="2:44">
      <c r="B144" s="548"/>
      <c r="F144" s="549"/>
      <c r="G144" s="419" t="s">
        <v>434</v>
      </c>
      <c r="H144" s="416"/>
      <c r="I144" s="418">
        <f>-$H$132*I136</f>
        <v>3.3</v>
      </c>
      <c r="J144" s="418">
        <f t="shared" ref="J144:AR144" si="612">-$H$132*J136</f>
        <v>3.5999999999999996</v>
      </c>
      <c r="K144" s="418">
        <f t="shared" si="612"/>
        <v>3.5999999999999996</v>
      </c>
      <c r="L144" s="418">
        <f t="shared" si="612"/>
        <v>3.9</v>
      </c>
      <c r="M144" s="418">
        <f t="shared" si="612"/>
        <v>4.2</v>
      </c>
      <c r="N144" s="418">
        <f t="shared" si="612"/>
        <v>4.5</v>
      </c>
      <c r="O144" s="418">
        <f t="shared" si="612"/>
        <v>4.8</v>
      </c>
      <c r="P144" s="418">
        <f t="shared" si="612"/>
        <v>6.8999999999999995</v>
      </c>
      <c r="Q144" s="418">
        <f t="shared" si="612"/>
        <v>9</v>
      </c>
      <c r="R144" s="418">
        <f t="shared" si="612"/>
        <v>12.299999999999999</v>
      </c>
      <c r="S144" s="418">
        <f t="shared" si="612"/>
        <v>14.1</v>
      </c>
      <c r="T144" s="418">
        <f t="shared" si="612"/>
        <v>16.5</v>
      </c>
      <c r="U144" s="825">
        <f t="shared" si="612"/>
        <v>20.099999999999998</v>
      </c>
      <c r="V144" s="817">
        <f t="shared" si="612"/>
        <v>24.599999999999998</v>
      </c>
      <c r="W144" s="817">
        <f t="shared" si="612"/>
        <v>29.099999999999998</v>
      </c>
      <c r="X144" s="817">
        <f t="shared" si="612"/>
        <v>33.9</v>
      </c>
      <c r="Y144" s="817">
        <f t="shared" si="612"/>
        <v>36.9</v>
      </c>
      <c r="Z144" s="817">
        <f t="shared" si="612"/>
        <v>40.799999999999997</v>
      </c>
      <c r="AA144" s="817">
        <f t="shared" si="612"/>
        <v>44.699999999999996</v>
      </c>
      <c r="AB144" s="817">
        <f t="shared" si="612"/>
        <v>49.199999999999996</v>
      </c>
      <c r="AC144" s="817">
        <f t="shared" si="612"/>
        <v>53.1</v>
      </c>
      <c r="AD144" s="817">
        <f t="shared" si="612"/>
        <v>57.599999999999994</v>
      </c>
      <c r="AE144" s="817">
        <f t="shared" si="612"/>
        <v>62.4</v>
      </c>
      <c r="AF144" s="437">
        <f t="shared" si="612"/>
        <v>60.9</v>
      </c>
      <c r="AG144" s="825">
        <f t="shared" si="612"/>
        <v>69.3</v>
      </c>
      <c r="AH144" s="817">
        <f t="shared" si="612"/>
        <v>76.2</v>
      </c>
      <c r="AI144" s="817">
        <f t="shared" si="612"/>
        <v>84</v>
      </c>
      <c r="AJ144" s="817">
        <f t="shared" si="612"/>
        <v>90</v>
      </c>
      <c r="AK144" s="817">
        <f t="shared" si="612"/>
        <v>97.2</v>
      </c>
      <c r="AL144" s="817">
        <f t="shared" si="612"/>
        <v>104.39999999999999</v>
      </c>
      <c r="AM144" s="817">
        <f t="shared" si="612"/>
        <v>111.6</v>
      </c>
      <c r="AN144" s="817">
        <f t="shared" si="612"/>
        <v>114.89999999999999</v>
      </c>
      <c r="AO144" s="817">
        <f t="shared" si="612"/>
        <v>117.89999999999999</v>
      </c>
      <c r="AP144" s="817">
        <f t="shared" si="612"/>
        <v>120.6</v>
      </c>
      <c r="AQ144" s="817">
        <f t="shared" si="612"/>
        <v>123.89999999999999</v>
      </c>
      <c r="AR144" s="437">
        <f t="shared" si="612"/>
        <v>126</v>
      </c>
    </row>
    <row r="145" spans="2:44">
      <c r="B145" s="548"/>
      <c r="F145" s="549"/>
      <c r="G145" s="417" t="s">
        <v>431</v>
      </c>
      <c r="H145" s="423"/>
      <c r="I145" s="425">
        <f t="shared" ref="I145:AR145" si="613">IF((I144-I143)&lt;=0,"-",(I144-I143))</f>
        <v>17.3</v>
      </c>
      <c r="J145" s="425">
        <f t="shared" si="613"/>
        <v>13.299999999999999</v>
      </c>
      <c r="K145" s="425">
        <f t="shared" si="613"/>
        <v>13</v>
      </c>
      <c r="L145" s="425">
        <f t="shared" si="613"/>
        <v>15.3</v>
      </c>
      <c r="M145" s="425">
        <f t="shared" si="613"/>
        <v>16.3</v>
      </c>
      <c r="N145" s="425">
        <f t="shared" si="613"/>
        <v>17.3</v>
      </c>
      <c r="O145" s="425">
        <f t="shared" si="613"/>
        <v>24.3</v>
      </c>
      <c r="P145" s="425">
        <f t="shared" si="613"/>
        <v>39.1</v>
      </c>
      <c r="Q145" s="425">
        <f t="shared" si="613"/>
        <v>50.099999999999994</v>
      </c>
      <c r="R145" s="425">
        <f t="shared" si="613"/>
        <v>61.3</v>
      </c>
      <c r="S145" s="425">
        <f t="shared" si="613"/>
        <v>62.800000000000004</v>
      </c>
      <c r="T145" s="818">
        <f t="shared" si="613"/>
        <v>77.400000000000006</v>
      </c>
      <c r="U145" s="826">
        <f t="shared" si="613"/>
        <v>97.6</v>
      </c>
      <c r="V145" s="818">
        <f t="shared" si="613"/>
        <v>116.5</v>
      </c>
      <c r="W145" s="818">
        <f t="shared" si="613"/>
        <v>132.5</v>
      </c>
      <c r="X145" s="818">
        <f t="shared" si="613"/>
        <v>143.80000000000001</v>
      </c>
      <c r="Y145" s="818">
        <f t="shared" si="613"/>
        <v>149</v>
      </c>
      <c r="Z145" s="818">
        <f t="shared" si="613"/>
        <v>165.89999999999998</v>
      </c>
      <c r="AA145" s="818">
        <f t="shared" si="613"/>
        <v>180.9</v>
      </c>
      <c r="AB145" s="818">
        <f t="shared" si="613"/>
        <v>196.5</v>
      </c>
      <c r="AC145" s="818">
        <f t="shared" si="613"/>
        <v>208.9</v>
      </c>
      <c r="AD145" s="818">
        <f t="shared" si="613"/>
        <v>227.5</v>
      </c>
      <c r="AE145" s="818">
        <f t="shared" si="613"/>
        <v>223.8</v>
      </c>
      <c r="AF145" s="438">
        <f t="shared" si="613"/>
        <v>224.50000000000003</v>
      </c>
      <c r="AG145" s="826">
        <f t="shared" si="613"/>
        <v>290.40000000000003</v>
      </c>
      <c r="AH145" s="818">
        <f t="shared" si="613"/>
        <v>309.89999999999998</v>
      </c>
      <c r="AI145" s="818">
        <f t="shared" si="613"/>
        <v>333.8</v>
      </c>
      <c r="AJ145" s="818">
        <f t="shared" si="613"/>
        <v>350</v>
      </c>
      <c r="AK145" s="818">
        <f t="shared" si="613"/>
        <v>379.2</v>
      </c>
      <c r="AL145" s="818">
        <f t="shared" si="613"/>
        <v>403.2</v>
      </c>
      <c r="AM145" s="818">
        <f t="shared" si="613"/>
        <v>414.20000000000005</v>
      </c>
      <c r="AN145" s="818">
        <f t="shared" si="613"/>
        <v>407.29999999999995</v>
      </c>
      <c r="AO145" s="818">
        <f t="shared" si="613"/>
        <v>415</v>
      </c>
      <c r="AP145" s="818">
        <f t="shared" si="613"/>
        <v>424.70000000000005</v>
      </c>
      <c r="AQ145" s="818">
        <f t="shared" si="613"/>
        <v>434.29999999999995</v>
      </c>
      <c r="AR145" s="438">
        <f t="shared" si="613"/>
        <v>9.1000000000000227</v>
      </c>
    </row>
    <row r="146" spans="2:44">
      <c r="B146" s="548"/>
      <c r="F146" s="549"/>
      <c r="G146" s="423"/>
      <c r="H146" s="427"/>
      <c r="I146" s="416"/>
      <c r="J146" s="416"/>
      <c r="K146" s="416"/>
      <c r="L146" s="416"/>
      <c r="M146" s="416"/>
      <c r="N146" s="416"/>
      <c r="O146" s="416"/>
      <c r="P146" s="416"/>
      <c r="Q146" s="416"/>
      <c r="R146" s="416"/>
      <c r="S146" s="416"/>
      <c r="T146" s="416"/>
      <c r="U146" s="822"/>
      <c r="V146" s="416"/>
      <c r="W146" s="416"/>
      <c r="X146" s="416"/>
      <c r="Y146" s="416"/>
      <c r="Z146" s="416"/>
      <c r="AA146" s="416"/>
      <c r="AB146" s="416"/>
      <c r="AC146" s="416"/>
      <c r="AD146" s="416"/>
      <c r="AE146" s="416"/>
      <c r="AF146" s="433"/>
      <c r="AG146" s="822"/>
      <c r="AH146" s="416"/>
      <c r="AI146" s="416"/>
      <c r="AJ146" s="416"/>
      <c r="AK146" s="416"/>
      <c r="AL146" s="416"/>
      <c r="AM146" s="416"/>
      <c r="AN146" s="416"/>
      <c r="AO146" s="416"/>
      <c r="AP146" s="416"/>
      <c r="AQ146" s="416"/>
      <c r="AR146" s="433"/>
    </row>
    <row r="147" spans="2:44">
      <c r="B147" s="548"/>
      <c r="F147" s="549"/>
      <c r="G147" s="449" t="s">
        <v>432</v>
      </c>
      <c r="H147" s="428"/>
      <c r="I147" s="428">
        <f>'Pricing Model'!$E$78*I138</f>
        <v>162</v>
      </c>
      <c r="J147" s="428">
        <f>'Pricing Model'!$E$78*J138</f>
        <v>257.40000000000003</v>
      </c>
      <c r="K147" s="428">
        <f>'Pricing Model'!$E$78*K138</f>
        <v>280.8</v>
      </c>
      <c r="L147" s="428">
        <f>'Pricing Model'!$E$78*L138</f>
        <v>280.8</v>
      </c>
      <c r="M147" s="428">
        <f>'Pricing Model'!$E$78*M138</f>
        <v>304.2</v>
      </c>
      <c r="N147" s="428">
        <f>'Pricing Model'!$E$78*N138</f>
        <v>327.59999999999997</v>
      </c>
      <c r="O147" s="428">
        <f>'Pricing Model'!$E$78*O138</f>
        <v>351</v>
      </c>
      <c r="P147" s="428">
        <f>'Pricing Model'!$E$78*P138</f>
        <v>374.40000000000003</v>
      </c>
      <c r="Q147" s="428">
        <f>'Pricing Model'!$E$78*Q138</f>
        <v>538.20000000000005</v>
      </c>
      <c r="R147" s="428">
        <f>'Pricing Model'!$E$78*R138</f>
        <v>702</v>
      </c>
      <c r="S147" s="428">
        <f>'Pricing Model'!$E$78*S138</f>
        <v>959.4</v>
      </c>
      <c r="T147" s="428">
        <f>'Pricing Model'!$E$78*T138</f>
        <v>1099.8</v>
      </c>
      <c r="U147" s="827">
        <f>'Pricing Model'!$E$78*U138</f>
        <v>1287</v>
      </c>
      <c r="V147" s="428">
        <f>'Pricing Model'!$E$78*V138</f>
        <v>1567.8</v>
      </c>
      <c r="W147" s="428">
        <f>'Pricing Model'!$E$78*W138</f>
        <v>1918.8</v>
      </c>
      <c r="X147" s="428">
        <f>'Pricing Model'!$E$78*X138</f>
        <v>2269.7999999999997</v>
      </c>
      <c r="Y147" s="428">
        <f>'Pricing Model'!$E$78*Y138</f>
        <v>2644.2000000000003</v>
      </c>
      <c r="Z147" s="428">
        <f>'Pricing Model'!$E$78*Z138</f>
        <v>2878.2000000000003</v>
      </c>
      <c r="AA147" s="428">
        <f>'Pricing Model'!$E$78*AA138</f>
        <v>3182.3999999999996</v>
      </c>
      <c r="AB147" s="428">
        <f>'Pricing Model'!$E$78*AB138</f>
        <v>3486.6</v>
      </c>
      <c r="AC147" s="428">
        <f>'Pricing Model'!$E$78*AC138</f>
        <v>3837.6</v>
      </c>
      <c r="AD147" s="428">
        <f>'Pricing Model'!$E$78*AD138</f>
        <v>4141.8</v>
      </c>
      <c r="AE147" s="428">
        <f>'Pricing Model'!$E$78*AE138</f>
        <v>4492.8</v>
      </c>
      <c r="AF147" s="439">
        <f>'Pricing Model'!$E$78*AF138</f>
        <v>4867.2</v>
      </c>
      <c r="AG147" s="827">
        <f>'Pricing Model'!$E$78*AG138</f>
        <v>4750.2</v>
      </c>
      <c r="AH147" s="428">
        <f>'Pricing Model'!$E$78*AH138</f>
        <v>5405.4000000000005</v>
      </c>
      <c r="AI147" s="428">
        <f>'Pricing Model'!$E$78*AI138</f>
        <v>5943.5999999999995</v>
      </c>
      <c r="AJ147" s="428">
        <f>'Pricing Model'!$E$78*AJ138</f>
        <v>6552</v>
      </c>
      <c r="AK147" s="428">
        <f>'Pricing Model'!$E$78*AK138</f>
        <v>7020</v>
      </c>
      <c r="AL147" s="428">
        <f>'Pricing Model'!$E$78*AL138</f>
        <v>7581.5999999999995</v>
      </c>
      <c r="AM147" s="428">
        <f>'Pricing Model'!$E$78*AM138</f>
        <v>8143.2</v>
      </c>
      <c r="AN147" s="428">
        <f>'Pricing Model'!$E$78*AN138</f>
        <v>8704.8000000000011</v>
      </c>
      <c r="AO147" s="428">
        <f>'Pricing Model'!$E$78*AO138</f>
        <v>8962.1999999999989</v>
      </c>
      <c r="AP147" s="428">
        <f>'Pricing Model'!$E$78*AP138</f>
        <v>9196.1999999999989</v>
      </c>
      <c r="AQ147" s="428">
        <f>'Pricing Model'!$E$78*AQ138</f>
        <v>9406.8000000000011</v>
      </c>
      <c r="AR147" s="439">
        <f>'Pricing Model'!$E$78*AR138</f>
        <v>9664.1999999999989</v>
      </c>
    </row>
    <row r="148" spans="2:44" ht="16.2" thickBot="1">
      <c r="B148" s="550"/>
      <c r="C148" s="551"/>
      <c r="D148" s="551"/>
      <c r="E148" s="551"/>
      <c r="F148" s="552"/>
      <c r="G148" s="411" t="s">
        <v>441</v>
      </c>
      <c r="H148" s="429"/>
      <c r="I148" s="582">
        <f>I147</f>
        <v>162</v>
      </c>
      <c r="J148" s="583">
        <f>J147-I147</f>
        <v>95.400000000000034</v>
      </c>
      <c r="K148" s="583">
        <f>K147-J147</f>
        <v>23.399999999999977</v>
      </c>
      <c r="L148" s="583">
        <f t="shared" ref="L148" si="614">L147-K147</f>
        <v>0</v>
      </c>
      <c r="M148" s="583">
        <f t="shared" ref="M148" si="615">M147-L147</f>
        <v>23.399999999999977</v>
      </c>
      <c r="N148" s="583">
        <f t="shared" ref="N148" si="616">N147-M147</f>
        <v>23.399999999999977</v>
      </c>
      <c r="O148" s="583">
        <f t="shared" ref="O148" si="617">O147-N147</f>
        <v>23.400000000000034</v>
      </c>
      <c r="P148" s="583">
        <f t="shared" ref="P148" si="618">P147-O147</f>
        <v>23.400000000000034</v>
      </c>
      <c r="Q148" s="583">
        <f t="shared" ref="Q148" si="619">Q147-P147</f>
        <v>163.80000000000001</v>
      </c>
      <c r="R148" s="583">
        <f t="shared" ref="R148" si="620">R147-Q147</f>
        <v>163.79999999999995</v>
      </c>
      <c r="S148" s="583">
        <f t="shared" ref="S148" si="621">S147-R147</f>
        <v>257.39999999999998</v>
      </c>
      <c r="T148" s="583">
        <f t="shared" ref="T148" si="622">T147-S147</f>
        <v>140.39999999999998</v>
      </c>
      <c r="U148" s="828">
        <f t="shared" ref="U148" si="623">U147-T147</f>
        <v>187.20000000000005</v>
      </c>
      <c r="V148" s="583">
        <f t="shared" ref="V148" si="624">V147-U147</f>
        <v>280.79999999999995</v>
      </c>
      <c r="W148" s="583">
        <f t="shared" ref="W148" si="625">W147-V147</f>
        <v>351</v>
      </c>
      <c r="X148" s="583">
        <f t="shared" ref="X148" si="626">X147-W147</f>
        <v>350.99999999999977</v>
      </c>
      <c r="Y148" s="583">
        <f t="shared" ref="Y148" si="627">Y147-X147</f>
        <v>374.40000000000055</v>
      </c>
      <c r="Z148" s="583">
        <f t="shared" ref="Z148" si="628">Z147-Y147</f>
        <v>234</v>
      </c>
      <c r="AA148" s="583">
        <f t="shared" ref="AA148" si="629">AA147-Z147</f>
        <v>304.19999999999936</v>
      </c>
      <c r="AB148" s="583">
        <f t="shared" ref="AB148" si="630">AB147-AA147</f>
        <v>304.20000000000027</v>
      </c>
      <c r="AC148" s="583">
        <f t="shared" ref="AC148" si="631">AC147-AB147</f>
        <v>351</v>
      </c>
      <c r="AD148" s="583">
        <f t="shared" ref="AD148" si="632">AD147-AC147</f>
        <v>304.20000000000027</v>
      </c>
      <c r="AE148" s="583">
        <f t="shared" ref="AE148" si="633">AE147-AD147</f>
        <v>351</v>
      </c>
      <c r="AF148" s="584">
        <f t="shared" ref="AF148" si="634">AF147-AE147</f>
        <v>374.39999999999964</v>
      </c>
      <c r="AG148" s="828">
        <f t="shared" ref="AG148" si="635">AG147-AF147</f>
        <v>-117</v>
      </c>
      <c r="AH148" s="583">
        <f t="shared" ref="AH148" si="636">AH147-AG147</f>
        <v>655.20000000000073</v>
      </c>
      <c r="AI148" s="583">
        <f t="shared" ref="AI148" si="637">AI147-AH147</f>
        <v>538.19999999999891</v>
      </c>
      <c r="AJ148" s="583">
        <f t="shared" ref="AJ148" si="638">AJ147-AI147</f>
        <v>608.40000000000055</v>
      </c>
      <c r="AK148" s="583">
        <f t="shared" ref="AK148" si="639">AK147-AJ147</f>
        <v>468</v>
      </c>
      <c r="AL148" s="583">
        <f t="shared" ref="AL148" si="640">AL147-AK147</f>
        <v>561.59999999999945</v>
      </c>
      <c r="AM148" s="583">
        <f t="shared" ref="AM148" si="641">AM147-AL147</f>
        <v>561.60000000000036</v>
      </c>
      <c r="AN148" s="583">
        <f t="shared" ref="AN148" si="642">AN147-AM147</f>
        <v>561.60000000000127</v>
      </c>
      <c r="AO148" s="583">
        <f t="shared" ref="AO148" si="643">AO147-AN147</f>
        <v>257.39999999999782</v>
      </c>
      <c r="AP148" s="583">
        <f t="shared" ref="AP148" si="644">AP147-AO147</f>
        <v>234</v>
      </c>
      <c r="AQ148" s="583">
        <f t="shared" ref="AQ148" si="645">AQ147-AP147</f>
        <v>210.60000000000218</v>
      </c>
      <c r="AR148" s="584">
        <f t="shared" ref="AR148" si="646">AR147-AQ147</f>
        <v>257.39999999999782</v>
      </c>
    </row>
    <row r="149" spans="2:44" ht="16.2" thickTop="1">
      <c r="G149" s="578"/>
      <c r="H149" s="579"/>
      <c r="I149" s="580"/>
      <c r="J149" s="579"/>
      <c r="K149" s="579"/>
      <c r="L149" s="579"/>
      <c r="M149" s="579"/>
      <c r="N149" s="579"/>
      <c r="O149" s="579"/>
      <c r="P149" s="579"/>
      <c r="Q149" s="579"/>
      <c r="R149" s="579"/>
      <c r="S149" s="579"/>
      <c r="T149" s="579"/>
      <c r="U149" s="838"/>
      <c r="V149" s="579"/>
      <c r="W149" s="579"/>
      <c r="X149" s="579"/>
      <c r="Y149" s="579"/>
      <c r="Z149" s="579"/>
      <c r="AA149" s="579"/>
      <c r="AB149" s="579"/>
      <c r="AC149" s="579"/>
      <c r="AD149" s="579"/>
      <c r="AE149" s="579"/>
      <c r="AF149" s="581"/>
      <c r="AG149" s="838"/>
      <c r="AH149" s="579"/>
      <c r="AI149" s="579"/>
      <c r="AJ149" s="579"/>
      <c r="AK149" s="579"/>
      <c r="AL149" s="579"/>
      <c r="AM149" s="579"/>
      <c r="AN149" s="579"/>
      <c r="AO149" s="579"/>
      <c r="AP149" s="579"/>
      <c r="AQ149" s="579"/>
      <c r="AR149" s="581"/>
    </row>
    <row r="150" spans="2:44">
      <c r="G150" s="578"/>
      <c r="H150" s="579"/>
      <c r="I150" s="580"/>
      <c r="J150" s="579"/>
      <c r="K150" s="579"/>
      <c r="L150" s="579"/>
      <c r="M150" s="579"/>
      <c r="N150" s="579"/>
      <c r="O150" s="579"/>
      <c r="P150" s="579"/>
      <c r="Q150" s="579"/>
      <c r="R150" s="579"/>
      <c r="S150" s="579"/>
      <c r="T150" s="579"/>
      <c r="U150" s="838"/>
      <c r="V150" s="579"/>
      <c r="W150" s="579"/>
      <c r="X150" s="579"/>
      <c r="Y150" s="579"/>
      <c r="Z150" s="579"/>
      <c r="AA150" s="579"/>
      <c r="AB150" s="579"/>
      <c r="AC150" s="579"/>
      <c r="AD150" s="579"/>
      <c r="AE150" s="579"/>
      <c r="AF150" s="581"/>
      <c r="AG150" s="838"/>
      <c r="AH150" s="579"/>
      <c r="AI150" s="579"/>
      <c r="AJ150" s="579"/>
      <c r="AK150" s="579"/>
      <c r="AL150" s="579"/>
      <c r="AM150" s="579"/>
      <c r="AN150" s="579"/>
      <c r="AO150" s="579"/>
      <c r="AP150" s="579"/>
      <c r="AQ150" s="579"/>
      <c r="AR150" s="581"/>
    </row>
    <row r="151" spans="2:44" ht="16.2" thickBot="1">
      <c r="G151" s="578"/>
      <c r="H151" s="579"/>
      <c r="I151" s="580"/>
      <c r="J151" s="579"/>
      <c r="K151" s="579"/>
      <c r="L151" s="579"/>
      <c r="M151" s="579"/>
      <c r="N151" s="579"/>
      <c r="O151" s="579"/>
      <c r="P151" s="579"/>
      <c r="Q151" s="579"/>
      <c r="R151" s="579"/>
      <c r="S151" s="579"/>
      <c r="T151" s="579"/>
      <c r="U151" s="838"/>
      <c r="V151" s="579"/>
      <c r="W151" s="579"/>
      <c r="X151" s="579"/>
      <c r="Y151" s="579"/>
      <c r="Z151" s="579"/>
      <c r="AA151" s="579"/>
      <c r="AB151" s="579"/>
      <c r="AC151" s="579"/>
      <c r="AD151" s="579"/>
      <c r="AE151" s="579"/>
      <c r="AF151" s="581"/>
      <c r="AG151" s="838"/>
      <c r="AH151" s="579"/>
      <c r="AI151" s="579"/>
      <c r="AJ151" s="579"/>
      <c r="AK151" s="579"/>
      <c r="AL151" s="579"/>
      <c r="AM151" s="579"/>
      <c r="AN151" s="579"/>
      <c r="AO151" s="579"/>
      <c r="AP151" s="579"/>
      <c r="AQ151" s="579"/>
      <c r="AR151" s="581"/>
    </row>
    <row r="152" spans="2:44" ht="16.2" thickTop="1">
      <c r="B152" s="545"/>
      <c r="C152" s="546"/>
      <c r="D152" s="546"/>
      <c r="E152" s="546"/>
      <c r="F152" s="547"/>
      <c r="G152" s="414" t="s">
        <v>433</v>
      </c>
      <c r="H152" s="410">
        <v>0.1</v>
      </c>
      <c r="I152" s="416"/>
      <c r="J152" s="416"/>
      <c r="K152" s="416"/>
      <c r="L152" s="416"/>
      <c r="M152" s="416"/>
      <c r="N152" s="416"/>
      <c r="O152" s="416"/>
      <c r="P152" s="416"/>
      <c r="Q152" s="416"/>
      <c r="R152" s="416"/>
      <c r="S152" s="416"/>
      <c r="T152" s="416"/>
      <c r="U152" s="822"/>
      <c r="V152" s="416"/>
      <c r="W152" s="416"/>
      <c r="X152" s="416"/>
      <c r="Y152" s="416"/>
      <c r="Z152" s="416"/>
      <c r="AA152" s="416"/>
      <c r="AB152" s="416"/>
      <c r="AC152" s="416"/>
      <c r="AD152" s="416"/>
      <c r="AE152" s="416"/>
      <c r="AF152" s="433"/>
      <c r="AG152" s="822"/>
      <c r="AH152" s="416"/>
      <c r="AI152" s="416"/>
      <c r="AJ152" s="416"/>
      <c r="AK152" s="416"/>
      <c r="AL152" s="416"/>
      <c r="AM152" s="416"/>
      <c r="AN152" s="416"/>
      <c r="AO152" s="416"/>
      <c r="AP152" s="416"/>
      <c r="AQ152" s="416"/>
      <c r="AR152" s="433"/>
    </row>
    <row r="153" spans="2:44">
      <c r="B153" s="548"/>
      <c r="F153" s="549"/>
      <c r="G153" s="414"/>
      <c r="H153" s="415"/>
      <c r="I153" s="416"/>
      <c r="J153" s="416"/>
      <c r="K153" s="416"/>
      <c r="L153" s="416"/>
      <c r="M153" s="416"/>
      <c r="N153" s="416"/>
      <c r="O153" s="416"/>
      <c r="P153" s="416"/>
      <c r="Q153" s="416"/>
      <c r="R153" s="416"/>
      <c r="S153" s="416"/>
      <c r="T153" s="416"/>
      <c r="U153" s="822"/>
      <c r="V153" s="416"/>
      <c r="W153" s="416"/>
      <c r="X153" s="416"/>
      <c r="Y153" s="416"/>
      <c r="Z153" s="416"/>
      <c r="AA153" s="416"/>
      <c r="AB153" s="416"/>
      <c r="AC153" s="416"/>
      <c r="AD153" s="416"/>
      <c r="AE153" s="416"/>
      <c r="AF153" s="433"/>
      <c r="AG153" s="822"/>
      <c r="AH153" s="416"/>
      <c r="AI153" s="416"/>
      <c r="AJ153" s="416"/>
      <c r="AK153" s="416"/>
      <c r="AL153" s="416"/>
      <c r="AM153" s="416"/>
      <c r="AN153" s="416"/>
      <c r="AO153" s="416"/>
      <c r="AP153" s="416"/>
      <c r="AQ153" s="416"/>
      <c r="AR153" s="433"/>
    </row>
    <row r="154" spans="2:44" ht="21">
      <c r="B154" s="548"/>
      <c r="C154" s="1243" t="s">
        <v>521</v>
      </c>
      <c r="D154" s="1243"/>
      <c r="F154" s="549"/>
      <c r="G154" s="417" t="s">
        <v>437</v>
      </c>
      <c r="H154" s="416"/>
      <c r="I154" s="418"/>
      <c r="J154" s="416"/>
      <c r="K154" s="416"/>
      <c r="L154" s="416"/>
      <c r="M154" s="416"/>
      <c r="N154" s="416"/>
      <c r="O154" s="416"/>
      <c r="P154" s="416"/>
      <c r="Q154" s="416"/>
      <c r="R154" s="416"/>
      <c r="S154" s="416"/>
      <c r="T154" s="416"/>
      <c r="U154" s="822"/>
      <c r="V154" s="416"/>
      <c r="W154" s="416"/>
      <c r="X154" s="416"/>
      <c r="Y154" s="416"/>
      <c r="Z154" s="416"/>
      <c r="AA154" s="416"/>
      <c r="AB154" s="416"/>
      <c r="AC154" s="416"/>
      <c r="AD154" s="416"/>
      <c r="AE154" s="416"/>
      <c r="AF154" s="433"/>
      <c r="AG154" s="822"/>
      <c r="AH154" s="416"/>
      <c r="AI154" s="416"/>
      <c r="AJ154" s="416"/>
      <c r="AK154" s="416"/>
      <c r="AL154" s="416"/>
      <c r="AM154" s="416"/>
      <c r="AN154" s="416"/>
      <c r="AO154" s="416"/>
      <c r="AP154" s="416"/>
      <c r="AQ154" s="416"/>
      <c r="AR154" s="433"/>
    </row>
    <row r="155" spans="2:44">
      <c r="B155" s="548"/>
      <c r="F155" s="549"/>
      <c r="G155" s="419" t="s">
        <v>423</v>
      </c>
      <c r="H155" s="416"/>
      <c r="I155" s="388">
        <v>20</v>
      </c>
      <c r="J155" s="420">
        <f>I158</f>
        <v>7</v>
      </c>
      <c r="K155" s="420">
        <f t="shared" ref="K155" si="647">J158</f>
        <v>14.3</v>
      </c>
      <c r="L155" s="420">
        <f t="shared" ref="L155" si="648">K158</f>
        <v>15.4</v>
      </c>
      <c r="M155" s="420">
        <f t="shared" ref="M155" si="649">L158</f>
        <v>14.3</v>
      </c>
      <c r="N155" s="420">
        <f t="shared" ref="N155" si="650">M158</f>
        <v>11</v>
      </c>
      <c r="O155" s="420">
        <f t="shared" ref="O155" si="651">N158</f>
        <v>12.1</v>
      </c>
      <c r="P155" s="420">
        <f t="shared" ref="P155" si="652">O158</f>
        <v>12.1</v>
      </c>
      <c r="Q155" s="420">
        <f t="shared" ref="Q155" si="653">P158</f>
        <v>14.299999999999999</v>
      </c>
      <c r="R155" s="420">
        <f t="shared" ref="R155" si="654">Q158</f>
        <v>16.5</v>
      </c>
      <c r="S155" s="420">
        <f t="shared" ref="S155" si="655">R158</f>
        <v>28.6</v>
      </c>
      <c r="T155" s="420">
        <f t="shared" ref="T155" si="656">S158</f>
        <v>31.9</v>
      </c>
      <c r="U155" s="823">
        <f t="shared" ref="U155" si="657">T158</f>
        <v>33</v>
      </c>
      <c r="V155" s="420">
        <f t="shared" ref="V155" si="658">U158</f>
        <v>40.700000000000003</v>
      </c>
      <c r="W155" s="420">
        <f t="shared" ref="W155" si="659">V158</f>
        <v>50.6</v>
      </c>
      <c r="X155" s="420">
        <f t="shared" ref="X155" si="660">W158</f>
        <v>56.1</v>
      </c>
      <c r="Y155" s="420">
        <f t="shared" ref="Y155" si="661">X158</f>
        <v>56.1</v>
      </c>
      <c r="Z155" s="420">
        <f t="shared" ref="Z155" si="662">Y158</f>
        <v>56.1</v>
      </c>
      <c r="AA155" s="420">
        <f t="shared" ref="AA155" si="663">Z158</f>
        <v>62.70000000000001</v>
      </c>
      <c r="AB155" s="420">
        <f t="shared" ref="AB155" si="664">AA158</f>
        <v>74.799999999999983</v>
      </c>
      <c r="AC155" s="420">
        <f t="shared" ref="AC155" si="665">AB158</f>
        <v>77</v>
      </c>
      <c r="AD155" s="420">
        <f t="shared" ref="AD155" si="666">AC158</f>
        <v>82.5</v>
      </c>
      <c r="AE155" s="420">
        <f t="shared" ref="AE155" si="667">AD158</f>
        <v>86.9</v>
      </c>
      <c r="AF155" s="434">
        <f t="shared" ref="AF155" si="668">AE158</f>
        <v>91.3</v>
      </c>
      <c r="AG155" s="823">
        <f t="shared" ref="AG155" si="669">AF158</f>
        <v>112.2</v>
      </c>
      <c r="AH155" s="420">
        <f t="shared" ref="AH155" si="670">AG158</f>
        <v>115.5</v>
      </c>
      <c r="AI155" s="420">
        <f t="shared" ref="AI155" si="671">AH158</f>
        <v>118.8</v>
      </c>
      <c r="AJ155" s="420">
        <f t="shared" ref="AJ155" si="672">AI158</f>
        <v>127.60000000000001</v>
      </c>
      <c r="AK155" s="420">
        <f t="shared" ref="AK155" si="673">AJ158</f>
        <v>133.10000000000002</v>
      </c>
      <c r="AL155" s="420">
        <f t="shared" ref="AL155" si="674">AK158</f>
        <v>138.6</v>
      </c>
      <c r="AM155" s="420">
        <f t="shared" ref="AM155" si="675">AL158</f>
        <v>144.1</v>
      </c>
      <c r="AN155" s="420">
        <f t="shared" ref="AN155" si="676">AM158</f>
        <v>149.6</v>
      </c>
      <c r="AO155" s="420">
        <f t="shared" ref="AO155" si="677">AN158</f>
        <v>157.30000000000001</v>
      </c>
      <c r="AP155" s="420">
        <f t="shared" ref="AP155" si="678">AO158</f>
        <v>162.80000000000001</v>
      </c>
      <c r="AQ155" s="420">
        <f t="shared" ref="AQ155" si="679">AP158</f>
        <v>211.2</v>
      </c>
      <c r="AR155" s="434">
        <f t="shared" ref="AR155" si="680">AQ158</f>
        <v>204.6</v>
      </c>
    </row>
    <row r="156" spans="2:44">
      <c r="B156" s="548"/>
      <c r="F156" s="549"/>
      <c r="G156" s="419" t="s">
        <v>424</v>
      </c>
      <c r="H156" s="416"/>
      <c r="I156" s="418">
        <f>-'Sales Forecast'!E83</f>
        <v>-13</v>
      </c>
      <c r="J156" s="418">
        <f>-'Sales Forecast'!F83</f>
        <v>-14</v>
      </c>
      <c r="K156" s="418">
        <f>-'Sales Forecast'!G83</f>
        <v>-13</v>
      </c>
      <c r="L156" s="418">
        <f>-'Sales Forecast'!H83</f>
        <v>-10</v>
      </c>
      <c r="M156" s="418">
        <f>-'Sales Forecast'!I83</f>
        <v>-11</v>
      </c>
      <c r="N156" s="418">
        <f>-'Sales Forecast'!J83</f>
        <v>-11</v>
      </c>
      <c r="O156" s="418">
        <f>-'Sales Forecast'!K83</f>
        <v>-13</v>
      </c>
      <c r="P156" s="418">
        <f>-'Sales Forecast'!L83</f>
        <v>-15</v>
      </c>
      <c r="Q156" s="418">
        <f>-'Sales Forecast'!M83</f>
        <v>-26</v>
      </c>
      <c r="R156" s="418">
        <f>-'Sales Forecast'!N83</f>
        <v>-29</v>
      </c>
      <c r="S156" s="418">
        <f>-'Sales Forecast'!O83</f>
        <v>-30</v>
      </c>
      <c r="T156" s="418">
        <f>-'Sales Forecast'!P83</f>
        <v>-37</v>
      </c>
      <c r="U156" s="825">
        <f>-'Sales Forecast'!Q83</f>
        <v>-46</v>
      </c>
      <c r="V156" s="817">
        <f>-'Sales Forecast'!R83</f>
        <v>-51</v>
      </c>
      <c r="W156" s="817">
        <f>-'Sales Forecast'!S83</f>
        <v>-51</v>
      </c>
      <c r="X156" s="817">
        <f>-'Sales Forecast'!T83</f>
        <v>-51</v>
      </c>
      <c r="Y156" s="817">
        <f>-'Sales Forecast'!U83</f>
        <v>-57</v>
      </c>
      <c r="Z156" s="817">
        <f>-'Sales Forecast'!V83</f>
        <v>-68</v>
      </c>
      <c r="AA156" s="817">
        <f>-'Sales Forecast'!W83</f>
        <v>-70</v>
      </c>
      <c r="AB156" s="817">
        <f>-'Sales Forecast'!X83</f>
        <v>-75</v>
      </c>
      <c r="AC156" s="817">
        <f>-'Sales Forecast'!Y83</f>
        <v>-79</v>
      </c>
      <c r="AD156" s="817">
        <f>-'Sales Forecast'!Z83</f>
        <v>-83</v>
      </c>
      <c r="AE156" s="817">
        <f>-'Sales Forecast'!AA83</f>
        <v>-102</v>
      </c>
      <c r="AF156" s="437">
        <f>-'Sales Forecast'!AB83</f>
        <v>-105</v>
      </c>
      <c r="AG156" s="825">
        <f>-'Sales Forecast'!AC83</f>
        <v>-108</v>
      </c>
      <c r="AH156" s="817">
        <f>-'Sales Forecast'!AD83</f>
        <v>-116</v>
      </c>
      <c r="AI156" s="817">
        <f>-'Sales Forecast'!AE83</f>
        <v>-121</v>
      </c>
      <c r="AJ156" s="817">
        <f>-'Sales Forecast'!AF83</f>
        <v>-126</v>
      </c>
      <c r="AK156" s="817">
        <f>-'Sales Forecast'!AG83</f>
        <v>-131</v>
      </c>
      <c r="AL156" s="817">
        <f>-'Sales Forecast'!AH83</f>
        <v>-136</v>
      </c>
      <c r="AM156" s="817">
        <f>-'Sales Forecast'!AI83</f>
        <v>-143</v>
      </c>
      <c r="AN156" s="817">
        <f>-'Sales Forecast'!AJ83</f>
        <v>-148</v>
      </c>
      <c r="AO156" s="817">
        <f>-'Sales Forecast'!AK83</f>
        <v>-192</v>
      </c>
      <c r="AP156" s="817">
        <f>-'Sales Forecast'!AL83</f>
        <v>-186</v>
      </c>
      <c r="AQ156" s="817">
        <f>-'Sales Forecast'!AM83</f>
        <v>-183</v>
      </c>
      <c r="AR156" s="437">
        <f>-'Sales Forecast'!AN83</f>
        <v>-181</v>
      </c>
    </row>
    <row r="157" spans="2:44">
      <c r="B157" s="548"/>
      <c r="F157" s="549"/>
      <c r="G157" s="419" t="s">
        <v>425</v>
      </c>
      <c r="H157" s="416"/>
      <c r="I157" s="421">
        <v>0</v>
      </c>
      <c r="J157" s="422">
        <f>I165</f>
        <v>21.3</v>
      </c>
      <c r="K157" s="422">
        <f t="shared" ref="K157" si="681">J165</f>
        <v>14.1</v>
      </c>
      <c r="L157" s="422">
        <f t="shared" ref="L157" si="682">K165</f>
        <v>8.9</v>
      </c>
      <c r="M157" s="422">
        <f t="shared" ref="M157" si="683">L165</f>
        <v>7.6999999999999993</v>
      </c>
      <c r="N157" s="422">
        <f t="shared" ref="N157" si="684">M165</f>
        <v>12.1</v>
      </c>
      <c r="O157" s="422">
        <f t="shared" ref="O157" si="685">N165</f>
        <v>13</v>
      </c>
      <c r="P157" s="422">
        <f t="shared" ref="P157" si="686">O165</f>
        <v>17.2</v>
      </c>
      <c r="Q157" s="422">
        <f t="shared" ref="Q157" si="687">P165</f>
        <v>28.200000000000003</v>
      </c>
      <c r="R157" s="422">
        <f t="shared" ref="R157" si="688">Q165</f>
        <v>41.1</v>
      </c>
      <c r="S157" s="422">
        <f t="shared" ref="S157" si="689">R165</f>
        <v>33.299999999999997</v>
      </c>
      <c r="T157" s="422">
        <f t="shared" ref="T157" si="690">S165</f>
        <v>38.1</v>
      </c>
      <c r="U157" s="824">
        <f t="shared" ref="U157" si="691">T165</f>
        <v>53.7</v>
      </c>
      <c r="V157" s="422">
        <f t="shared" ref="V157" si="692">U165</f>
        <v>60.9</v>
      </c>
      <c r="W157" s="422">
        <f t="shared" ref="W157" si="693">V165</f>
        <v>56.5</v>
      </c>
      <c r="X157" s="422">
        <f t="shared" ref="X157" si="694">W165</f>
        <v>51</v>
      </c>
      <c r="Y157" s="422">
        <f t="shared" ref="Y157" si="695">X165</f>
        <v>57</v>
      </c>
      <c r="Z157" s="422">
        <f t="shared" ref="Z157" si="696">Y165</f>
        <v>74.600000000000009</v>
      </c>
      <c r="AA157" s="422">
        <f t="shared" ref="AA157" si="697">Z165</f>
        <v>82.09999999999998</v>
      </c>
      <c r="AB157" s="422">
        <f t="shared" ref="AB157" si="698">AA165</f>
        <v>77.200000000000017</v>
      </c>
      <c r="AC157" s="422">
        <f t="shared" ref="AC157" si="699">AB165</f>
        <v>84.5</v>
      </c>
      <c r="AD157" s="422">
        <f t="shared" ref="AD157" si="700">AC165</f>
        <v>87.4</v>
      </c>
      <c r="AE157" s="422">
        <f t="shared" ref="AE157" si="701">AD165</f>
        <v>106.39999999999999</v>
      </c>
      <c r="AF157" s="435">
        <f t="shared" ref="AF157" si="702">AE165</f>
        <v>125.9</v>
      </c>
      <c r="AG157" s="824">
        <f t="shared" ref="AG157" si="703">AF165</f>
        <v>111.3</v>
      </c>
      <c r="AH157" s="422">
        <f t="shared" ref="AH157" si="704">AG165</f>
        <v>119.3</v>
      </c>
      <c r="AI157" s="422">
        <f t="shared" ref="AI157" si="705">AH165</f>
        <v>129.80000000000001</v>
      </c>
      <c r="AJ157" s="422">
        <f t="shared" ref="AJ157" si="706">AI165</f>
        <v>131.5</v>
      </c>
      <c r="AK157" s="422">
        <f t="shared" ref="AK157" si="707">AJ165</f>
        <v>136.49999999999997</v>
      </c>
      <c r="AL157" s="422">
        <f t="shared" ref="AL157" si="708">AK165</f>
        <v>141.5</v>
      </c>
      <c r="AM157" s="422">
        <f t="shared" ref="AM157" si="709">AL165</f>
        <v>148.5</v>
      </c>
      <c r="AN157" s="422">
        <f t="shared" ref="AN157" si="710">AM165</f>
        <v>155.70000000000002</v>
      </c>
      <c r="AO157" s="422">
        <f t="shared" ref="AO157" si="711">AN165</f>
        <v>197.5</v>
      </c>
      <c r="AP157" s="422">
        <f t="shared" ref="AP157" si="712">AO165</f>
        <v>234.39999999999998</v>
      </c>
      <c r="AQ157" s="422">
        <f t="shared" ref="AQ157" si="713">AP165</f>
        <v>176.4</v>
      </c>
      <c r="AR157" s="435">
        <f t="shared" ref="AR157" si="714">AQ165</f>
        <v>177.70000000000002</v>
      </c>
    </row>
    <row r="158" spans="2:44">
      <c r="B158" s="548"/>
      <c r="F158" s="549"/>
      <c r="G158" s="417" t="s">
        <v>426</v>
      </c>
      <c r="H158" s="423"/>
      <c r="I158" s="424">
        <f>SUM(I155:I157)</f>
        <v>7</v>
      </c>
      <c r="J158" s="424">
        <f>SUM(J155:J157)</f>
        <v>14.3</v>
      </c>
      <c r="K158" s="424">
        <f t="shared" ref="K158:AR158" si="715">SUM(K155:K157)</f>
        <v>15.4</v>
      </c>
      <c r="L158" s="424">
        <f t="shared" si="715"/>
        <v>14.3</v>
      </c>
      <c r="M158" s="424">
        <f t="shared" si="715"/>
        <v>11</v>
      </c>
      <c r="N158" s="424">
        <f t="shared" si="715"/>
        <v>12.1</v>
      </c>
      <c r="O158" s="424">
        <f t="shared" si="715"/>
        <v>12.1</v>
      </c>
      <c r="P158" s="424">
        <f t="shared" si="715"/>
        <v>14.299999999999999</v>
      </c>
      <c r="Q158" s="424">
        <f t="shared" si="715"/>
        <v>16.5</v>
      </c>
      <c r="R158" s="424">
        <f t="shared" si="715"/>
        <v>28.6</v>
      </c>
      <c r="S158" s="424">
        <f t="shared" si="715"/>
        <v>31.9</v>
      </c>
      <c r="T158" s="816">
        <f t="shared" si="715"/>
        <v>33</v>
      </c>
      <c r="U158" s="820">
        <f t="shared" si="715"/>
        <v>40.700000000000003</v>
      </c>
      <c r="V158" s="816">
        <f t="shared" si="715"/>
        <v>50.6</v>
      </c>
      <c r="W158" s="816">
        <f t="shared" si="715"/>
        <v>56.1</v>
      </c>
      <c r="X158" s="816">
        <f t="shared" si="715"/>
        <v>56.1</v>
      </c>
      <c r="Y158" s="816">
        <f t="shared" si="715"/>
        <v>56.1</v>
      </c>
      <c r="Z158" s="816">
        <f t="shared" si="715"/>
        <v>62.70000000000001</v>
      </c>
      <c r="AA158" s="816">
        <f t="shared" si="715"/>
        <v>74.799999999999983</v>
      </c>
      <c r="AB158" s="816">
        <f t="shared" si="715"/>
        <v>77</v>
      </c>
      <c r="AC158" s="816">
        <f t="shared" si="715"/>
        <v>82.5</v>
      </c>
      <c r="AD158" s="816">
        <f t="shared" si="715"/>
        <v>86.9</v>
      </c>
      <c r="AE158" s="816">
        <f t="shared" si="715"/>
        <v>91.3</v>
      </c>
      <c r="AF158" s="436">
        <f t="shared" si="715"/>
        <v>112.2</v>
      </c>
      <c r="AG158" s="820">
        <f t="shared" si="715"/>
        <v>115.5</v>
      </c>
      <c r="AH158" s="816">
        <f t="shared" si="715"/>
        <v>118.8</v>
      </c>
      <c r="AI158" s="816">
        <f t="shared" si="715"/>
        <v>127.60000000000001</v>
      </c>
      <c r="AJ158" s="816">
        <f t="shared" si="715"/>
        <v>133.10000000000002</v>
      </c>
      <c r="AK158" s="816">
        <f t="shared" si="715"/>
        <v>138.6</v>
      </c>
      <c r="AL158" s="816">
        <f t="shared" si="715"/>
        <v>144.1</v>
      </c>
      <c r="AM158" s="816">
        <f t="shared" si="715"/>
        <v>149.6</v>
      </c>
      <c r="AN158" s="816">
        <f t="shared" si="715"/>
        <v>157.30000000000001</v>
      </c>
      <c r="AO158" s="816">
        <f t="shared" si="715"/>
        <v>162.80000000000001</v>
      </c>
      <c r="AP158" s="816">
        <f t="shared" si="715"/>
        <v>211.2</v>
      </c>
      <c r="AQ158" s="816">
        <f t="shared" si="715"/>
        <v>204.6</v>
      </c>
      <c r="AR158" s="436">
        <f t="shared" si="715"/>
        <v>201.3</v>
      </c>
    </row>
    <row r="159" spans="2:44">
      <c r="B159" s="548"/>
      <c r="F159" s="549"/>
      <c r="G159" s="417"/>
      <c r="H159" s="423"/>
      <c r="I159" s="424"/>
      <c r="J159" s="424"/>
      <c r="K159" s="424"/>
      <c r="L159" s="424"/>
      <c r="M159" s="424"/>
      <c r="N159" s="424"/>
      <c r="O159" s="424"/>
      <c r="P159" s="424"/>
      <c r="Q159" s="424"/>
      <c r="R159" s="424"/>
      <c r="S159" s="424"/>
      <c r="T159" s="816"/>
      <c r="U159" s="820"/>
      <c r="V159" s="816"/>
      <c r="W159" s="816"/>
      <c r="X159" s="816"/>
      <c r="Y159" s="816"/>
      <c r="Z159" s="816"/>
      <c r="AA159" s="816"/>
      <c r="AB159" s="816"/>
      <c r="AC159" s="816"/>
      <c r="AD159" s="816"/>
      <c r="AE159" s="816"/>
      <c r="AF159" s="436"/>
      <c r="AG159" s="820"/>
      <c r="AH159" s="816"/>
      <c r="AI159" s="816"/>
      <c r="AJ159" s="816"/>
      <c r="AK159" s="816"/>
      <c r="AL159" s="816"/>
      <c r="AM159" s="816"/>
      <c r="AN159" s="816"/>
      <c r="AO159" s="816"/>
      <c r="AP159" s="816"/>
      <c r="AQ159" s="816"/>
      <c r="AR159" s="436"/>
    </row>
    <row r="160" spans="2:44">
      <c r="B160" s="548"/>
      <c r="F160" s="549"/>
      <c r="G160" s="417" t="s">
        <v>438</v>
      </c>
      <c r="H160" s="416"/>
      <c r="I160" s="418"/>
      <c r="J160" s="416"/>
      <c r="K160" s="416"/>
      <c r="L160" s="416"/>
      <c r="M160" s="416"/>
      <c r="N160" s="416"/>
      <c r="O160" s="416"/>
      <c r="P160" s="416"/>
      <c r="Q160" s="416"/>
      <c r="R160" s="416"/>
      <c r="S160" s="416"/>
      <c r="T160" s="416"/>
      <c r="U160" s="822"/>
      <c r="V160" s="416"/>
      <c r="W160" s="416"/>
      <c r="X160" s="416"/>
      <c r="Y160" s="416"/>
      <c r="Z160" s="416"/>
      <c r="AA160" s="416"/>
      <c r="AB160" s="416"/>
      <c r="AC160" s="416"/>
      <c r="AD160" s="416"/>
      <c r="AE160" s="416"/>
      <c r="AF160" s="433"/>
      <c r="AG160" s="822"/>
      <c r="AH160" s="416"/>
      <c r="AI160" s="416"/>
      <c r="AJ160" s="416"/>
      <c r="AK160" s="416"/>
      <c r="AL160" s="416"/>
      <c r="AM160" s="416"/>
      <c r="AN160" s="416"/>
      <c r="AO160" s="416"/>
      <c r="AP160" s="416"/>
      <c r="AQ160" s="416"/>
      <c r="AR160" s="433"/>
    </row>
    <row r="161" spans="2:44">
      <c r="B161" s="548"/>
      <c r="F161" s="549"/>
      <c r="G161" s="419" t="s">
        <v>427</v>
      </c>
      <c r="H161" s="416"/>
      <c r="I161" s="418">
        <f>-(I156+J156)</f>
        <v>27</v>
      </c>
      <c r="J161" s="418">
        <f t="shared" ref="J161" si="716">-(J156+K156)</f>
        <v>27</v>
      </c>
      <c r="K161" s="418">
        <f t="shared" ref="K161" si="717">-(K156+L156)</f>
        <v>23</v>
      </c>
      <c r="L161" s="418">
        <f t="shared" ref="L161" si="718">-(L156+M156)</f>
        <v>21</v>
      </c>
      <c r="M161" s="418">
        <f t="shared" ref="M161" si="719">-(M156+N156)</f>
        <v>22</v>
      </c>
      <c r="N161" s="418">
        <f t="shared" ref="N161" si="720">-(N156+O156)</f>
        <v>24</v>
      </c>
      <c r="O161" s="418">
        <f t="shared" ref="O161" si="721">-(O156+P156)</f>
        <v>28</v>
      </c>
      <c r="P161" s="418">
        <f t="shared" ref="P161" si="722">-(P156+Q156)</f>
        <v>41</v>
      </c>
      <c r="Q161" s="418">
        <f t="shared" ref="Q161" si="723">-(Q156+R156)</f>
        <v>55</v>
      </c>
      <c r="R161" s="418">
        <f t="shared" ref="R161" si="724">-(R156+S156)</f>
        <v>59</v>
      </c>
      <c r="S161" s="418">
        <f t="shared" ref="S161" si="725">-(S156+T156)</f>
        <v>67</v>
      </c>
      <c r="T161" s="817">
        <f t="shared" ref="T161" si="726">-(T156+U156)</f>
        <v>83</v>
      </c>
      <c r="U161" s="825">
        <f t="shared" ref="U161" si="727">-(U156+V156)</f>
        <v>97</v>
      </c>
      <c r="V161" s="817">
        <f t="shared" ref="V161" si="728">-(V156+W156)</f>
        <v>102</v>
      </c>
      <c r="W161" s="817">
        <f t="shared" ref="W161" si="729">-(W156+X156)</f>
        <v>102</v>
      </c>
      <c r="X161" s="817">
        <f t="shared" ref="X161" si="730">-(X156+Y156)</f>
        <v>108</v>
      </c>
      <c r="Y161" s="817">
        <f t="shared" ref="Y161" si="731">-(Y156+Z156)</f>
        <v>125</v>
      </c>
      <c r="Z161" s="817">
        <f t="shared" ref="Z161" si="732">-(Z156+AA156)</f>
        <v>138</v>
      </c>
      <c r="AA161" s="817">
        <f t="shared" ref="AA161" si="733">-(AA156+AB156)</f>
        <v>145</v>
      </c>
      <c r="AB161" s="817">
        <f t="shared" ref="AB161" si="734">-(AB156+AC156)</f>
        <v>154</v>
      </c>
      <c r="AC161" s="817">
        <f t="shared" ref="AC161" si="735">-(AC156+AD156)</f>
        <v>162</v>
      </c>
      <c r="AD161" s="817">
        <f t="shared" ref="AD161" si="736">-(AD156+AE156)</f>
        <v>185</v>
      </c>
      <c r="AE161" s="817">
        <f t="shared" ref="AE161" si="737">-(AE156+AF156)</f>
        <v>207</v>
      </c>
      <c r="AF161" s="437">
        <f t="shared" ref="AF161" si="738">-(AF156+AG156)</f>
        <v>213</v>
      </c>
      <c r="AG161" s="825">
        <f t="shared" ref="AG161" si="739">-(AG156+AH156)</f>
        <v>224</v>
      </c>
      <c r="AH161" s="817">
        <f t="shared" ref="AH161" si="740">-(AH156+AI156)</f>
        <v>237</v>
      </c>
      <c r="AI161" s="817">
        <f t="shared" ref="AI161" si="741">-(AI156+AJ156)</f>
        <v>247</v>
      </c>
      <c r="AJ161" s="817">
        <f t="shared" ref="AJ161" si="742">-(AJ156+AK156)</f>
        <v>257</v>
      </c>
      <c r="AK161" s="817">
        <f t="shared" ref="AK161" si="743">-(AK156+AL156)</f>
        <v>267</v>
      </c>
      <c r="AL161" s="817">
        <f t="shared" ref="AL161" si="744">-(AL156+AM156)</f>
        <v>279</v>
      </c>
      <c r="AM161" s="817">
        <f t="shared" ref="AM161" si="745">-(AM156+AN156)</f>
        <v>291</v>
      </c>
      <c r="AN161" s="817">
        <f t="shared" ref="AN161" si="746">-(AN156+AO156)</f>
        <v>340</v>
      </c>
      <c r="AO161" s="817">
        <f t="shared" ref="AO161" si="747">-(AO156+AP156)</f>
        <v>378</v>
      </c>
      <c r="AP161" s="817">
        <f t="shared" ref="AP161" si="748">-(AP156+AQ156)</f>
        <v>369</v>
      </c>
      <c r="AQ161" s="817">
        <f t="shared" ref="AQ161" si="749">-(AQ156+AR156)</f>
        <v>364</v>
      </c>
      <c r="AR161" s="437">
        <f>-(AR156+AS156)</f>
        <v>181</v>
      </c>
    </row>
    <row r="162" spans="2:44">
      <c r="B162" s="548"/>
      <c r="F162" s="549"/>
      <c r="G162" s="419" t="s">
        <v>428</v>
      </c>
      <c r="H162" s="416"/>
      <c r="I162" s="418">
        <f>I158</f>
        <v>7</v>
      </c>
      <c r="J162" s="418">
        <f t="shared" ref="J162:AB162" si="750">J158</f>
        <v>14.3</v>
      </c>
      <c r="K162" s="418">
        <f t="shared" si="750"/>
        <v>15.4</v>
      </c>
      <c r="L162" s="418">
        <f t="shared" si="750"/>
        <v>14.3</v>
      </c>
      <c r="M162" s="418">
        <f t="shared" si="750"/>
        <v>11</v>
      </c>
      <c r="N162" s="418">
        <f t="shared" si="750"/>
        <v>12.1</v>
      </c>
      <c r="O162" s="418">
        <f t="shared" si="750"/>
        <v>12.1</v>
      </c>
      <c r="P162" s="418">
        <f t="shared" si="750"/>
        <v>14.299999999999999</v>
      </c>
      <c r="Q162" s="418">
        <f t="shared" si="750"/>
        <v>16.5</v>
      </c>
      <c r="R162" s="418">
        <f t="shared" si="750"/>
        <v>28.6</v>
      </c>
      <c r="S162" s="418">
        <f t="shared" si="750"/>
        <v>31.9</v>
      </c>
      <c r="T162" s="817">
        <f t="shared" si="750"/>
        <v>33</v>
      </c>
      <c r="U162" s="825">
        <f t="shared" si="750"/>
        <v>40.700000000000003</v>
      </c>
      <c r="V162" s="817">
        <f t="shared" si="750"/>
        <v>50.6</v>
      </c>
      <c r="W162" s="817">
        <f t="shared" si="750"/>
        <v>56.1</v>
      </c>
      <c r="X162" s="817">
        <f t="shared" si="750"/>
        <v>56.1</v>
      </c>
      <c r="Y162" s="817">
        <f t="shared" si="750"/>
        <v>56.1</v>
      </c>
      <c r="Z162" s="817">
        <f t="shared" si="750"/>
        <v>62.70000000000001</v>
      </c>
      <c r="AA162" s="817">
        <f t="shared" si="750"/>
        <v>74.799999999999983</v>
      </c>
      <c r="AB162" s="817">
        <f t="shared" si="750"/>
        <v>77</v>
      </c>
      <c r="AC162" s="817">
        <f>AC158</f>
        <v>82.5</v>
      </c>
      <c r="AD162" s="817">
        <f t="shared" ref="AD162:AR162" si="751">AD158</f>
        <v>86.9</v>
      </c>
      <c r="AE162" s="817">
        <f t="shared" si="751"/>
        <v>91.3</v>
      </c>
      <c r="AF162" s="437">
        <f t="shared" si="751"/>
        <v>112.2</v>
      </c>
      <c r="AG162" s="825">
        <f t="shared" si="751"/>
        <v>115.5</v>
      </c>
      <c r="AH162" s="817">
        <f t="shared" si="751"/>
        <v>118.8</v>
      </c>
      <c r="AI162" s="817">
        <f t="shared" si="751"/>
        <v>127.60000000000001</v>
      </c>
      <c r="AJ162" s="817">
        <f t="shared" si="751"/>
        <v>133.10000000000002</v>
      </c>
      <c r="AK162" s="817">
        <f t="shared" si="751"/>
        <v>138.6</v>
      </c>
      <c r="AL162" s="817">
        <f t="shared" si="751"/>
        <v>144.1</v>
      </c>
      <c r="AM162" s="817">
        <f t="shared" si="751"/>
        <v>149.6</v>
      </c>
      <c r="AN162" s="817">
        <f t="shared" si="751"/>
        <v>157.30000000000001</v>
      </c>
      <c r="AO162" s="817">
        <f t="shared" si="751"/>
        <v>162.80000000000001</v>
      </c>
      <c r="AP162" s="817">
        <f t="shared" si="751"/>
        <v>211.2</v>
      </c>
      <c r="AQ162" s="817">
        <f t="shared" si="751"/>
        <v>204.6</v>
      </c>
      <c r="AR162" s="437">
        <f t="shared" si="751"/>
        <v>201.3</v>
      </c>
    </row>
    <row r="163" spans="2:44">
      <c r="B163" s="548"/>
      <c r="F163" s="549"/>
      <c r="G163" s="419" t="s">
        <v>429</v>
      </c>
      <c r="H163" s="416"/>
      <c r="I163" s="418">
        <f>-I161+I162</f>
        <v>-20</v>
      </c>
      <c r="J163" s="418">
        <f t="shared" ref="J163:AR163" si="752">-J161+J162</f>
        <v>-12.7</v>
      </c>
      <c r="K163" s="418">
        <f t="shared" si="752"/>
        <v>-7.6</v>
      </c>
      <c r="L163" s="418">
        <f t="shared" si="752"/>
        <v>-6.6999999999999993</v>
      </c>
      <c r="M163" s="418">
        <f t="shared" si="752"/>
        <v>-11</v>
      </c>
      <c r="N163" s="418">
        <f t="shared" si="752"/>
        <v>-11.9</v>
      </c>
      <c r="O163" s="418">
        <f t="shared" si="752"/>
        <v>-15.9</v>
      </c>
      <c r="P163" s="418">
        <f t="shared" si="752"/>
        <v>-26.700000000000003</v>
      </c>
      <c r="Q163" s="418">
        <f t="shared" si="752"/>
        <v>-38.5</v>
      </c>
      <c r="R163" s="418">
        <f t="shared" si="752"/>
        <v>-30.4</v>
      </c>
      <c r="S163" s="418">
        <f t="shared" si="752"/>
        <v>-35.1</v>
      </c>
      <c r="T163" s="817">
        <f t="shared" si="752"/>
        <v>-50</v>
      </c>
      <c r="U163" s="825">
        <f t="shared" si="752"/>
        <v>-56.3</v>
      </c>
      <c r="V163" s="817">
        <f t="shared" si="752"/>
        <v>-51.4</v>
      </c>
      <c r="W163" s="817">
        <f t="shared" si="752"/>
        <v>-45.9</v>
      </c>
      <c r="X163" s="817">
        <f t="shared" si="752"/>
        <v>-51.9</v>
      </c>
      <c r="Y163" s="817">
        <f t="shared" si="752"/>
        <v>-68.900000000000006</v>
      </c>
      <c r="Z163" s="817">
        <f t="shared" si="752"/>
        <v>-75.299999999999983</v>
      </c>
      <c r="AA163" s="817">
        <f t="shared" si="752"/>
        <v>-70.200000000000017</v>
      </c>
      <c r="AB163" s="817">
        <f t="shared" si="752"/>
        <v>-77</v>
      </c>
      <c r="AC163" s="817">
        <f t="shared" si="752"/>
        <v>-79.5</v>
      </c>
      <c r="AD163" s="817">
        <f t="shared" si="752"/>
        <v>-98.1</v>
      </c>
      <c r="AE163" s="817">
        <f t="shared" si="752"/>
        <v>-115.7</v>
      </c>
      <c r="AF163" s="437">
        <f t="shared" si="752"/>
        <v>-100.8</v>
      </c>
      <c r="AG163" s="825">
        <f t="shared" si="752"/>
        <v>-108.5</v>
      </c>
      <c r="AH163" s="817">
        <f t="shared" si="752"/>
        <v>-118.2</v>
      </c>
      <c r="AI163" s="817">
        <f t="shared" si="752"/>
        <v>-119.39999999999999</v>
      </c>
      <c r="AJ163" s="817">
        <f t="shared" si="752"/>
        <v>-123.89999999999998</v>
      </c>
      <c r="AK163" s="817">
        <f t="shared" si="752"/>
        <v>-128.4</v>
      </c>
      <c r="AL163" s="817">
        <f t="shared" si="752"/>
        <v>-134.9</v>
      </c>
      <c r="AM163" s="817">
        <f t="shared" si="752"/>
        <v>-141.4</v>
      </c>
      <c r="AN163" s="817">
        <f t="shared" si="752"/>
        <v>-182.7</v>
      </c>
      <c r="AO163" s="817">
        <f t="shared" si="752"/>
        <v>-215.2</v>
      </c>
      <c r="AP163" s="817">
        <f t="shared" si="752"/>
        <v>-157.80000000000001</v>
      </c>
      <c r="AQ163" s="817">
        <f t="shared" si="752"/>
        <v>-159.4</v>
      </c>
      <c r="AR163" s="437">
        <f t="shared" si="752"/>
        <v>20.300000000000011</v>
      </c>
    </row>
    <row r="164" spans="2:44">
      <c r="B164" s="548"/>
      <c r="F164" s="549"/>
      <c r="G164" s="419" t="s">
        <v>434</v>
      </c>
      <c r="H164" s="416"/>
      <c r="I164" s="418">
        <f>-$H$152*I156</f>
        <v>1.3</v>
      </c>
      <c r="J164" s="418">
        <f>-$H$152*J156</f>
        <v>1.4000000000000001</v>
      </c>
      <c r="K164" s="418">
        <f t="shared" ref="K164:AR164" si="753">-$H$152*K156</f>
        <v>1.3</v>
      </c>
      <c r="L164" s="418">
        <f t="shared" si="753"/>
        <v>1</v>
      </c>
      <c r="M164" s="418">
        <f t="shared" si="753"/>
        <v>1.1000000000000001</v>
      </c>
      <c r="N164" s="418">
        <f t="shared" si="753"/>
        <v>1.1000000000000001</v>
      </c>
      <c r="O164" s="418">
        <f t="shared" si="753"/>
        <v>1.3</v>
      </c>
      <c r="P164" s="418">
        <f t="shared" si="753"/>
        <v>1.5</v>
      </c>
      <c r="Q164" s="418">
        <f t="shared" si="753"/>
        <v>2.6</v>
      </c>
      <c r="R164" s="418">
        <f t="shared" si="753"/>
        <v>2.9000000000000004</v>
      </c>
      <c r="S164" s="418">
        <f t="shared" si="753"/>
        <v>3</v>
      </c>
      <c r="T164" s="418">
        <f t="shared" si="753"/>
        <v>3.7</v>
      </c>
      <c r="U164" s="825">
        <f t="shared" si="753"/>
        <v>4.6000000000000005</v>
      </c>
      <c r="V164" s="817">
        <f t="shared" si="753"/>
        <v>5.1000000000000005</v>
      </c>
      <c r="W164" s="817">
        <f t="shared" si="753"/>
        <v>5.1000000000000005</v>
      </c>
      <c r="X164" s="817">
        <f t="shared" si="753"/>
        <v>5.1000000000000005</v>
      </c>
      <c r="Y164" s="817">
        <f t="shared" si="753"/>
        <v>5.7</v>
      </c>
      <c r="Z164" s="817">
        <f t="shared" si="753"/>
        <v>6.8000000000000007</v>
      </c>
      <c r="AA164" s="817">
        <f t="shared" si="753"/>
        <v>7</v>
      </c>
      <c r="AB164" s="817">
        <f t="shared" si="753"/>
        <v>7.5</v>
      </c>
      <c r="AC164" s="817">
        <f t="shared" si="753"/>
        <v>7.9</v>
      </c>
      <c r="AD164" s="817">
        <f t="shared" si="753"/>
        <v>8.3000000000000007</v>
      </c>
      <c r="AE164" s="817">
        <f t="shared" si="753"/>
        <v>10.200000000000001</v>
      </c>
      <c r="AF164" s="437">
        <f t="shared" si="753"/>
        <v>10.5</v>
      </c>
      <c r="AG164" s="825">
        <f t="shared" si="753"/>
        <v>10.8</v>
      </c>
      <c r="AH164" s="817">
        <f t="shared" si="753"/>
        <v>11.600000000000001</v>
      </c>
      <c r="AI164" s="817">
        <f t="shared" si="753"/>
        <v>12.100000000000001</v>
      </c>
      <c r="AJ164" s="817">
        <f t="shared" si="753"/>
        <v>12.600000000000001</v>
      </c>
      <c r="AK164" s="817">
        <f t="shared" si="753"/>
        <v>13.100000000000001</v>
      </c>
      <c r="AL164" s="817">
        <f t="shared" si="753"/>
        <v>13.600000000000001</v>
      </c>
      <c r="AM164" s="817">
        <f t="shared" si="753"/>
        <v>14.3</v>
      </c>
      <c r="AN164" s="817">
        <f t="shared" si="753"/>
        <v>14.8</v>
      </c>
      <c r="AO164" s="817">
        <f t="shared" si="753"/>
        <v>19.200000000000003</v>
      </c>
      <c r="AP164" s="817">
        <f t="shared" si="753"/>
        <v>18.600000000000001</v>
      </c>
      <c r="AQ164" s="817">
        <f t="shared" si="753"/>
        <v>18.3</v>
      </c>
      <c r="AR164" s="437">
        <f t="shared" si="753"/>
        <v>18.100000000000001</v>
      </c>
    </row>
    <row r="165" spans="2:44">
      <c r="B165" s="548"/>
      <c r="F165" s="549"/>
      <c r="G165" s="417" t="s">
        <v>431</v>
      </c>
      <c r="H165" s="423"/>
      <c r="I165" s="425">
        <f t="shared" ref="I165:AR165" si="754">IF((I164-I163)&lt;=0,"-",(I164-I163))</f>
        <v>21.3</v>
      </c>
      <c r="J165" s="425">
        <f t="shared" si="754"/>
        <v>14.1</v>
      </c>
      <c r="K165" s="425">
        <f t="shared" si="754"/>
        <v>8.9</v>
      </c>
      <c r="L165" s="425">
        <f t="shared" si="754"/>
        <v>7.6999999999999993</v>
      </c>
      <c r="M165" s="425">
        <f t="shared" si="754"/>
        <v>12.1</v>
      </c>
      <c r="N165" s="425">
        <f t="shared" si="754"/>
        <v>13</v>
      </c>
      <c r="O165" s="425">
        <f t="shared" si="754"/>
        <v>17.2</v>
      </c>
      <c r="P165" s="425">
        <f t="shared" si="754"/>
        <v>28.200000000000003</v>
      </c>
      <c r="Q165" s="425">
        <f t="shared" si="754"/>
        <v>41.1</v>
      </c>
      <c r="R165" s="425">
        <f t="shared" si="754"/>
        <v>33.299999999999997</v>
      </c>
      <c r="S165" s="425">
        <f t="shared" si="754"/>
        <v>38.1</v>
      </c>
      <c r="T165" s="818">
        <f t="shared" si="754"/>
        <v>53.7</v>
      </c>
      <c r="U165" s="826">
        <f t="shared" si="754"/>
        <v>60.9</v>
      </c>
      <c r="V165" s="818">
        <f t="shared" si="754"/>
        <v>56.5</v>
      </c>
      <c r="W165" s="818">
        <f t="shared" si="754"/>
        <v>51</v>
      </c>
      <c r="X165" s="818">
        <f t="shared" si="754"/>
        <v>57</v>
      </c>
      <c r="Y165" s="818">
        <f t="shared" si="754"/>
        <v>74.600000000000009</v>
      </c>
      <c r="Z165" s="818">
        <f t="shared" si="754"/>
        <v>82.09999999999998</v>
      </c>
      <c r="AA165" s="818">
        <f t="shared" si="754"/>
        <v>77.200000000000017</v>
      </c>
      <c r="AB165" s="818">
        <f t="shared" si="754"/>
        <v>84.5</v>
      </c>
      <c r="AC165" s="818">
        <f t="shared" si="754"/>
        <v>87.4</v>
      </c>
      <c r="AD165" s="818">
        <f t="shared" si="754"/>
        <v>106.39999999999999</v>
      </c>
      <c r="AE165" s="818">
        <f t="shared" si="754"/>
        <v>125.9</v>
      </c>
      <c r="AF165" s="438">
        <f t="shared" si="754"/>
        <v>111.3</v>
      </c>
      <c r="AG165" s="826">
        <f t="shared" si="754"/>
        <v>119.3</v>
      </c>
      <c r="AH165" s="818">
        <f t="shared" si="754"/>
        <v>129.80000000000001</v>
      </c>
      <c r="AI165" s="818">
        <f t="shared" si="754"/>
        <v>131.5</v>
      </c>
      <c r="AJ165" s="818">
        <f t="shared" si="754"/>
        <v>136.49999999999997</v>
      </c>
      <c r="AK165" s="818">
        <f t="shared" si="754"/>
        <v>141.5</v>
      </c>
      <c r="AL165" s="818">
        <f t="shared" si="754"/>
        <v>148.5</v>
      </c>
      <c r="AM165" s="818">
        <f t="shared" si="754"/>
        <v>155.70000000000002</v>
      </c>
      <c r="AN165" s="818">
        <f t="shared" si="754"/>
        <v>197.5</v>
      </c>
      <c r="AO165" s="818">
        <f t="shared" si="754"/>
        <v>234.39999999999998</v>
      </c>
      <c r="AP165" s="818">
        <f t="shared" si="754"/>
        <v>176.4</v>
      </c>
      <c r="AQ165" s="818">
        <f t="shared" si="754"/>
        <v>177.70000000000002</v>
      </c>
      <c r="AR165" s="438" t="str">
        <f t="shared" si="754"/>
        <v>-</v>
      </c>
    </row>
    <row r="166" spans="2:44">
      <c r="B166" s="548"/>
      <c r="F166" s="549"/>
      <c r="G166" s="423"/>
      <c r="H166" s="427"/>
      <c r="I166" s="416"/>
      <c r="J166" s="416"/>
      <c r="K166" s="416"/>
      <c r="L166" s="416"/>
      <c r="M166" s="416"/>
      <c r="N166" s="416"/>
      <c r="O166" s="416"/>
      <c r="P166" s="416"/>
      <c r="Q166" s="416"/>
      <c r="R166" s="416"/>
      <c r="S166" s="416"/>
      <c r="T166" s="416"/>
      <c r="U166" s="822"/>
      <c r="V166" s="416"/>
      <c r="W166" s="416"/>
      <c r="X166" s="416"/>
      <c r="Y166" s="416"/>
      <c r="Z166" s="416"/>
      <c r="AA166" s="416"/>
      <c r="AB166" s="416"/>
      <c r="AC166" s="416"/>
      <c r="AD166" s="416"/>
      <c r="AE166" s="416"/>
      <c r="AF166" s="433"/>
      <c r="AG166" s="822"/>
      <c r="AH166" s="416"/>
      <c r="AI166" s="416"/>
      <c r="AJ166" s="416"/>
      <c r="AK166" s="416"/>
      <c r="AL166" s="416"/>
      <c r="AM166" s="416"/>
      <c r="AN166" s="416"/>
      <c r="AO166" s="416"/>
      <c r="AP166" s="416"/>
      <c r="AQ166" s="416"/>
      <c r="AR166" s="433"/>
    </row>
    <row r="167" spans="2:44">
      <c r="B167" s="548"/>
      <c r="F167" s="549"/>
      <c r="G167" s="449" t="s">
        <v>432</v>
      </c>
      <c r="H167" s="428"/>
      <c r="I167" s="428">
        <f>'Pricing Model'!$F$78*I158</f>
        <v>196</v>
      </c>
      <c r="J167" s="428">
        <f>'Pricing Model'!$F$78*J158</f>
        <v>400.40000000000003</v>
      </c>
      <c r="K167" s="428">
        <f>'Pricing Model'!$F$78*K158</f>
        <v>431.2</v>
      </c>
      <c r="L167" s="428">
        <f>'Pricing Model'!$F$78*L158</f>
        <v>400.40000000000003</v>
      </c>
      <c r="M167" s="428">
        <f>'Pricing Model'!$F$78*M158</f>
        <v>308</v>
      </c>
      <c r="N167" s="428">
        <f>'Pricing Model'!$F$78*N158</f>
        <v>338.8</v>
      </c>
      <c r="O167" s="428">
        <f>'Pricing Model'!$F$78*O158</f>
        <v>338.8</v>
      </c>
      <c r="P167" s="428">
        <f>'Pricing Model'!$F$78*P158</f>
        <v>400.4</v>
      </c>
      <c r="Q167" s="428">
        <f>'Pricing Model'!$F$78*Q158</f>
        <v>462</v>
      </c>
      <c r="R167" s="428">
        <f>'Pricing Model'!$F$78*R158</f>
        <v>800.80000000000007</v>
      </c>
      <c r="S167" s="428">
        <f>'Pricing Model'!$F$78*S158</f>
        <v>893.19999999999993</v>
      </c>
      <c r="T167" s="428">
        <f>'Pricing Model'!$F$78*T158</f>
        <v>924</v>
      </c>
      <c r="U167" s="827">
        <f>'Pricing Model'!$F$78*U158</f>
        <v>1139.6000000000001</v>
      </c>
      <c r="V167" s="428">
        <f>'Pricing Model'!$F$78*V158</f>
        <v>1416.8</v>
      </c>
      <c r="W167" s="428">
        <f>'Pricing Model'!$F$78*W158</f>
        <v>1570.8</v>
      </c>
      <c r="X167" s="428">
        <f>'Pricing Model'!$F$78*X158</f>
        <v>1570.8</v>
      </c>
      <c r="Y167" s="428">
        <f>'Pricing Model'!$F$78*Y158</f>
        <v>1570.8</v>
      </c>
      <c r="Z167" s="428">
        <f>'Pricing Model'!$F$78*Z158</f>
        <v>1755.6000000000004</v>
      </c>
      <c r="AA167" s="428">
        <f>'Pricing Model'!$F$78*AA158</f>
        <v>2094.3999999999996</v>
      </c>
      <c r="AB167" s="428">
        <f>'Pricing Model'!$F$78*AB158</f>
        <v>2156</v>
      </c>
      <c r="AC167" s="428">
        <f>'Pricing Model'!$F$78*AC158</f>
        <v>2310</v>
      </c>
      <c r="AD167" s="428">
        <f>'Pricing Model'!$F$78*AD158</f>
        <v>2433.2000000000003</v>
      </c>
      <c r="AE167" s="428">
        <f>'Pricing Model'!$F$78*AE158</f>
        <v>2556.4</v>
      </c>
      <c r="AF167" s="439">
        <f>'Pricing Model'!$F$78*AF158</f>
        <v>3141.6</v>
      </c>
      <c r="AG167" s="827">
        <f>'Pricing Model'!$F$78*AG158</f>
        <v>3234</v>
      </c>
      <c r="AH167" s="428">
        <f>'Pricing Model'!$F$78*AH158</f>
        <v>3326.4</v>
      </c>
      <c r="AI167" s="428">
        <f>'Pricing Model'!$F$78*AI158</f>
        <v>3572.8</v>
      </c>
      <c r="AJ167" s="428">
        <f>'Pricing Model'!$F$78*AJ158</f>
        <v>3726.8000000000006</v>
      </c>
      <c r="AK167" s="428">
        <f>'Pricing Model'!$F$78*AK158</f>
        <v>3880.7999999999997</v>
      </c>
      <c r="AL167" s="428">
        <f>'Pricing Model'!$F$78*AL158</f>
        <v>4034.7999999999997</v>
      </c>
      <c r="AM167" s="428">
        <f>'Pricing Model'!$F$78*AM158</f>
        <v>4188.8</v>
      </c>
      <c r="AN167" s="428">
        <f>'Pricing Model'!$F$78*AN158</f>
        <v>4404.4000000000005</v>
      </c>
      <c r="AO167" s="428">
        <f>'Pricing Model'!$F$78*AO158</f>
        <v>4558.4000000000005</v>
      </c>
      <c r="AP167" s="428">
        <f>'Pricing Model'!$F$78*AP158</f>
        <v>5913.5999999999995</v>
      </c>
      <c r="AQ167" s="428">
        <f>'Pricing Model'!$F$78*AQ158</f>
        <v>5728.8</v>
      </c>
      <c r="AR167" s="439">
        <f>'Pricing Model'!$F$78*AR158</f>
        <v>5636.4000000000005</v>
      </c>
    </row>
    <row r="168" spans="2:44">
      <c r="B168" s="548"/>
      <c r="F168" s="549"/>
      <c r="G168" s="411" t="s">
        <v>441</v>
      </c>
      <c r="H168" s="429"/>
      <c r="I168" s="582">
        <f>I167</f>
        <v>196</v>
      </c>
      <c r="J168" s="583">
        <f>J167-I167</f>
        <v>204.40000000000003</v>
      </c>
      <c r="K168" s="583">
        <f>K167-J167</f>
        <v>30.799999999999955</v>
      </c>
      <c r="L168" s="583">
        <f t="shared" ref="L168" si="755">L167-K167</f>
        <v>-30.799999999999955</v>
      </c>
      <c r="M168" s="583">
        <f t="shared" ref="M168" si="756">M167-L167</f>
        <v>-92.400000000000034</v>
      </c>
      <c r="N168" s="583">
        <f t="shared" ref="N168" si="757">N167-M167</f>
        <v>30.800000000000011</v>
      </c>
      <c r="O168" s="583">
        <f t="shared" ref="O168" si="758">O167-N167</f>
        <v>0</v>
      </c>
      <c r="P168" s="583">
        <f t="shared" ref="P168" si="759">P167-O167</f>
        <v>61.599999999999966</v>
      </c>
      <c r="Q168" s="583">
        <f t="shared" ref="Q168" si="760">Q167-P167</f>
        <v>61.600000000000023</v>
      </c>
      <c r="R168" s="583">
        <f t="shared" ref="R168" si="761">R167-Q167</f>
        <v>338.80000000000007</v>
      </c>
      <c r="S168" s="583">
        <f t="shared" ref="S168" si="762">S167-R167</f>
        <v>92.399999999999864</v>
      </c>
      <c r="T168" s="583">
        <f t="shared" ref="T168" si="763">T167-S167</f>
        <v>30.800000000000068</v>
      </c>
      <c r="U168" s="828">
        <f t="shared" ref="U168" si="764">U167-T167</f>
        <v>215.60000000000014</v>
      </c>
      <c r="V168" s="583">
        <f t="shared" ref="V168" si="765">V167-U167</f>
        <v>277.19999999999982</v>
      </c>
      <c r="W168" s="583">
        <f t="shared" ref="W168" si="766">W167-V167</f>
        <v>154</v>
      </c>
      <c r="X168" s="583">
        <f t="shared" ref="X168" si="767">X167-W167</f>
        <v>0</v>
      </c>
      <c r="Y168" s="583">
        <f t="shared" ref="Y168" si="768">Y167-X167</f>
        <v>0</v>
      </c>
      <c r="Z168" s="583">
        <f t="shared" ref="Z168" si="769">Z167-Y167</f>
        <v>184.80000000000041</v>
      </c>
      <c r="AA168" s="583">
        <f t="shared" ref="AA168" si="770">AA167-Z167</f>
        <v>338.79999999999927</v>
      </c>
      <c r="AB168" s="583">
        <f t="shared" ref="AB168" si="771">AB167-AA167</f>
        <v>61.600000000000364</v>
      </c>
      <c r="AC168" s="583">
        <f t="shared" ref="AC168" si="772">AC167-AB167</f>
        <v>154</v>
      </c>
      <c r="AD168" s="583">
        <f t="shared" ref="AD168" si="773">AD167-AC167</f>
        <v>123.20000000000027</v>
      </c>
      <c r="AE168" s="583">
        <f t="shared" ref="AE168" si="774">AE167-AD167</f>
        <v>123.19999999999982</v>
      </c>
      <c r="AF168" s="584">
        <f t="shared" ref="AF168" si="775">AF167-AE167</f>
        <v>585.19999999999982</v>
      </c>
      <c r="AG168" s="828">
        <f t="shared" ref="AG168" si="776">AG167-AF167</f>
        <v>92.400000000000091</v>
      </c>
      <c r="AH168" s="583">
        <f t="shared" ref="AH168" si="777">AH167-AG167</f>
        <v>92.400000000000091</v>
      </c>
      <c r="AI168" s="583">
        <f t="shared" ref="AI168" si="778">AI167-AH167</f>
        <v>246.40000000000009</v>
      </c>
      <c r="AJ168" s="583">
        <f t="shared" ref="AJ168" si="779">AJ167-AI167</f>
        <v>154.00000000000045</v>
      </c>
      <c r="AK168" s="583">
        <f t="shared" ref="AK168" si="780">AK167-AJ167</f>
        <v>153.99999999999909</v>
      </c>
      <c r="AL168" s="583">
        <f t="shared" ref="AL168" si="781">AL167-AK167</f>
        <v>154</v>
      </c>
      <c r="AM168" s="583">
        <f t="shared" ref="AM168" si="782">AM167-AL167</f>
        <v>154.00000000000045</v>
      </c>
      <c r="AN168" s="583">
        <f t="shared" ref="AN168" si="783">AN167-AM167</f>
        <v>215.60000000000036</v>
      </c>
      <c r="AO168" s="583">
        <f t="shared" ref="AO168" si="784">AO167-AN167</f>
        <v>154</v>
      </c>
      <c r="AP168" s="583">
        <f t="shared" ref="AP168" si="785">AP167-AO167</f>
        <v>1355.1999999999989</v>
      </c>
      <c r="AQ168" s="583">
        <f t="shared" ref="AQ168" si="786">AQ167-AP167</f>
        <v>-184.79999999999927</v>
      </c>
      <c r="AR168" s="584">
        <f t="shared" ref="AR168" si="787">AR167-AQ167</f>
        <v>-92.399999999999636</v>
      </c>
    </row>
    <row r="169" spans="2:44" ht="16.2" thickBot="1">
      <c r="B169" s="550"/>
      <c r="C169" s="551"/>
      <c r="D169" s="551"/>
      <c r="E169" s="551"/>
      <c r="F169" s="552"/>
      <c r="G169" s="414"/>
      <c r="H169" s="415"/>
      <c r="I169" s="444"/>
      <c r="J169" s="444"/>
      <c r="K169" s="444"/>
      <c r="L169" s="444"/>
      <c r="M169" s="444"/>
      <c r="N169" s="444"/>
      <c r="O169" s="444"/>
      <c r="P169" s="444"/>
      <c r="Q169" s="444"/>
      <c r="R169" s="444"/>
      <c r="S169" s="444"/>
      <c r="T169" s="444"/>
      <c r="U169" s="831"/>
      <c r="V169" s="444"/>
      <c r="W169" s="444"/>
      <c r="X169" s="444"/>
      <c r="Y169" s="444"/>
      <c r="Z169" s="444"/>
      <c r="AA169" s="444"/>
      <c r="AB169" s="444"/>
      <c r="AC169" s="444"/>
      <c r="AD169" s="444"/>
      <c r="AE169" s="444"/>
      <c r="AF169" s="445"/>
      <c r="AG169" s="831"/>
      <c r="AH169" s="444"/>
      <c r="AI169" s="444"/>
      <c r="AJ169" s="444"/>
      <c r="AK169" s="444"/>
      <c r="AL169" s="444"/>
      <c r="AM169" s="444"/>
      <c r="AN169" s="444"/>
      <c r="AO169" s="444"/>
      <c r="AP169" s="444"/>
      <c r="AQ169" s="444"/>
      <c r="AR169" s="433"/>
    </row>
    <row r="170" spans="2:44" ht="16.2" thickTop="1">
      <c r="G170" s="400"/>
      <c r="H170" s="803"/>
      <c r="I170" s="396"/>
      <c r="J170" s="396"/>
      <c r="K170" s="396"/>
      <c r="L170" s="396"/>
      <c r="M170" s="396"/>
      <c r="N170" s="396"/>
      <c r="O170" s="396"/>
      <c r="P170" s="396"/>
      <c r="Q170" s="396"/>
      <c r="R170" s="396"/>
      <c r="S170" s="396"/>
      <c r="T170" s="396"/>
      <c r="U170" s="833"/>
      <c r="V170" s="396"/>
      <c r="W170" s="396"/>
      <c r="X170" s="396"/>
      <c r="Y170" s="396"/>
      <c r="Z170" s="396"/>
      <c r="AA170" s="396"/>
      <c r="AB170" s="396"/>
      <c r="AC170" s="396"/>
      <c r="AD170" s="396"/>
      <c r="AE170" s="396"/>
      <c r="AF170" s="442"/>
      <c r="AG170" s="833"/>
      <c r="AH170" s="396"/>
      <c r="AI170" s="396"/>
      <c r="AJ170" s="396"/>
      <c r="AK170" s="396"/>
      <c r="AL170" s="396"/>
      <c r="AM170" s="396"/>
      <c r="AN170" s="396"/>
      <c r="AO170" s="396"/>
      <c r="AP170" s="396"/>
      <c r="AQ170" s="396"/>
    </row>
    <row r="171" spans="2:44" ht="16.2" thickBot="1">
      <c r="G171" s="400"/>
      <c r="H171" s="803"/>
      <c r="I171" s="396"/>
      <c r="J171" s="396"/>
      <c r="K171" s="396"/>
      <c r="L171" s="396"/>
      <c r="M171" s="396"/>
      <c r="N171" s="396"/>
      <c r="O171" s="396"/>
      <c r="P171" s="396"/>
      <c r="Q171" s="396"/>
      <c r="R171" s="396"/>
      <c r="S171" s="396"/>
      <c r="T171" s="396"/>
      <c r="U171" s="833"/>
      <c r="V171" s="396"/>
      <c r="W171" s="396"/>
      <c r="X171" s="396"/>
      <c r="Y171" s="396"/>
      <c r="Z171" s="396"/>
      <c r="AA171" s="396"/>
      <c r="AB171" s="396"/>
      <c r="AC171" s="396"/>
      <c r="AD171" s="396"/>
      <c r="AE171" s="396"/>
      <c r="AF171" s="442"/>
      <c r="AG171" s="833"/>
      <c r="AH171" s="396"/>
      <c r="AI171" s="396"/>
      <c r="AJ171" s="396"/>
      <c r="AK171" s="396"/>
      <c r="AL171" s="396"/>
      <c r="AM171" s="396"/>
      <c r="AN171" s="396"/>
      <c r="AO171" s="396"/>
      <c r="AP171" s="396"/>
      <c r="AQ171" s="396"/>
    </row>
    <row r="172" spans="2:44" ht="16.2" thickTop="1">
      <c r="B172" s="545"/>
      <c r="C172" s="546"/>
      <c r="D172" s="546"/>
      <c r="E172" s="546"/>
      <c r="F172" s="547"/>
      <c r="G172" s="414" t="s">
        <v>433</v>
      </c>
      <c r="H172" s="410">
        <v>0.1</v>
      </c>
      <c r="I172" s="416"/>
      <c r="J172" s="416"/>
      <c r="K172" s="416"/>
      <c r="L172" s="416"/>
      <c r="M172" s="416"/>
      <c r="N172" s="416"/>
      <c r="O172" s="416"/>
      <c r="P172" s="416"/>
      <c r="Q172" s="416"/>
      <c r="R172" s="416"/>
      <c r="S172" s="416"/>
      <c r="T172" s="416"/>
      <c r="U172" s="822"/>
      <c r="V172" s="416"/>
      <c r="W172" s="416"/>
      <c r="X172" s="416"/>
      <c r="Y172" s="416"/>
      <c r="Z172" s="416"/>
      <c r="AA172" s="416"/>
      <c r="AB172" s="416"/>
      <c r="AC172" s="416"/>
      <c r="AD172" s="416"/>
      <c r="AE172" s="416"/>
      <c r="AF172" s="433"/>
      <c r="AG172" s="822"/>
      <c r="AH172" s="416"/>
      <c r="AI172" s="416"/>
      <c r="AJ172" s="416"/>
      <c r="AK172" s="416"/>
      <c r="AL172" s="416"/>
      <c r="AM172" s="416"/>
      <c r="AN172" s="416"/>
      <c r="AO172" s="416"/>
      <c r="AP172" s="416"/>
      <c r="AQ172" s="416"/>
      <c r="AR172" s="433"/>
    </row>
    <row r="173" spans="2:44">
      <c r="B173" s="548"/>
      <c r="F173" s="549"/>
      <c r="G173" s="414"/>
      <c r="H173" s="415"/>
      <c r="I173" s="416"/>
      <c r="J173" s="416"/>
      <c r="K173" s="416"/>
      <c r="L173" s="416"/>
      <c r="M173" s="416"/>
      <c r="N173" s="416"/>
      <c r="O173" s="416"/>
      <c r="P173" s="416"/>
      <c r="Q173" s="416"/>
      <c r="R173" s="416"/>
      <c r="S173" s="416"/>
      <c r="T173" s="416"/>
      <c r="U173" s="822"/>
      <c r="V173" s="416"/>
      <c r="W173" s="416"/>
      <c r="X173" s="416"/>
      <c r="Y173" s="416"/>
      <c r="Z173" s="416"/>
      <c r="AA173" s="416"/>
      <c r="AB173" s="416"/>
      <c r="AC173" s="416"/>
      <c r="AD173" s="416"/>
      <c r="AE173" s="416"/>
      <c r="AF173" s="433"/>
      <c r="AG173" s="822"/>
      <c r="AH173" s="416"/>
      <c r="AI173" s="416"/>
      <c r="AJ173" s="416"/>
      <c r="AK173" s="416"/>
      <c r="AL173" s="416"/>
      <c r="AM173" s="416"/>
      <c r="AN173" s="416"/>
      <c r="AO173" s="416"/>
      <c r="AP173" s="416"/>
      <c r="AQ173" s="416"/>
      <c r="AR173" s="433"/>
    </row>
    <row r="174" spans="2:44" ht="21">
      <c r="B174" s="548"/>
      <c r="C174" s="1243" t="s">
        <v>314</v>
      </c>
      <c r="D174" s="1243"/>
      <c r="F174" s="549"/>
      <c r="G174" s="417" t="s">
        <v>437</v>
      </c>
      <c r="H174" s="416"/>
      <c r="I174" s="418"/>
      <c r="J174" s="416"/>
      <c r="K174" s="416"/>
      <c r="L174" s="416"/>
      <c r="M174" s="416"/>
      <c r="N174" s="416"/>
      <c r="O174" s="416"/>
      <c r="P174" s="416"/>
      <c r="Q174" s="416"/>
      <c r="R174" s="416"/>
      <c r="S174" s="416"/>
      <c r="T174" s="416"/>
      <c r="U174" s="822"/>
      <c r="V174" s="416"/>
      <c r="W174" s="416"/>
      <c r="X174" s="416"/>
      <c r="Y174" s="416"/>
      <c r="Z174" s="416"/>
      <c r="AA174" s="416"/>
      <c r="AB174" s="416"/>
      <c r="AC174" s="416"/>
      <c r="AD174" s="416"/>
      <c r="AE174" s="416"/>
      <c r="AF174" s="433"/>
      <c r="AG174" s="822"/>
      <c r="AH174" s="416"/>
      <c r="AI174" s="416"/>
      <c r="AJ174" s="416"/>
      <c r="AK174" s="416"/>
      <c r="AL174" s="416"/>
      <c r="AM174" s="416"/>
      <c r="AN174" s="416"/>
      <c r="AO174" s="416"/>
      <c r="AP174" s="416"/>
      <c r="AQ174" s="416"/>
      <c r="AR174" s="433"/>
    </row>
    <row r="175" spans="2:44">
      <c r="B175" s="548"/>
      <c r="F175" s="549"/>
      <c r="G175" s="419" t="s">
        <v>423</v>
      </c>
      <c r="H175" s="416"/>
      <c r="I175" s="388">
        <v>20</v>
      </c>
      <c r="J175" s="420">
        <f>I178</f>
        <v>6</v>
      </c>
      <c r="K175" s="420">
        <f t="shared" ref="K175" si="788">J178</f>
        <v>15.400000000000006</v>
      </c>
      <c r="L175" s="420">
        <f t="shared" ref="L175" si="789">K178</f>
        <v>69.300000000000011</v>
      </c>
      <c r="M175" s="420">
        <f t="shared" ref="M175" si="790">L178</f>
        <v>156.19999999999999</v>
      </c>
      <c r="N175" s="420">
        <f t="shared" ref="N175" si="791">M178</f>
        <v>160.6</v>
      </c>
      <c r="O175" s="420">
        <f t="shared" ref="O175" si="792">N178</f>
        <v>212.3</v>
      </c>
      <c r="P175" s="420">
        <f t="shared" ref="P175" si="793">O178</f>
        <v>213.4</v>
      </c>
      <c r="Q175" s="420">
        <f t="shared" ref="Q175" si="794">P178</f>
        <v>247.50000000000003</v>
      </c>
      <c r="R175" s="420">
        <f t="shared" ref="R175" si="795">Q178</f>
        <v>266.20000000000005</v>
      </c>
      <c r="S175" s="420">
        <f t="shared" ref="S175" si="796">R178</f>
        <v>273.89999999999998</v>
      </c>
      <c r="T175" s="420">
        <f t="shared" ref="T175" si="797">S178</f>
        <v>286</v>
      </c>
      <c r="U175" s="823">
        <f t="shared" ref="U175" si="798">T178</f>
        <v>304.7</v>
      </c>
      <c r="V175" s="420">
        <f t="shared" ref="V175" si="799">U178</f>
        <v>315.7</v>
      </c>
      <c r="W175" s="420">
        <f t="shared" ref="W175" si="800">V178</f>
        <v>328.9</v>
      </c>
      <c r="X175" s="420">
        <f t="shared" ref="X175" si="801">W178</f>
        <v>339.9</v>
      </c>
      <c r="Y175" s="420">
        <f t="shared" ref="Y175" si="802">X178</f>
        <v>350.9</v>
      </c>
      <c r="Z175" s="420">
        <f t="shared" ref="Z175" si="803">Y178</f>
        <v>363</v>
      </c>
      <c r="AA175" s="420">
        <f t="shared" ref="AA175" si="804">Z178</f>
        <v>379.5</v>
      </c>
      <c r="AB175" s="420">
        <f t="shared" ref="AB175" si="805">AA178</f>
        <v>398.2</v>
      </c>
      <c r="AC175" s="420">
        <f t="shared" ref="AC175" si="806">AB178</f>
        <v>416.9</v>
      </c>
      <c r="AD175" s="420">
        <f t="shared" ref="AD175" si="807">AC178</f>
        <v>415.8</v>
      </c>
      <c r="AE175" s="420">
        <f t="shared" ref="AE175" si="808">AD178</f>
        <v>459.8</v>
      </c>
      <c r="AF175" s="434">
        <f t="shared" ref="AF175" si="809">AE178</f>
        <v>541.20000000000005</v>
      </c>
      <c r="AG175" s="823">
        <f t="shared" ref="AG175" si="810">AF178</f>
        <v>558.79999999999995</v>
      </c>
      <c r="AH175" s="420">
        <f t="shared" ref="AH175" si="811">AG178</f>
        <v>556.6</v>
      </c>
      <c r="AI175" s="420">
        <f t="shared" ref="AI175" si="812">AH178</f>
        <v>557.70000000000005</v>
      </c>
      <c r="AJ175" s="420">
        <f t="shared" ref="AJ175" si="813">AI178</f>
        <v>555.5</v>
      </c>
      <c r="AK175" s="420">
        <f t="shared" ref="AK175" si="814">AJ178</f>
        <v>555.5</v>
      </c>
      <c r="AL175" s="420">
        <f t="shared" ref="AL175" si="815">AK178</f>
        <v>558.79999999999995</v>
      </c>
      <c r="AM175" s="420">
        <f t="shared" ref="AM175" si="816">AL178</f>
        <v>577.5</v>
      </c>
      <c r="AN175" s="420">
        <f t="shared" ref="AN175" si="817">AM178</f>
        <v>581.9</v>
      </c>
      <c r="AO175" s="420">
        <f t="shared" ref="AO175" si="818">AN178</f>
        <v>619.29999999999995</v>
      </c>
      <c r="AP175" s="420">
        <f t="shared" ref="AP175" si="819">AO178</f>
        <v>616</v>
      </c>
      <c r="AQ175" s="420">
        <f t="shared" ref="AQ175" si="820">AP178</f>
        <v>618.20000000000005</v>
      </c>
      <c r="AR175" s="434">
        <f t="shared" ref="AR175" si="821">AQ178</f>
        <v>618.20000000000005</v>
      </c>
    </row>
    <row r="176" spans="2:44">
      <c r="B176" s="548"/>
      <c r="F176" s="549"/>
      <c r="G176" s="419" t="s">
        <v>424</v>
      </c>
      <c r="H176" s="416"/>
      <c r="I176" s="418">
        <f>-'Sales Forecast'!E91</f>
        <v>-14</v>
      </c>
      <c r="J176" s="418">
        <f>-'Sales Forecast'!F91</f>
        <v>-63</v>
      </c>
      <c r="K176" s="418">
        <f>-'Sales Forecast'!G91</f>
        <v>-142</v>
      </c>
      <c r="L176" s="418">
        <f>-'Sales Forecast'!H91</f>
        <v>-146</v>
      </c>
      <c r="M176" s="418">
        <f>-'Sales Forecast'!I91</f>
        <v>-193</v>
      </c>
      <c r="N176" s="418">
        <f>-'Sales Forecast'!J91</f>
        <v>-194</v>
      </c>
      <c r="O176" s="418">
        <f>-'Sales Forecast'!K91</f>
        <v>-225</v>
      </c>
      <c r="P176" s="418">
        <f>-'Sales Forecast'!L91</f>
        <v>-242</v>
      </c>
      <c r="Q176" s="418">
        <f>-'Sales Forecast'!M91</f>
        <v>-249</v>
      </c>
      <c r="R176" s="418">
        <f>-'Sales Forecast'!N91</f>
        <v>-260</v>
      </c>
      <c r="S176" s="418">
        <f>-'Sales Forecast'!O91</f>
        <v>-277</v>
      </c>
      <c r="T176" s="418">
        <f>-'Sales Forecast'!P91</f>
        <v>-287</v>
      </c>
      <c r="U176" s="825">
        <f>-'Sales Forecast'!Q91</f>
        <v>-299</v>
      </c>
      <c r="V176" s="817">
        <f>-'Sales Forecast'!R91</f>
        <v>-309</v>
      </c>
      <c r="W176" s="817">
        <f>-'Sales Forecast'!S91</f>
        <v>-319</v>
      </c>
      <c r="X176" s="817">
        <f>-'Sales Forecast'!T91</f>
        <v>-330</v>
      </c>
      <c r="Y176" s="817">
        <f>-'Sales Forecast'!U91</f>
        <v>-345</v>
      </c>
      <c r="Z176" s="817">
        <f>-'Sales Forecast'!V91</f>
        <v>-362</v>
      </c>
      <c r="AA176" s="817">
        <f>-'Sales Forecast'!W91</f>
        <v>-379</v>
      </c>
      <c r="AB176" s="817">
        <f>-'Sales Forecast'!X91</f>
        <v>-378</v>
      </c>
      <c r="AC176" s="817">
        <f>-'Sales Forecast'!Y91</f>
        <v>-418</v>
      </c>
      <c r="AD176" s="817">
        <f>-'Sales Forecast'!Z91</f>
        <v>-492</v>
      </c>
      <c r="AE176" s="817">
        <f>-'Sales Forecast'!AA91</f>
        <v>-508</v>
      </c>
      <c r="AF176" s="437">
        <f>-'Sales Forecast'!AB91</f>
        <v>-506</v>
      </c>
      <c r="AG176" s="825">
        <f>-'Sales Forecast'!AC91</f>
        <v>-507</v>
      </c>
      <c r="AH176" s="817">
        <f>-'Sales Forecast'!AD91</f>
        <v>-505</v>
      </c>
      <c r="AI176" s="817">
        <f>-'Sales Forecast'!AE91</f>
        <v>-505</v>
      </c>
      <c r="AJ176" s="817">
        <f>-'Sales Forecast'!AF91</f>
        <v>-508</v>
      </c>
      <c r="AK176" s="817">
        <f>-'Sales Forecast'!AG91</f>
        <v>-525</v>
      </c>
      <c r="AL176" s="817">
        <f>-'Sales Forecast'!AH91</f>
        <v>-529</v>
      </c>
      <c r="AM176" s="817">
        <f>-'Sales Forecast'!AI91</f>
        <v>-563</v>
      </c>
      <c r="AN176" s="817">
        <f>-'Sales Forecast'!AJ91</f>
        <v>-560</v>
      </c>
      <c r="AO176" s="817">
        <f>-'Sales Forecast'!AK91</f>
        <v>-562</v>
      </c>
      <c r="AP176" s="817">
        <f>-'Sales Forecast'!AL91</f>
        <v>-562</v>
      </c>
      <c r="AQ176" s="817">
        <f>-'Sales Forecast'!AM91</f>
        <v>-560</v>
      </c>
      <c r="AR176" s="437">
        <f>-'Sales Forecast'!AN91</f>
        <v>-575</v>
      </c>
    </row>
    <row r="177" spans="2:44">
      <c r="B177" s="548"/>
      <c r="F177" s="549"/>
      <c r="G177" s="419" t="s">
        <v>425</v>
      </c>
      <c r="H177" s="416"/>
      <c r="I177" s="421">
        <v>0</v>
      </c>
      <c r="J177" s="422">
        <f>I185</f>
        <v>72.400000000000006</v>
      </c>
      <c r="K177" s="422">
        <f t="shared" ref="K177" si="822">J185</f>
        <v>195.9</v>
      </c>
      <c r="L177" s="422">
        <f t="shared" ref="L177" si="823">K185</f>
        <v>232.89999999999998</v>
      </c>
      <c r="M177" s="422">
        <f t="shared" ref="M177" si="824">L185</f>
        <v>197.4</v>
      </c>
      <c r="N177" s="422">
        <f t="shared" ref="N177" si="825">M185</f>
        <v>245.70000000000002</v>
      </c>
      <c r="O177" s="422">
        <f t="shared" ref="O177" si="826">N185</f>
        <v>226.1</v>
      </c>
      <c r="P177" s="422">
        <f t="shared" ref="P177" si="827">O185</f>
        <v>276.10000000000002</v>
      </c>
      <c r="Q177" s="422">
        <f t="shared" ref="Q177" si="828">P185</f>
        <v>267.7</v>
      </c>
      <c r="R177" s="422">
        <f t="shared" ref="R177" si="829">Q185</f>
        <v>267.69999999999993</v>
      </c>
      <c r="S177" s="422">
        <f t="shared" ref="S177" si="830">R185</f>
        <v>289.10000000000002</v>
      </c>
      <c r="T177" s="422">
        <f t="shared" ref="T177" si="831">S185</f>
        <v>305.7</v>
      </c>
      <c r="U177" s="824">
        <f t="shared" ref="U177" si="832">T185</f>
        <v>310</v>
      </c>
      <c r="V177" s="422">
        <f t="shared" ref="V177" si="833">U185</f>
        <v>322.2</v>
      </c>
      <c r="W177" s="422">
        <f t="shared" ref="W177" si="834">V185</f>
        <v>330</v>
      </c>
      <c r="X177" s="422">
        <f t="shared" ref="X177" si="835">W185</f>
        <v>341</v>
      </c>
      <c r="Y177" s="422">
        <f t="shared" ref="Y177" si="836">X185</f>
        <v>357.1</v>
      </c>
      <c r="Z177" s="422">
        <f t="shared" ref="Z177" si="837">Y185</f>
        <v>378.5</v>
      </c>
      <c r="AA177" s="422">
        <f t="shared" ref="AA177" si="838">Z185</f>
        <v>397.7</v>
      </c>
      <c r="AB177" s="422">
        <f t="shared" ref="AB177" si="839">AA185</f>
        <v>396.7</v>
      </c>
      <c r="AC177" s="422">
        <f t="shared" ref="AC177" si="840">AB185</f>
        <v>416.90000000000003</v>
      </c>
      <c r="AD177" s="422">
        <f t="shared" ref="AD177" si="841">AC185</f>
        <v>536</v>
      </c>
      <c r="AE177" s="422">
        <f t="shared" ref="AE177" si="842">AD185</f>
        <v>589.40000000000009</v>
      </c>
      <c r="AF177" s="435">
        <f t="shared" ref="AF177" si="843">AE185</f>
        <v>523.59999999999991</v>
      </c>
      <c r="AG177" s="824">
        <f t="shared" ref="AG177" si="844">AF185</f>
        <v>504.80000000000007</v>
      </c>
      <c r="AH177" s="422">
        <f t="shared" ref="AH177" si="845">AG185</f>
        <v>506.09999999999997</v>
      </c>
      <c r="AI177" s="422">
        <f t="shared" ref="AI177" si="846">AH185</f>
        <v>502.79999999999995</v>
      </c>
      <c r="AJ177" s="422">
        <f t="shared" ref="AJ177" si="847">AI185</f>
        <v>508</v>
      </c>
      <c r="AK177" s="422">
        <f t="shared" ref="AK177" si="848">AJ185</f>
        <v>528.29999999999995</v>
      </c>
      <c r="AL177" s="422">
        <f t="shared" ref="AL177" si="849">AK185</f>
        <v>547.70000000000005</v>
      </c>
      <c r="AM177" s="422">
        <f t="shared" ref="AM177" si="850">AL185</f>
        <v>567.4</v>
      </c>
      <c r="AN177" s="422">
        <f t="shared" ref="AN177" si="851">AM185</f>
        <v>597.4</v>
      </c>
      <c r="AO177" s="422">
        <f t="shared" ref="AO177" si="852">AN185</f>
        <v>558.70000000000005</v>
      </c>
      <c r="AP177" s="422">
        <f t="shared" ref="AP177" si="853">AO185</f>
        <v>564.20000000000005</v>
      </c>
      <c r="AQ177" s="422">
        <f t="shared" ref="AQ177" si="854">AP185</f>
        <v>560</v>
      </c>
      <c r="AR177" s="435">
        <f t="shared" ref="AR177" si="855">AQ185</f>
        <v>572.79999999999995</v>
      </c>
    </row>
    <row r="178" spans="2:44">
      <c r="B178" s="548"/>
      <c r="F178" s="549"/>
      <c r="G178" s="417" t="s">
        <v>426</v>
      </c>
      <c r="H178" s="423"/>
      <c r="I178" s="424">
        <f>SUM(I175:I177)</f>
        <v>6</v>
      </c>
      <c r="J178" s="424">
        <f>SUM(J175:J177)</f>
        <v>15.400000000000006</v>
      </c>
      <c r="K178" s="424">
        <f t="shared" ref="K178:AR178" si="856">SUM(K175:K177)</f>
        <v>69.300000000000011</v>
      </c>
      <c r="L178" s="424">
        <f t="shared" si="856"/>
        <v>156.19999999999999</v>
      </c>
      <c r="M178" s="424">
        <f t="shared" si="856"/>
        <v>160.6</v>
      </c>
      <c r="N178" s="424">
        <f t="shared" si="856"/>
        <v>212.3</v>
      </c>
      <c r="O178" s="424">
        <f t="shared" si="856"/>
        <v>213.4</v>
      </c>
      <c r="P178" s="424">
        <f t="shared" si="856"/>
        <v>247.50000000000003</v>
      </c>
      <c r="Q178" s="424">
        <f t="shared" si="856"/>
        <v>266.20000000000005</v>
      </c>
      <c r="R178" s="424">
        <f t="shared" si="856"/>
        <v>273.89999999999998</v>
      </c>
      <c r="S178" s="424">
        <f t="shared" si="856"/>
        <v>286</v>
      </c>
      <c r="T178" s="816">
        <f t="shared" si="856"/>
        <v>304.7</v>
      </c>
      <c r="U178" s="820">
        <f t="shared" si="856"/>
        <v>315.7</v>
      </c>
      <c r="V178" s="816">
        <f t="shared" si="856"/>
        <v>328.9</v>
      </c>
      <c r="W178" s="816">
        <f t="shared" si="856"/>
        <v>339.9</v>
      </c>
      <c r="X178" s="816">
        <f t="shared" si="856"/>
        <v>350.9</v>
      </c>
      <c r="Y178" s="816">
        <f t="shared" si="856"/>
        <v>363</v>
      </c>
      <c r="Z178" s="816">
        <f t="shared" si="856"/>
        <v>379.5</v>
      </c>
      <c r="AA178" s="816">
        <f t="shared" si="856"/>
        <v>398.2</v>
      </c>
      <c r="AB178" s="816">
        <f t="shared" si="856"/>
        <v>416.9</v>
      </c>
      <c r="AC178" s="816">
        <f t="shared" si="856"/>
        <v>415.8</v>
      </c>
      <c r="AD178" s="816">
        <f t="shared" si="856"/>
        <v>459.8</v>
      </c>
      <c r="AE178" s="816">
        <f t="shared" si="856"/>
        <v>541.20000000000005</v>
      </c>
      <c r="AF178" s="436">
        <f t="shared" si="856"/>
        <v>558.79999999999995</v>
      </c>
      <c r="AG178" s="820">
        <f t="shared" si="856"/>
        <v>556.6</v>
      </c>
      <c r="AH178" s="816">
        <f t="shared" si="856"/>
        <v>557.70000000000005</v>
      </c>
      <c r="AI178" s="816">
        <f t="shared" si="856"/>
        <v>555.5</v>
      </c>
      <c r="AJ178" s="816">
        <f t="shared" si="856"/>
        <v>555.5</v>
      </c>
      <c r="AK178" s="816">
        <f t="shared" si="856"/>
        <v>558.79999999999995</v>
      </c>
      <c r="AL178" s="816">
        <f t="shared" si="856"/>
        <v>577.5</v>
      </c>
      <c r="AM178" s="816">
        <f t="shared" si="856"/>
        <v>581.9</v>
      </c>
      <c r="AN178" s="816">
        <f t="shared" si="856"/>
        <v>619.29999999999995</v>
      </c>
      <c r="AO178" s="816">
        <f t="shared" si="856"/>
        <v>616</v>
      </c>
      <c r="AP178" s="816">
        <f t="shared" si="856"/>
        <v>618.20000000000005</v>
      </c>
      <c r="AQ178" s="816">
        <f t="shared" si="856"/>
        <v>618.20000000000005</v>
      </c>
      <c r="AR178" s="436">
        <f t="shared" si="856"/>
        <v>616</v>
      </c>
    </row>
    <row r="179" spans="2:44">
      <c r="B179" s="548"/>
      <c r="F179" s="549"/>
      <c r="G179" s="417"/>
      <c r="H179" s="423"/>
      <c r="I179" s="424"/>
      <c r="J179" s="424"/>
      <c r="K179" s="424"/>
      <c r="L179" s="424"/>
      <c r="M179" s="424"/>
      <c r="N179" s="424"/>
      <c r="O179" s="424"/>
      <c r="P179" s="424"/>
      <c r="Q179" s="424"/>
      <c r="R179" s="424"/>
      <c r="S179" s="424"/>
      <c r="T179" s="816"/>
      <c r="U179" s="820"/>
      <c r="V179" s="816"/>
      <c r="W179" s="816"/>
      <c r="X179" s="816"/>
      <c r="Y179" s="816"/>
      <c r="Z179" s="816"/>
      <c r="AA179" s="816"/>
      <c r="AB179" s="816"/>
      <c r="AC179" s="816"/>
      <c r="AD179" s="816"/>
      <c r="AE179" s="816"/>
      <c r="AF179" s="436"/>
      <c r="AG179" s="820"/>
      <c r="AH179" s="816"/>
      <c r="AI179" s="816"/>
      <c r="AJ179" s="816"/>
      <c r="AK179" s="816"/>
      <c r="AL179" s="816"/>
      <c r="AM179" s="816"/>
      <c r="AN179" s="816"/>
      <c r="AO179" s="816"/>
      <c r="AP179" s="816"/>
      <c r="AQ179" s="816"/>
      <c r="AR179" s="436"/>
    </row>
    <row r="180" spans="2:44">
      <c r="B180" s="548"/>
      <c r="F180" s="549"/>
      <c r="G180" s="417" t="s">
        <v>438</v>
      </c>
      <c r="H180" s="416"/>
      <c r="I180" s="418"/>
      <c r="J180" s="416"/>
      <c r="K180" s="416"/>
      <c r="L180" s="416"/>
      <c r="M180" s="416"/>
      <c r="N180" s="416"/>
      <c r="O180" s="416"/>
      <c r="P180" s="416"/>
      <c r="Q180" s="416"/>
      <c r="R180" s="416"/>
      <c r="S180" s="416"/>
      <c r="T180" s="416"/>
      <c r="U180" s="822"/>
      <c r="V180" s="416"/>
      <c r="W180" s="416"/>
      <c r="X180" s="416"/>
      <c r="Y180" s="416"/>
      <c r="Z180" s="416"/>
      <c r="AA180" s="416"/>
      <c r="AB180" s="416"/>
      <c r="AC180" s="416"/>
      <c r="AD180" s="416"/>
      <c r="AE180" s="416"/>
      <c r="AF180" s="433"/>
      <c r="AG180" s="822"/>
      <c r="AH180" s="416"/>
      <c r="AI180" s="416"/>
      <c r="AJ180" s="416"/>
      <c r="AK180" s="416"/>
      <c r="AL180" s="416"/>
      <c r="AM180" s="416"/>
      <c r="AN180" s="416"/>
      <c r="AO180" s="416"/>
      <c r="AP180" s="416"/>
      <c r="AQ180" s="416"/>
      <c r="AR180" s="433"/>
    </row>
    <row r="181" spans="2:44">
      <c r="B181" s="548"/>
      <c r="F181" s="549"/>
      <c r="G181" s="419" t="s">
        <v>427</v>
      </c>
      <c r="H181" s="416"/>
      <c r="I181" s="418">
        <f>-(I176+J176)</f>
        <v>77</v>
      </c>
      <c r="J181" s="418">
        <f t="shared" ref="J181" si="857">-(J176+K176)</f>
        <v>205</v>
      </c>
      <c r="K181" s="418">
        <f t="shared" ref="K181" si="858">-(K176+L176)</f>
        <v>288</v>
      </c>
      <c r="L181" s="418">
        <f t="shared" ref="L181" si="859">-(L176+M176)</f>
        <v>339</v>
      </c>
      <c r="M181" s="418">
        <f t="shared" ref="M181" si="860">-(M176+N176)</f>
        <v>387</v>
      </c>
      <c r="N181" s="418">
        <f t="shared" ref="N181" si="861">-(N176+O176)</f>
        <v>419</v>
      </c>
      <c r="O181" s="418">
        <f t="shared" ref="O181" si="862">-(O176+P176)</f>
        <v>467</v>
      </c>
      <c r="P181" s="418">
        <f t="shared" ref="P181" si="863">-(P176+Q176)</f>
        <v>491</v>
      </c>
      <c r="Q181" s="418">
        <f t="shared" ref="Q181" si="864">-(Q176+R176)</f>
        <v>509</v>
      </c>
      <c r="R181" s="418">
        <f t="shared" ref="R181" si="865">-(R176+S176)</f>
        <v>537</v>
      </c>
      <c r="S181" s="418">
        <f t="shared" ref="S181" si="866">-(S176+T176)</f>
        <v>564</v>
      </c>
      <c r="T181" s="817">
        <f t="shared" ref="T181" si="867">-(T176+U176)</f>
        <v>586</v>
      </c>
      <c r="U181" s="825">
        <f t="shared" ref="U181" si="868">-(U176+V176)</f>
        <v>608</v>
      </c>
      <c r="V181" s="817">
        <f t="shared" ref="V181" si="869">-(V176+W176)</f>
        <v>628</v>
      </c>
      <c r="W181" s="817">
        <f t="shared" ref="W181" si="870">-(W176+X176)</f>
        <v>649</v>
      </c>
      <c r="X181" s="817">
        <f t="shared" ref="X181" si="871">-(X176+Y176)</f>
        <v>675</v>
      </c>
      <c r="Y181" s="817">
        <f t="shared" ref="Y181" si="872">-(Y176+Z176)</f>
        <v>707</v>
      </c>
      <c r="Z181" s="817">
        <f t="shared" ref="Z181" si="873">-(Z176+AA176)</f>
        <v>741</v>
      </c>
      <c r="AA181" s="817">
        <f t="shared" ref="AA181" si="874">-(AA176+AB176)</f>
        <v>757</v>
      </c>
      <c r="AB181" s="817">
        <f t="shared" ref="AB181" si="875">-(AB176+AC176)</f>
        <v>796</v>
      </c>
      <c r="AC181" s="817">
        <f t="shared" ref="AC181" si="876">-(AC176+AD176)</f>
        <v>910</v>
      </c>
      <c r="AD181" s="817">
        <f t="shared" ref="AD181" si="877">-(AD176+AE176)</f>
        <v>1000</v>
      </c>
      <c r="AE181" s="817">
        <f t="shared" ref="AE181" si="878">-(AE176+AF176)</f>
        <v>1014</v>
      </c>
      <c r="AF181" s="437">
        <f t="shared" ref="AF181" si="879">-(AF176+AG176)</f>
        <v>1013</v>
      </c>
      <c r="AG181" s="825">
        <f t="shared" ref="AG181" si="880">-(AG176+AH176)</f>
        <v>1012</v>
      </c>
      <c r="AH181" s="817">
        <f t="shared" ref="AH181" si="881">-(AH176+AI176)</f>
        <v>1010</v>
      </c>
      <c r="AI181" s="817">
        <f t="shared" ref="AI181" si="882">-(AI176+AJ176)</f>
        <v>1013</v>
      </c>
      <c r="AJ181" s="817">
        <f t="shared" ref="AJ181" si="883">-(AJ176+AK176)</f>
        <v>1033</v>
      </c>
      <c r="AK181" s="817">
        <f t="shared" ref="AK181" si="884">-(AK176+AL176)</f>
        <v>1054</v>
      </c>
      <c r="AL181" s="817">
        <f t="shared" ref="AL181" si="885">-(AL176+AM176)</f>
        <v>1092</v>
      </c>
      <c r="AM181" s="817">
        <f t="shared" ref="AM181" si="886">-(AM176+AN176)</f>
        <v>1123</v>
      </c>
      <c r="AN181" s="817">
        <f t="shared" ref="AN181" si="887">-(AN176+AO176)</f>
        <v>1122</v>
      </c>
      <c r="AO181" s="817">
        <f t="shared" ref="AO181" si="888">-(AO176+AP176)</f>
        <v>1124</v>
      </c>
      <c r="AP181" s="817">
        <f t="shared" ref="AP181" si="889">-(AP176+AQ176)</f>
        <v>1122</v>
      </c>
      <c r="AQ181" s="817">
        <f t="shared" ref="AQ181" si="890">-(AQ176+AR176)</f>
        <v>1135</v>
      </c>
      <c r="AR181" s="437">
        <f>-(AR176+AS176)</f>
        <v>575</v>
      </c>
    </row>
    <row r="182" spans="2:44">
      <c r="B182" s="548"/>
      <c r="F182" s="549"/>
      <c r="G182" s="419" t="s">
        <v>428</v>
      </c>
      <c r="H182" s="416"/>
      <c r="I182" s="418">
        <f>I178</f>
        <v>6</v>
      </c>
      <c r="J182" s="418">
        <f t="shared" ref="J182:AB182" si="891">J178</f>
        <v>15.400000000000006</v>
      </c>
      <c r="K182" s="418">
        <f t="shared" si="891"/>
        <v>69.300000000000011</v>
      </c>
      <c r="L182" s="418">
        <f t="shared" si="891"/>
        <v>156.19999999999999</v>
      </c>
      <c r="M182" s="418">
        <f t="shared" si="891"/>
        <v>160.6</v>
      </c>
      <c r="N182" s="418">
        <f t="shared" si="891"/>
        <v>212.3</v>
      </c>
      <c r="O182" s="418">
        <f t="shared" si="891"/>
        <v>213.4</v>
      </c>
      <c r="P182" s="418">
        <f t="shared" si="891"/>
        <v>247.50000000000003</v>
      </c>
      <c r="Q182" s="418">
        <f t="shared" si="891"/>
        <v>266.20000000000005</v>
      </c>
      <c r="R182" s="418">
        <f t="shared" si="891"/>
        <v>273.89999999999998</v>
      </c>
      <c r="S182" s="418">
        <f t="shared" si="891"/>
        <v>286</v>
      </c>
      <c r="T182" s="817">
        <f t="shared" si="891"/>
        <v>304.7</v>
      </c>
      <c r="U182" s="825">
        <f t="shared" si="891"/>
        <v>315.7</v>
      </c>
      <c r="V182" s="817">
        <f t="shared" si="891"/>
        <v>328.9</v>
      </c>
      <c r="W182" s="817">
        <f t="shared" si="891"/>
        <v>339.9</v>
      </c>
      <c r="X182" s="817">
        <f t="shared" si="891"/>
        <v>350.9</v>
      </c>
      <c r="Y182" s="817">
        <f t="shared" si="891"/>
        <v>363</v>
      </c>
      <c r="Z182" s="817">
        <f t="shared" si="891"/>
        <v>379.5</v>
      </c>
      <c r="AA182" s="817">
        <f t="shared" si="891"/>
        <v>398.2</v>
      </c>
      <c r="AB182" s="817">
        <f t="shared" si="891"/>
        <v>416.9</v>
      </c>
      <c r="AC182" s="817">
        <f>AC178</f>
        <v>415.8</v>
      </c>
      <c r="AD182" s="817">
        <f t="shared" ref="AD182:AR182" si="892">AD178</f>
        <v>459.8</v>
      </c>
      <c r="AE182" s="817">
        <f t="shared" si="892"/>
        <v>541.20000000000005</v>
      </c>
      <c r="AF182" s="437">
        <f t="shared" si="892"/>
        <v>558.79999999999995</v>
      </c>
      <c r="AG182" s="825">
        <f t="shared" si="892"/>
        <v>556.6</v>
      </c>
      <c r="AH182" s="817">
        <f t="shared" si="892"/>
        <v>557.70000000000005</v>
      </c>
      <c r="AI182" s="817">
        <f t="shared" si="892"/>
        <v>555.5</v>
      </c>
      <c r="AJ182" s="817">
        <f t="shared" si="892"/>
        <v>555.5</v>
      </c>
      <c r="AK182" s="817">
        <f t="shared" si="892"/>
        <v>558.79999999999995</v>
      </c>
      <c r="AL182" s="817">
        <f t="shared" si="892"/>
        <v>577.5</v>
      </c>
      <c r="AM182" s="817">
        <f t="shared" si="892"/>
        <v>581.9</v>
      </c>
      <c r="AN182" s="817">
        <f t="shared" si="892"/>
        <v>619.29999999999995</v>
      </c>
      <c r="AO182" s="817">
        <f t="shared" si="892"/>
        <v>616</v>
      </c>
      <c r="AP182" s="817">
        <f t="shared" si="892"/>
        <v>618.20000000000005</v>
      </c>
      <c r="AQ182" s="817">
        <f t="shared" si="892"/>
        <v>618.20000000000005</v>
      </c>
      <c r="AR182" s="437">
        <f t="shared" si="892"/>
        <v>616</v>
      </c>
    </row>
    <row r="183" spans="2:44">
      <c r="B183" s="548"/>
      <c r="F183" s="549"/>
      <c r="G183" s="419" t="s">
        <v>429</v>
      </c>
      <c r="H183" s="416"/>
      <c r="I183" s="418">
        <f>-I181+I182</f>
        <v>-71</v>
      </c>
      <c r="J183" s="418">
        <f t="shared" ref="J183:AR183" si="893">-J181+J182</f>
        <v>-189.6</v>
      </c>
      <c r="K183" s="418">
        <f t="shared" si="893"/>
        <v>-218.7</v>
      </c>
      <c r="L183" s="418">
        <f t="shared" si="893"/>
        <v>-182.8</v>
      </c>
      <c r="M183" s="418">
        <f t="shared" si="893"/>
        <v>-226.4</v>
      </c>
      <c r="N183" s="418">
        <f t="shared" si="893"/>
        <v>-206.7</v>
      </c>
      <c r="O183" s="418">
        <f t="shared" si="893"/>
        <v>-253.6</v>
      </c>
      <c r="P183" s="418">
        <f t="shared" si="893"/>
        <v>-243.49999999999997</v>
      </c>
      <c r="Q183" s="418">
        <f t="shared" si="893"/>
        <v>-242.79999999999995</v>
      </c>
      <c r="R183" s="418">
        <f t="shared" si="893"/>
        <v>-263.10000000000002</v>
      </c>
      <c r="S183" s="418">
        <f t="shared" si="893"/>
        <v>-278</v>
      </c>
      <c r="T183" s="817">
        <f t="shared" si="893"/>
        <v>-281.3</v>
      </c>
      <c r="U183" s="825">
        <f t="shared" si="893"/>
        <v>-292.3</v>
      </c>
      <c r="V183" s="817">
        <f t="shared" si="893"/>
        <v>-299.10000000000002</v>
      </c>
      <c r="W183" s="817">
        <f t="shared" si="893"/>
        <v>-309.10000000000002</v>
      </c>
      <c r="X183" s="817">
        <f t="shared" si="893"/>
        <v>-324.10000000000002</v>
      </c>
      <c r="Y183" s="817">
        <f t="shared" si="893"/>
        <v>-344</v>
      </c>
      <c r="Z183" s="817">
        <f t="shared" si="893"/>
        <v>-361.5</v>
      </c>
      <c r="AA183" s="817">
        <f t="shared" si="893"/>
        <v>-358.8</v>
      </c>
      <c r="AB183" s="817">
        <f t="shared" si="893"/>
        <v>-379.1</v>
      </c>
      <c r="AC183" s="817">
        <f t="shared" si="893"/>
        <v>-494.2</v>
      </c>
      <c r="AD183" s="817">
        <f t="shared" si="893"/>
        <v>-540.20000000000005</v>
      </c>
      <c r="AE183" s="817">
        <f t="shared" si="893"/>
        <v>-472.79999999999995</v>
      </c>
      <c r="AF183" s="437">
        <f t="shared" si="893"/>
        <v>-454.20000000000005</v>
      </c>
      <c r="AG183" s="825">
        <f t="shared" si="893"/>
        <v>-455.4</v>
      </c>
      <c r="AH183" s="817">
        <f t="shared" si="893"/>
        <v>-452.29999999999995</v>
      </c>
      <c r="AI183" s="817">
        <f t="shared" si="893"/>
        <v>-457.5</v>
      </c>
      <c r="AJ183" s="817">
        <f t="shared" si="893"/>
        <v>-477.5</v>
      </c>
      <c r="AK183" s="817">
        <f t="shared" si="893"/>
        <v>-495.20000000000005</v>
      </c>
      <c r="AL183" s="817">
        <f t="shared" si="893"/>
        <v>-514.5</v>
      </c>
      <c r="AM183" s="817">
        <f t="shared" si="893"/>
        <v>-541.1</v>
      </c>
      <c r="AN183" s="817">
        <f t="shared" si="893"/>
        <v>-502.70000000000005</v>
      </c>
      <c r="AO183" s="817">
        <f t="shared" si="893"/>
        <v>-508</v>
      </c>
      <c r="AP183" s="817">
        <f t="shared" si="893"/>
        <v>-503.79999999999995</v>
      </c>
      <c r="AQ183" s="817">
        <f t="shared" si="893"/>
        <v>-516.79999999999995</v>
      </c>
      <c r="AR183" s="437">
        <f t="shared" si="893"/>
        <v>41</v>
      </c>
    </row>
    <row r="184" spans="2:44">
      <c r="B184" s="548"/>
      <c r="F184" s="549"/>
      <c r="G184" s="419" t="s">
        <v>434</v>
      </c>
      <c r="H184" s="416"/>
      <c r="I184" s="418">
        <f>-$H$172*I176</f>
        <v>1.4000000000000001</v>
      </c>
      <c r="J184" s="418">
        <f t="shared" ref="J184:AR184" si="894">-$H$172*J176</f>
        <v>6.3000000000000007</v>
      </c>
      <c r="K184" s="418">
        <f t="shared" si="894"/>
        <v>14.200000000000001</v>
      </c>
      <c r="L184" s="418">
        <f t="shared" si="894"/>
        <v>14.600000000000001</v>
      </c>
      <c r="M184" s="418">
        <f t="shared" si="894"/>
        <v>19.3</v>
      </c>
      <c r="N184" s="418">
        <f t="shared" si="894"/>
        <v>19.400000000000002</v>
      </c>
      <c r="O184" s="418">
        <f t="shared" si="894"/>
        <v>22.5</v>
      </c>
      <c r="P184" s="418">
        <f t="shared" si="894"/>
        <v>24.200000000000003</v>
      </c>
      <c r="Q184" s="418">
        <f t="shared" si="894"/>
        <v>24.900000000000002</v>
      </c>
      <c r="R184" s="418">
        <f t="shared" si="894"/>
        <v>26</v>
      </c>
      <c r="S184" s="418">
        <f t="shared" si="894"/>
        <v>27.700000000000003</v>
      </c>
      <c r="T184" s="418">
        <f t="shared" si="894"/>
        <v>28.700000000000003</v>
      </c>
      <c r="U184" s="825">
        <f t="shared" si="894"/>
        <v>29.900000000000002</v>
      </c>
      <c r="V184" s="817">
        <f t="shared" si="894"/>
        <v>30.900000000000002</v>
      </c>
      <c r="W184" s="817">
        <f t="shared" si="894"/>
        <v>31.900000000000002</v>
      </c>
      <c r="X184" s="817">
        <f t="shared" si="894"/>
        <v>33</v>
      </c>
      <c r="Y184" s="817">
        <f t="shared" si="894"/>
        <v>34.5</v>
      </c>
      <c r="Z184" s="817">
        <f t="shared" si="894"/>
        <v>36.200000000000003</v>
      </c>
      <c r="AA184" s="817">
        <f t="shared" si="894"/>
        <v>37.9</v>
      </c>
      <c r="AB184" s="817">
        <f t="shared" si="894"/>
        <v>37.800000000000004</v>
      </c>
      <c r="AC184" s="817">
        <f t="shared" si="894"/>
        <v>41.800000000000004</v>
      </c>
      <c r="AD184" s="817">
        <f t="shared" si="894"/>
        <v>49.2</v>
      </c>
      <c r="AE184" s="817">
        <f t="shared" si="894"/>
        <v>50.800000000000004</v>
      </c>
      <c r="AF184" s="437">
        <f t="shared" si="894"/>
        <v>50.6</v>
      </c>
      <c r="AG184" s="825">
        <f t="shared" si="894"/>
        <v>50.7</v>
      </c>
      <c r="AH184" s="817">
        <f t="shared" si="894"/>
        <v>50.5</v>
      </c>
      <c r="AI184" s="817">
        <f t="shared" si="894"/>
        <v>50.5</v>
      </c>
      <c r="AJ184" s="817">
        <f t="shared" si="894"/>
        <v>50.800000000000004</v>
      </c>
      <c r="AK184" s="817">
        <f t="shared" si="894"/>
        <v>52.5</v>
      </c>
      <c r="AL184" s="817">
        <f t="shared" si="894"/>
        <v>52.900000000000006</v>
      </c>
      <c r="AM184" s="817">
        <f t="shared" si="894"/>
        <v>56.300000000000004</v>
      </c>
      <c r="AN184" s="817">
        <f t="shared" si="894"/>
        <v>56</v>
      </c>
      <c r="AO184" s="817">
        <f t="shared" si="894"/>
        <v>56.2</v>
      </c>
      <c r="AP184" s="817">
        <f t="shared" si="894"/>
        <v>56.2</v>
      </c>
      <c r="AQ184" s="817">
        <f t="shared" si="894"/>
        <v>56</v>
      </c>
      <c r="AR184" s="437">
        <f t="shared" si="894"/>
        <v>57.5</v>
      </c>
    </row>
    <row r="185" spans="2:44">
      <c r="B185" s="548"/>
      <c r="F185" s="549"/>
      <c r="G185" s="417" t="s">
        <v>431</v>
      </c>
      <c r="H185" s="423"/>
      <c r="I185" s="425">
        <f t="shared" ref="I185:AR185" si="895">IF((I184-I183)&lt;=0,"-",(I184-I183))</f>
        <v>72.400000000000006</v>
      </c>
      <c r="J185" s="425">
        <f t="shared" si="895"/>
        <v>195.9</v>
      </c>
      <c r="K185" s="425">
        <f t="shared" si="895"/>
        <v>232.89999999999998</v>
      </c>
      <c r="L185" s="425">
        <f t="shared" si="895"/>
        <v>197.4</v>
      </c>
      <c r="M185" s="425">
        <f t="shared" si="895"/>
        <v>245.70000000000002</v>
      </c>
      <c r="N185" s="425">
        <f t="shared" si="895"/>
        <v>226.1</v>
      </c>
      <c r="O185" s="425">
        <f t="shared" si="895"/>
        <v>276.10000000000002</v>
      </c>
      <c r="P185" s="425">
        <f t="shared" si="895"/>
        <v>267.7</v>
      </c>
      <c r="Q185" s="425">
        <f t="shared" si="895"/>
        <v>267.69999999999993</v>
      </c>
      <c r="R185" s="425">
        <f t="shared" si="895"/>
        <v>289.10000000000002</v>
      </c>
      <c r="S185" s="425">
        <f t="shared" si="895"/>
        <v>305.7</v>
      </c>
      <c r="T185" s="818">
        <f t="shared" si="895"/>
        <v>310</v>
      </c>
      <c r="U185" s="826">
        <f t="shared" si="895"/>
        <v>322.2</v>
      </c>
      <c r="V185" s="818">
        <f t="shared" si="895"/>
        <v>330</v>
      </c>
      <c r="W185" s="818">
        <f t="shared" si="895"/>
        <v>341</v>
      </c>
      <c r="X185" s="818">
        <f t="shared" si="895"/>
        <v>357.1</v>
      </c>
      <c r="Y185" s="818">
        <f t="shared" si="895"/>
        <v>378.5</v>
      </c>
      <c r="Z185" s="818">
        <f t="shared" si="895"/>
        <v>397.7</v>
      </c>
      <c r="AA185" s="818">
        <f t="shared" si="895"/>
        <v>396.7</v>
      </c>
      <c r="AB185" s="818">
        <f t="shared" si="895"/>
        <v>416.90000000000003</v>
      </c>
      <c r="AC185" s="818">
        <f t="shared" si="895"/>
        <v>536</v>
      </c>
      <c r="AD185" s="818">
        <f t="shared" si="895"/>
        <v>589.40000000000009</v>
      </c>
      <c r="AE185" s="818">
        <f t="shared" si="895"/>
        <v>523.59999999999991</v>
      </c>
      <c r="AF185" s="438">
        <f t="shared" si="895"/>
        <v>504.80000000000007</v>
      </c>
      <c r="AG185" s="826">
        <f t="shared" si="895"/>
        <v>506.09999999999997</v>
      </c>
      <c r="AH185" s="818">
        <f t="shared" si="895"/>
        <v>502.79999999999995</v>
      </c>
      <c r="AI185" s="818">
        <f t="shared" si="895"/>
        <v>508</v>
      </c>
      <c r="AJ185" s="818">
        <f t="shared" si="895"/>
        <v>528.29999999999995</v>
      </c>
      <c r="AK185" s="818">
        <f t="shared" si="895"/>
        <v>547.70000000000005</v>
      </c>
      <c r="AL185" s="818">
        <f t="shared" si="895"/>
        <v>567.4</v>
      </c>
      <c r="AM185" s="818">
        <f t="shared" si="895"/>
        <v>597.4</v>
      </c>
      <c r="AN185" s="818">
        <f t="shared" si="895"/>
        <v>558.70000000000005</v>
      </c>
      <c r="AO185" s="818">
        <f t="shared" si="895"/>
        <v>564.20000000000005</v>
      </c>
      <c r="AP185" s="818">
        <f t="shared" si="895"/>
        <v>560</v>
      </c>
      <c r="AQ185" s="818">
        <f t="shared" si="895"/>
        <v>572.79999999999995</v>
      </c>
      <c r="AR185" s="438">
        <f t="shared" si="895"/>
        <v>16.5</v>
      </c>
    </row>
    <row r="186" spans="2:44">
      <c r="B186" s="548"/>
      <c r="F186" s="549"/>
      <c r="G186" s="423"/>
      <c r="H186" s="427"/>
      <c r="I186" s="416"/>
      <c r="J186" s="416"/>
      <c r="K186" s="416"/>
      <c r="L186" s="416"/>
      <c r="M186" s="416"/>
      <c r="N186" s="416"/>
      <c r="O186" s="416"/>
      <c r="P186" s="416"/>
      <c r="Q186" s="416"/>
      <c r="R186" s="416"/>
      <c r="S186" s="416"/>
      <c r="T186" s="416"/>
      <c r="U186" s="822"/>
      <c r="V186" s="416"/>
      <c r="W186" s="416"/>
      <c r="X186" s="416"/>
      <c r="Y186" s="416"/>
      <c r="Z186" s="416"/>
      <c r="AA186" s="416"/>
      <c r="AB186" s="416"/>
      <c r="AC186" s="416"/>
      <c r="AD186" s="416"/>
      <c r="AE186" s="416"/>
      <c r="AF186" s="433"/>
      <c r="AG186" s="822"/>
      <c r="AH186" s="416"/>
      <c r="AI186" s="416"/>
      <c r="AJ186" s="416"/>
      <c r="AK186" s="416"/>
      <c r="AL186" s="416"/>
      <c r="AM186" s="416"/>
      <c r="AN186" s="416"/>
      <c r="AO186" s="416"/>
      <c r="AP186" s="416"/>
      <c r="AQ186" s="416"/>
      <c r="AR186" s="433"/>
    </row>
    <row r="187" spans="2:44">
      <c r="B187" s="548"/>
      <c r="F187" s="549"/>
      <c r="G187" s="449" t="s">
        <v>432</v>
      </c>
      <c r="H187" s="428"/>
      <c r="I187" s="428">
        <f>'Pricing Model'!$G$78*I178</f>
        <v>240</v>
      </c>
      <c r="J187" s="428">
        <f>'Pricing Model'!$G$78*J178</f>
        <v>616.00000000000023</v>
      </c>
      <c r="K187" s="428">
        <f>'Pricing Model'!$G$78*K178</f>
        <v>2772.0000000000005</v>
      </c>
      <c r="L187" s="428">
        <f>'Pricing Model'!$G$78*L178</f>
        <v>6248</v>
      </c>
      <c r="M187" s="428">
        <f>'Pricing Model'!$G$78*M178</f>
        <v>6424</v>
      </c>
      <c r="N187" s="428">
        <f>'Pricing Model'!$G$78*N178</f>
        <v>8492</v>
      </c>
      <c r="O187" s="428">
        <f>'Pricing Model'!$G$78*O178</f>
        <v>8536</v>
      </c>
      <c r="P187" s="428">
        <f>'Pricing Model'!$G$78*P178</f>
        <v>9900.0000000000018</v>
      </c>
      <c r="Q187" s="428">
        <f>'Pricing Model'!$G$78*Q178</f>
        <v>10648.000000000002</v>
      </c>
      <c r="R187" s="428">
        <f>'Pricing Model'!$G$78*R178</f>
        <v>10956</v>
      </c>
      <c r="S187" s="428">
        <f>'Pricing Model'!$G$78*S178</f>
        <v>11440</v>
      </c>
      <c r="T187" s="428">
        <f>'Pricing Model'!$G$78*T178</f>
        <v>12188</v>
      </c>
      <c r="U187" s="827">
        <f>'Pricing Model'!$G$78*U178</f>
        <v>12628</v>
      </c>
      <c r="V187" s="428">
        <f>'Pricing Model'!$G$78*V178</f>
        <v>13156</v>
      </c>
      <c r="W187" s="428">
        <f>'Pricing Model'!$G$78*W178</f>
        <v>13596</v>
      </c>
      <c r="X187" s="428">
        <f>'Pricing Model'!$G$78*X178</f>
        <v>14036</v>
      </c>
      <c r="Y187" s="428">
        <f>'Pricing Model'!$G$78*Y178</f>
        <v>14520</v>
      </c>
      <c r="Z187" s="428">
        <f>'Pricing Model'!$G$78*Z178</f>
        <v>15180</v>
      </c>
      <c r="AA187" s="428">
        <f>'Pricing Model'!$G$78*AA178</f>
        <v>15928</v>
      </c>
      <c r="AB187" s="428">
        <f>'Pricing Model'!$G$78*AB178</f>
        <v>16676</v>
      </c>
      <c r="AC187" s="428">
        <f>'Pricing Model'!$G$78*AC178</f>
        <v>16632</v>
      </c>
      <c r="AD187" s="428">
        <f>'Pricing Model'!$G$78*AD178</f>
        <v>18392</v>
      </c>
      <c r="AE187" s="428">
        <f>'Pricing Model'!$G$78*AE178</f>
        <v>21648</v>
      </c>
      <c r="AF187" s="439">
        <f>'Pricing Model'!$G$78*AF178</f>
        <v>22352</v>
      </c>
      <c r="AG187" s="827">
        <f>'Pricing Model'!$G$78*AG178</f>
        <v>22264</v>
      </c>
      <c r="AH187" s="428">
        <f>'Pricing Model'!$G$78*AH178</f>
        <v>22308</v>
      </c>
      <c r="AI187" s="428">
        <f>'Pricing Model'!$G$78*AI178</f>
        <v>22220</v>
      </c>
      <c r="AJ187" s="428">
        <f>'Pricing Model'!$G$78*AJ178</f>
        <v>22220</v>
      </c>
      <c r="AK187" s="428">
        <f>'Pricing Model'!$G$78*AK178</f>
        <v>22352</v>
      </c>
      <c r="AL187" s="428">
        <f>'Pricing Model'!$G$78*AL178</f>
        <v>23100</v>
      </c>
      <c r="AM187" s="428">
        <f>'Pricing Model'!$G$78*AM178</f>
        <v>23276</v>
      </c>
      <c r="AN187" s="428">
        <f>'Pricing Model'!$G$78*AN178</f>
        <v>24772</v>
      </c>
      <c r="AO187" s="428">
        <f>'Pricing Model'!$G$78*AO178</f>
        <v>24640</v>
      </c>
      <c r="AP187" s="428">
        <f>'Pricing Model'!$G$78*AP178</f>
        <v>24728</v>
      </c>
      <c r="AQ187" s="428">
        <f>'Pricing Model'!$G$78*AQ178</f>
        <v>24728</v>
      </c>
      <c r="AR187" s="439">
        <f>'Pricing Model'!$G$78*AR178</f>
        <v>24640</v>
      </c>
    </row>
    <row r="188" spans="2:44" ht="16.2" thickBot="1">
      <c r="B188" s="550"/>
      <c r="C188" s="551"/>
      <c r="D188" s="551"/>
      <c r="E188" s="551"/>
      <c r="F188" s="552"/>
      <c r="G188" s="411" t="s">
        <v>441</v>
      </c>
      <c r="H188" s="429"/>
      <c r="I188" s="582">
        <f>I187</f>
        <v>240</v>
      </c>
      <c r="J188" s="583">
        <f>J187-I187</f>
        <v>376.00000000000023</v>
      </c>
      <c r="K188" s="583">
        <f>K187-J187</f>
        <v>2156</v>
      </c>
      <c r="L188" s="583">
        <f t="shared" ref="L188" si="896">L187-K187</f>
        <v>3475.9999999999995</v>
      </c>
      <c r="M188" s="583">
        <f t="shared" ref="M188" si="897">M187-L187</f>
        <v>176</v>
      </c>
      <c r="N188" s="583">
        <f t="shared" ref="N188" si="898">N187-M187</f>
        <v>2068</v>
      </c>
      <c r="O188" s="583">
        <f t="shared" ref="O188" si="899">O187-N187</f>
        <v>44</v>
      </c>
      <c r="P188" s="583">
        <f t="shared" ref="P188" si="900">P187-O187</f>
        <v>1364.0000000000018</v>
      </c>
      <c r="Q188" s="583">
        <f t="shared" ref="Q188" si="901">Q187-P187</f>
        <v>748</v>
      </c>
      <c r="R188" s="583">
        <f t="shared" ref="R188" si="902">R187-Q187</f>
        <v>307.99999999999818</v>
      </c>
      <c r="S188" s="583">
        <f t="shared" ref="S188" si="903">S187-R187</f>
        <v>484</v>
      </c>
      <c r="T188" s="583">
        <f t="shared" ref="T188" si="904">T187-S187</f>
        <v>748</v>
      </c>
      <c r="U188" s="828">
        <f t="shared" ref="U188" si="905">U187-T187</f>
        <v>440</v>
      </c>
      <c r="V188" s="583">
        <f t="shared" ref="V188" si="906">V187-U187</f>
        <v>528</v>
      </c>
      <c r="W188" s="583">
        <f t="shared" ref="W188" si="907">W187-V187</f>
        <v>440</v>
      </c>
      <c r="X188" s="583">
        <f t="shared" ref="X188" si="908">X187-W187</f>
        <v>440</v>
      </c>
      <c r="Y188" s="583">
        <f t="shared" ref="Y188" si="909">Y187-X187</f>
        <v>484</v>
      </c>
      <c r="Z188" s="583">
        <f t="shared" ref="Z188" si="910">Z187-Y187</f>
        <v>660</v>
      </c>
      <c r="AA188" s="583">
        <f t="shared" ref="AA188" si="911">AA187-Z187</f>
        <v>748</v>
      </c>
      <c r="AB188" s="583">
        <f t="shared" ref="AB188" si="912">AB187-AA187</f>
        <v>748</v>
      </c>
      <c r="AC188" s="583">
        <f t="shared" ref="AC188" si="913">AC187-AB187</f>
        <v>-44</v>
      </c>
      <c r="AD188" s="583">
        <f t="shared" ref="AD188" si="914">AD187-AC187</f>
        <v>1760</v>
      </c>
      <c r="AE188" s="583">
        <f t="shared" ref="AE188" si="915">AE187-AD187</f>
        <v>3256</v>
      </c>
      <c r="AF188" s="584">
        <f t="shared" ref="AF188" si="916">AF187-AE187</f>
        <v>704</v>
      </c>
      <c r="AG188" s="828">
        <f t="shared" ref="AG188" si="917">AG187-AF187</f>
        <v>-88</v>
      </c>
      <c r="AH188" s="583">
        <f t="shared" ref="AH188" si="918">AH187-AG187</f>
        <v>44</v>
      </c>
      <c r="AI188" s="583">
        <f t="shared" ref="AI188" si="919">AI187-AH187</f>
        <v>-88</v>
      </c>
      <c r="AJ188" s="583">
        <f t="shared" ref="AJ188" si="920">AJ187-AI187</f>
        <v>0</v>
      </c>
      <c r="AK188" s="583">
        <f t="shared" ref="AK188" si="921">AK187-AJ187</f>
        <v>132</v>
      </c>
      <c r="AL188" s="583">
        <f t="shared" ref="AL188" si="922">AL187-AK187</f>
        <v>748</v>
      </c>
      <c r="AM188" s="583">
        <f t="shared" ref="AM188" si="923">AM187-AL187</f>
        <v>176</v>
      </c>
      <c r="AN188" s="583">
        <f t="shared" ref="AN188" si="924">AN187-AM187</f>
        <v>1496</v>
      </c>
      <c r="AO188" s="583">
        <f t="shared" ref="AO188" si="925">AO187-AN187</f>
        <v>-132</v>
      </c>
      <c r="AP188" s="583">
        <f t="shared" ref="AP188" si="926">AP187-AO187</f>
        <v>88</v>
      </c>
      <c r="AQ188" s="583">
        <f t="shared" ref="AQ188" si="927">AQ187-AP187</f>
        <v>0</v>
      </c>
      <c r="AR188" s="584">
        <f t="shared" ref="AR188" si="928">AR187-AQ187</f>
        <v>-88</v>
      </c>
    </row>
    <row r="189" spans="2:44" ht="16.2" thickTop="1">
      <c r="G189" s="400"/>
      <c r="H189" s="803"/>
      <c r="I189" s="396"/>
      <c r="J189" s="396"/>
      <c r="K189" s="396"/>
      <c r="L189" s="396"/>
      <c r="M189" s="396"/>
      <c r="N189" s="396"/>
      <c r="O189" s="396"/>
      <c r="P189" s="396"/>
      <c r="Q189" s="396"/>
      <c r="R189" s="396"/>
      <c r="S189" s="396"/>
      <c r="T189" s="396"/>
      <c r="U189" s="833"/>
      <c r="V189" s="396"/>
      <c r="W189" s="396"/>
      <c r="X189" s="396"/>
      <c r="Y189" s="396"/>
      <c r="Z189" s="396"/>
      <c r="AA189" s="396"/>
      <c r="AB189" s="396"/>
      <c r="AC189" s="396"/>
      <c r="AD189" s="396"/>
      <c r="AE189" s="396"/>
      <c r="AF189" s="442"/>
      <c r="AG189" s="833"/>
      <c r="AH189" s="396"/>
      <c r="AI189" s="396"/>
      <c r="AJ189" s="396"/>
      <c r="AK189" s="396"/>
      <c r="AL189" s="396"/>
      <c r="AM189" s="396"/>
      <c r="AN189" s="396"/>
      <c r="AO189" s="396"/>
      <c r="AP189" s="396"/>
      <c r="AQ189" s="396"/>
    </row>
    <row r="190" spans="2:44">
      <c r="G190" s="400"/>
      <c r="H190" s="803"/>
      <c r="I190" s="396"/>
      <c r="J190" s="396"/>
      <c r="K190" s="396"/>
      <c r="L190" s="396"/>
      <c r="M190" s="396"/>
      <c r="N190" s="396"/>
      <c r="O190" s="396"/>
      <c r="P190" s="396"/>
      <c r="Q190" s="396"/>
      <c r="R190" s="396"/>
      <c r="S190" s="396"/>
      <c r="T190" s="396"/>
      <c r="U190" s="833"/>
      <c r="V190" s="396"/>
      <c r="W190" s="396"/>
      <c r="X190" s="396"/>
      <c r="Y190" s="396"/>
      <c r="Z190" s="396"/>
      <c r="AA190" s="396"/>
      <c r="AB190" s="396"/>
      <c r="AC190" s="396"/>
      <c r="AD190" s="396"/>
      <c r="AE190" s="396"/>
      <c r="AF190" s="442"/>
      <c r="AG190" s="833"/>
      <c r="AH190" s="396"/>
      <c r="AI190" s="396"/>
      <c r="AJ190" s="396"/>
      <c r="AK190" s="396"/>
      <c r="AL190" s="396"/>
      <c r="AM190" s="396"/>
      <c r="AN190" s="396"/>
      <c r="AO190" s="396"/>
      <c r="AP190" s="396"/>
      <c r="AQ190" s="396"/>
    </row>
    <row r="191" spans="2:44" ht="16.2" thickBot="1">
      <c r="G191" s="400"/>
      <c r="H191" s="803"/>
      <c r="I191" s="396"/>
      <c r="J191" s="396"/>
      <c r="K191" s="396"/>
      <c r="L191" s="396"/>
      <c r="M191" s="396"/>
      <c r="N191" s="396"/>
      <c r="O191" s="396"/>
      <c r="P191" s="396"/>
      <c r="Q191" s="396"/>
      <c r="R191" s="396"/>
      <c r="S191" s="396"/>
      <c r="T191" s="396"/>
      <c r="U191" s="833"/>
      <c r="V191" s="396"/>
      <c r="W191" s="396"/>
      <c r="X191" s="396"/>
      <c r="Y191" s="396"/>
      <c r="Z191" s="396"/>
      <c r="AA191" s="396"/>
      <c r="AB191" s="396"/>
      <c r="AC191" s="396"/>
      <c r="AD191" s="396"/>
      <c r="AE191" s="396"/>
      <c r="AF191" s="442"/>
      <c r="AG191" s="833"/>
      <c r="AH191" s="396"/>
      <c r="AI191" s="396"/>
      <c r="AJ191" s="396"/>
      <c r="AK191" s="396"/>
      <c r="AL191" s="396"/>
      <c r="AM191" s="396"/>
      <c r="AN191" s="396"/>
      <c r="AO191" s="396"/>
      <c r="AP191" s="396"/>
      <c r="AQ191" s="396"/>
    </row>
    <row r="192" spans="2:44" ht="16.2" thickTop="1">
      <c r="B192" s="545"/>
      <c r="C192" s="546"/>
      <c r="D192" s="546"/>
      <c r="E192" s="546"/>
      <c r="F192" s="547"/>
      <c r="G192" s="414" t="s">
        <v>433</v>
      </c>
      <c r="H192" s="410">
        <v>0.12</v>
      </c>
      <c r="I192" s="416"/>
      <c r="J192" s="416"/>
      <c r="K192" s="416"/>
      <c r="L192" s="416"/>
      <c r="M192" s="416"/>
      <c r="N192" s="416"/>
      <c r="O192" s="416"/>
      <c r="P192" s="416"/>
      <c r="Q192" s="416"/>
      <c r="R192" s="416"/>
      <c r="S192" s="416"/>
      <c r="T192" s="416"/>
      <c r="U192" s="822"/>
      <c r="V192" s="416"/>
      <c r="W192" s="416"/>
      <c r="X192" s="416"/>
      <c r="Y192" s="416"/>
      <c r="Z192" s="416"/>
      <c r="AA192" s="416"/>
      <c r="AB192" s="416"/>
      <c r="AC192" s="416"/>
      <c r="AD192" s="416"/>
      <c r="AE192" s="416"/>
      <c r="AF192" s="433"/>
      <c r="AG192" s="822"/>
      <c r="AH192" s="416"/>
      <c r="AI192" s="416"/>
      <c r="AJ192" s="416"/>
      <c r="AK192" s="416"/>
      <c r="AL192" s="416"/>
      <c r="AM192" s="416"/>
      <c r="AN192" s="416"/>
      <c r="AO192" s="416"/>
      <c r="AP192" s="416"/>
      <c r="AQ192" s="416"/>
      <c r="AR192" s="433"/>
    </row>
    <row r="193" spans="2:44">
      <c r="B193" s="548"/>
      <c r="F193" s="549"/>
      <c r="G193" s="414"/>
      <c r="H193" s="415"/>
      <c r="I193" s="416"/>
      <c r="J193" s="416"/>
      <c r="K193" s="416"/>
      <c r="L193" s="416"/>
      <c r="M193" s="416"/>
      <c r="N193" s="416"/>
      <c r="O193" s="416"/>
      <c r="P193" s="416"/>
      <c r="Q193" s="416"/>
      <c r="R193" s="416"/>
      <c r="S193" s="416"/>
      <c r="T193" s="416"/>
      <c r="U193" s="822"/>
      <c r="V193" s="416"/>
      <c r="W193" s="416"/>
      <c r="X193" s="416"/>
      <c r="Y193" s="416"/>
      <c r="Z193" s="416"/>
      <c r="AA193" s="416"/>
      <c r="AB193" s="416"/>
      <c r="AC193" s="416"/>
      <c r="AD193" s="416"/>
      <c r="AE193" s="416"/>
      <c r="AF193" s="433"/>
      <c r="AG193" s="822"/>
      <c r="AH193" s="416"/>
      <c r="AI193" s="416"/>
      <c r="AJ193" s="416"/>
      <c r="AK193" s="416"/>
      <c r="AL193" s="416"/>
      <c r="AM193" s="416"/>
      <c r="AN193" s="416"/>
      <c r="AO193" s="416"/>
      <c r="AP193" s="416"/>
      <c r="AQ193" s="416"/>
      <c r="AR193" s="433"/>
    </row>
    <row r="194" spans="2:44" ht="21">
      <c r="B194" s="548"/>
      <c r="C194" s="1244" t="s">
        <v>314</v>
      </c>
      <c r="D194" s="1244"/>
      <c r="F194" s="549"/>
      <c r="G194" s="417" t="s">
        <v>437</v>
      </c>
      <c r="H194" s="416"/>
      <c r="I194" s="418"/>
      <c r="J194" s="416"/>
      <c r="K194" s="416"/>
      <c r="L194" s="416"/>
      <c r="M194" s="416"/>
      <c r="N194" s="416"/>
      <c r="O194" s="416"/>
      <c r="P194" s="416"/>
      <c r="Q194" s="416"/>
      <c r="R194" s="416"/>
      <c r="S194" s="416"/>
      <c r="T194" s="416"/>
      <c r="U194" s="822"/>
      <c r="V194" s="416"/>
      <c r="W194" s="416"/>
      <c r="X194" s="416"/>
      <c r="Y194" s="416"/>
      <c r="Z194" s="416"/>
      <c r="AA194" s="416"/>
      <c r="AB194" s="416"/>
      <c r="AC194" s="416"/>
      <c r="AD194" s="416"/>
      <c r="AE194" s="416"/>
      <c r="AF194" s="433"/>
      <c r="AG194" s="822"/>
      <c r="AH194" s="416"/>
      <c r="AI194" s="416"/>
      <c r="AJ194" s="416"/>
      <c r="AK194" s="416"/>
      <c r="AL194" s="416"/>
      <c r="AM194" s="416"/>
      <c r="AN194" s="416"/>
      <c r="AO194" s="416"/>
      <c r="AP194" s="416"/>
      <c r="AQ194" s="416"/>
      <c r="AR194" s="433"/>
    </row>
    <row r="195" spans="2:44">
      <c r="B195" s="548"/>
      <c r="F195" s="549"/>
      <c r="G195" s="419" t="s">
        <v>423</v>
      </c>
      <c r="H195" s="416"/>
      <c r="I195" s="388">
        <v>20</v>
      </c>
      <c r="J195" s="420">
        <f>I198</f>
        <v>9</v>
      </c>
      <c r="K195" s="420">
        <f t="shared" ref="K195" si="929">J198</f>
        <v>12.32</v>
      </c>
      <c r="L195" s="420">
        <f t="shared" ref="L195" si="930">K198</f>
        <v>13.44</v>
      </c>
      <c r="M195" s="420">
        <f t="shared" ref="M195" si="931">L198</f>
        <v>15.68</v>
      </c>
      <c r="N195" s="420">
        <f t="shared" ref="N195" si="932">M198</f>
        <v>13.44</v>
      </c>
      <c r="O195" s="420">
        <f t="shared" ref="O195" si="933">N198</f>
        <v>17.920000000000002</v>
      </c>
      <c r="P195" s="420">
        <f t="shared" ref="P195" si="934">O198</f>
        <v>22.4</v>
      </c>
      <c r="Q195" s="420">
        <f t="shared" ref="Q195" si="935">P198</f>
        <v>24.64</v>
      </c>
      <c r="R195" s="420">
        <f t="shared" ref="R195" si="936">Q198</f>
        <v>30.240000000000002</v>
      </c>
      <c r="S195" s="420">
        <f t="shared" ref="S195" si="937">R198</f>
        <v>32.479999999999997</v>
      </c>
      <c r="T195" s="420">
        <f t="shared" ref="T195" si="938">S198</f>
        <v>33.6</v>
      </c>
      <c r="U195" s="823">
        <f t="shared" ref="U195" si="939">T198</f>
        <v>40.32</v>
      </c>
      <c r="V195" s="420">
        <f t="shared" ref="V195" si="940">U198</f>
        <v>48.160000000000004</v>
      </c>
      <c r="W195" s="420">
        <f t="shared" ref="W195" si="941">V198</f>
        <v>103.03999999999999</v>
      </c>
      <c r="X195" s="420">
        <f t="shared" ref="X195" si="942">W198</f>
        <v>155.67999999999998</v>
      </c>
      <c r="Y195" s="420">
        <f t="shared" ref="Y195" si="943">X198</f>
        <v>230.72000000000006</v>
      </c>
      <c r="Z195" s="420">
        <f t="shared" ref="Z195" si="944">Y198</f>
        <v>294.56000000000006</v>
      </c>
      <c r="AA195" s="420">
        <f t="shared" ref="AA195" si="945">Z198</f>
        <v>314.72000000000003</v>
      </c>
      <c r="AB195" s="420">
        <f t="shared" ref="AB195" si="946">AA198</f>
        <v>334.88</v>
      </c>
      <c r="AC195" s="420">
        <f t="shared" ref="AC195" si="947">AB198</f>
        <v>350.56</v>
      </c>
      <c r="AD195" s="420">
        <f t="shared" ref="AD195" si="948">AC198</f>
        <v>368.48</v>
      </c>
      <c r="AE195" s="420">
        <f t="shared" ref="AE195" si="949">AD198</f>
        <v>386.4</v>
      </c>
      <c r="AF195" s="434">
        <f t="shared" ref="AF195" si="950">AE198</f>
        <v>399.84</v>
      </c>
      <c r="AG195" s="823">
        <f t="shared" ref="AG195" si="951">AF198</f>
        <v>417.76</v>
      </c>
      <c r="AH195" s="420">
        <f t="shared" ref="AH195" si="952">AG198</f>
        <v>413.28</v>
      </c>
      <c r="AI195" s="420">
        <f t="shared" ref="AI195" si="953">AH198</f>
        <v>441.28</v>
      </c>
      <c r="AJ195" s="420">
        <f t="shared" ref="AJ195" si="954">AI198</f>
        <v>469.28</v>
      </c>
      <c r="AK195" s="420">
        <f t="shared" ref="AK195" si="955">AJ198</f>
        <v>496.15999999999997</v>
      </c>
      <c r="AL195" s="420">
        <f t="shared" ref="AL195" si="956">AK198</f>
        <v>518.55999999999995</v>
      </c>
      <c r="AM195" s="420">
        <f t="shared" ref="AM195" si="957">AL198</f>
        <v>540.96</v>
      </c>
      <c r="AN195" s="420">
        <f t="shared" ref="AN195" si="958">AM198</f>
        <v>563.36</v>
      </c>
      <c r="AO195" s="420">
        <f t="shared" ref="AO195" si="959">AN198</f>
        <v>586.88</v>
      </c>
      <c r="AP195" s="420">
        <f t="shared" ref="AP195" si="960">AO198</f>
        <v>598.08000000000004</v>
      </c>
      <c r="AQ195" s="420">
        <f t="shared" ref="AQ195" si="961">AP198</f>
        <v>609.28</v>
      </c>
      <c r="AR195" s="434">
        <f t="shared" ref="AR195" si="962">AQ198</f>
        <v>620.48</v>
      </c>
    </row>
    <row r="196" spans="2:44">
      <c r="B196" s="548"/>
      <c r="F196" s="549"/>
      <c r="G196" s="419" t="s">
        <v>424</v>
      </c>
      <c r="H196" s="416"/>
      <c r="I196" s="418">
        <f>-'Sales Forecast'!E99</f>
        <v>-11</v>
      </c>
      <c r="J196" s="418">
        <f>-'Sales Forecast'!F99</f>
        <v>-12</v>
      </c>
      <c r="K196" s="418">
        <f>-'Sales Forecast'!G99</f>
        <v>-14</v>
      </c>
      <c r="L196" s="418">
        <f>-'Sales Forecast'!H99</f>
        <v>-12</v>
      </c>
      <c r="M196" s="418">
        <f>-'Sales Forecast'!I99</f>
        <v>-16</v>
      </c>
      <c r="N196" s="418">
        <f>-'Sales Forecast'!J99</f>
        <v>-20</v>
      </c>
      <c r="O196" s="418">
        <f>-'Sales Forecast'!K99</f>
        <v>-22</v>
      </c>
      <c r="P196" s="418">
        <f>-'Sales Forecast'!L99</f>
        <v>-27</v>
      </c>
      <c r="Q196" s="418">
        <f>-'Sales Forecast'!M99</f>
        <v>-29</v>
      </c>
      <c r="R196" s="418">
        <f>-'Sales Forecast'!N99</f>
        <v>-30</v>
      </c>
      <c r="S196" s="418">
        <f>-'Sales Forecast'!O99</f>
        <v>-36</v>
      </c>
      <c r="T196" s="418">
        <f>-'Sales Forecast'!P99</f>
        <v>-43</v>
      </c>
      <c r="U196" s="825">
        <f>-'Sales Forecast'!Q99</f>
        <v>-92</v>
      </c>
      <c r="V196" s="817">
        <f>-'Sales Forecast'!R99</f>
        <v>-139</v>
      </c>
      <c r="W196" s="817">
        <f>-'Sales Forecast'!S99</f>
        <v>-206</v>
      </c>
      <c r="X196" s="817">
        <f>-'Sales Forecast'!T99</f>
        <v>-263</v>
      </c>
      <c r="Y196" s="817">
        <f>-'Sales Forecast'!U99</f>
        <v>-281</v>
      </c>
      <c r="Z196" s="817">
        <f>-'Sales Forecast'!V99</f>
        <v>-299</v>
      </c>
      <c r="AA196" s="817">
        <f>-'Sales Forecast'!W99</f>
        <v>-313</v>
      </c>
      <c r="AB196" s="817">
        <f>-'Sales Forecast'!X99</f>
        <v>-329</v>
      </c>
      <c r="AC196" s="817">
        <f>-'Sales Forecast'!Y99</f>
        <v>-345</v>
      </c>
      <c r="AD196" s="817">
        <f>-'Sales Forecast'!Z99</f>
        <v>-357</v>
      </c>
      <c r="AE196" s="817">
        <f>-'Sales Forecast'!AA99</f>
        <v>-373</v>
      </c>
      <c r="AF196" s="437">
        <f>-'Sales Forecast'!AB99</f>
        <v>-369</v>
      </c>
      <c r="AG196" s="825">
        <f>-'Sales Forecast'!AC99</f>
        <v>-394</v>
      </c>
      <c r="AH196" s="817">
        <f>-'Sales Forecast'!AD99</f>
        <v>-419</v>
      </c>
      <c r="AI196" s="817">
        <f>-'Sales Forecast'!AE99</f>
        <v>-443</v>
      </c>
      <c r="AJ196" s="817">
        <f>-'Sales Forecast'!AF99</f>
        <v>-463</v>
      </c>
      <c r="AK196" s="817">
        <f>-'Sales Forecast'!AG99</f>
        <v>-483</v>
      </c>
      <c r="AL196" s="817">
        <f>-'Sales Forecast'!AH99</f>
        <v>-503</v>
      </c>
      <c r="AM196" s="817">
        <f>-'Sales Forecast'!AI99</f>
        <v>-524</v>
      </c>
      <c r="AN196" s="817">
        <f>-'Sales Forecast'!AJ99</f>
        <v>-534</v>
      </c>
      <c r="AO196" s="817">
        <f>-'Sales Forecast'!AK99</f>
        <v>-544</v>
      </c>
      <c r="AP196" s="817">
        <f>-'Sales Forecast'!AL99</f>
        <v>-554</v>
      </c>
      <c r="AQ196" s="817">
        <f>-'Sales Forecast'!AM99</f>
        <v>-564</v>
      </c>
      <c r="AR196" s="437">
        <f>-'Sales Forecast'!AN99</f>
        <v>-589</v>
      </c>
    </row>
    <row r="197" spans="2:44">
      <c r="B197" s="548"/>
      <c r="F197" s="549"/>
      <c r="G197" s="419" t="s">
        <v>425</v>
      </c>
      <c r="H197" s="416"/>
      <c r="I197" s="421">
        <v>0</v>
      </c>
      <c r="J197" s="422">
        <f>I205</f>
        <v>15.32</v>
      </c>
      <c r="K197" s="422">
        <f t="shared" ref="K197" si="963">J205</f>
        <v>15.12</v>
      </c>
      <c r="L197" s="422">
        <f t="shared" ref="L197" si="964">K205</f>
        <v>14.24</v>
      </c>
      <c r="M197" s="422">
        <f t="shared" ref="M197" si="965">L205</f>
        <v>13.76</v>
      </c>
      <c r="N197" s="422">
        <f t="shared" ref="N197" si="966">M205</f>
        <v>24.480000000000004</v>
      </c>
      <c r="O197" s="422">
        <f t="shared" ref="O197" si="967">N205</f>
        <v>26.479999999999997</v>
      </c>
      <c r="P197" s="422">
        <f t="shared" ref="P197" si="968">O205</f>
        <v>29.240000000000002</v>
      </c>
      <c r="Q197" s="422">
        <f t="shared" ref="Q197" si="969">P205</f>
        <v>34.6</v>
      </c>
      <c r="R197" s="422">
        <f t="shared" ref="R197" si="970">Q205</f>
        <v>32.239999999999995</v>
      </c>
      <c r="S197" s="422">
        <f t="shared" ref="S197" si="971">R205</f>
        <v>37.120000000000005</v>
      </c>
      <c r="T197" s="422">
        <f t="shared" ref="T197" si="972">S205</f>
        <v>49.72</v>
      </c>
      <c r="U197" s="824">
        <f t="shared" ref="U197" si="973">T205</f>
        <v>99.84</v>
      </c>
      <c r="V197" s="422">
        <f t="shared" ref="V197" si="974">U205</f>
        <v>193.88</v>
      </c>
      <c r="W197" s="422">
        <f t="shared" ref="W197" si="975">V205</f>
        <v>258.64</v>
      </c>
      <c r="X197" s="422">
        <f t="shared" ref="X197" si="976">W205</f>
        <v>338.04000000000008</v>
      </c>
      <c r="Y197" s="422">
        <f t="shared" ref="Y197" si="977">X205</f>
        <v>344.84</v>
      </c>
      <c r="Z197" s="422">
        <f t="shared" ref="Z197" si="978">Y205</f>
        <v>319.15999999999997</v>
      </c>
      <c r="AA197" s="422">
        <f t="shared" ref="AA197" si="979">Z205</f>
        <v>333.15999999999997</v>
      </c>
      <c r="AB197" s="422">
        <f t="shared" ref="AB197" si="980">AA205</f>
        <v>344.68</v>
      </c>
      <c r="AC197" s="422">
        <f t="shared" ref="AC197" si="981">AB205</f>
        <v>362.92</v>
      </c>
      <c r="AD197" s="422">
        <f t="shared" ref="AD197" si="982">AC205</f>
        <v>374.91999999999996</v>
      </c>
      <c r="AE197" s="422">
        <f t="shared" ref="AE197" si="983">AD205</f>
        <v>386.44</v>
      </c>
      <c r="AF197" s="435">
        <f t="shared" ref="AF197" si="984">AE205</f>
        <v>386.92</v>
      </c>
      <c r="AG197" s="824">
        <f t="shared" ref="AG197" si="985">AF205</f>
        <v>389.52</v>
      </c>
      <c r="AH197" s="422">
        <f t="shared" ref="AH197" si="986">AG205</f>
        <v>447</v>
      </c>
      <c r="AI197" s="422">
        <f t="shared" ref="AI197" si="987">AH205</f>
        <v>471</v>
      </c>
      <c r="AJ197" s="422">
        <f t="shared" ref="AJ197" si="988">AI205</f>
        <v>489.88</v>
      </c>
      <c r="AK197" s="422">
        <f t="shared" ref="AK197" si="989">AJ205</f>
        <v>505.40000000000003</v>
      </c>
      <c r="AL197" s="422">
        <f t="shared" ref="AL197" si="990">AK205</f>
        <v>525.40000000000009</v>
      </c>
      <c r="AM197" s="422">
        <f t="shared" ref="AM197" si="991">AL205</f>
        <v>546.4</v>
      </c>
      <c r="AN197" s="422">
        <f t="shared" ref="AN197" si="992">AM205</f>
        <v>557.52</v>
      </c>
      <c r="AO197" s="422">
        <f t="shared" ref="AO197" si="993">AN205</f>
        <v>555.20000000000005</v>
      </c>
      <c r="AP197" s="422">
        <f t="shared" ref="AP197" si="994">AO205</f>
        <v>565.19999999999993</v>
      </c>
      <c r="AQ197" s="422">
        <f t="shared" ref="AQ197" si="995">AP205</f>
        <v>575.20000000000005</v>
      </c>
      <c r="AR197" s="435">
        <f t="shared" ref="AR197" si="996">AQ205</f>
        <v>600.19999999999993</v>
      </c>
    </row>
    <row r="198" spans="2:44">
      <c r="B198" s="548"/>
      <c r="F198" s="549"/>
      <c r="G198" s="417" t="s">
        <v>426</v>
      </c>
      <c r="H198" s="423"/>
      <c r="I198" s="424">
        <f>SUM(I195:I197)</f>
        <v>9</v>
      </c>
      <c r="J198" s="424">
        <f>SUM(J195:J197)</f>
        <v>12.32</v>
      </c>
      <c r="K198" s="424">
        <f t="shared" ref="K198:AR198" si="997">SUM(K195:K197)</f>
        <v>13.44</v>
      </c>
      <c r="L198" s="424">
        <f t="shared" si="997"/>
        <v>15.68</v>
      </c>
      <c r="M198" s="424">
        <f t="shared" si="997"/>
        <v>13.44</v>
      </c>
      <c r="N198" s="424">
        <f t="shared" si="997"/>
        <v>17.920000000000002</v>
      </c>
      <c r="O198" s="424">
        <f t="shared" si="997"/>
        <v>22.4</v>
      </c>
      <c r="P198" s="424">
        <f t="shared" si="997"/>
        <v>24.64</v>
      </c>
      <c r="Q198" s="424">
        <f t="shared" si="997"/>
        <v>30.240000000000002</v>
      </c>
      <c r="R198" s="424">
        <f t="shared" si="997"/>
        <v>32.479999999999997</v>
      </c>
      <c r="S198" s="424">
        <f t="shared" si="997"/>
        <v>33.6</v>
      </c>
      <c r="T198" s="816">
        <f t="shared" si="997"/>
        <v>40.32</v>
      </c>
      <c r="U198" s="820">
        <f t="shared" si="997"/>
        <v>48.160000000000004</v>
      </c>
      <c r="V198" s="816">
        <f t="shared" si="997"/>
        <v>103.03999999999999</v>
      </c>
      <c r="W198" s="816">
        <f t="shared" si="997"/>
        <v>155.67999999999998</v>
      </c>
      <c r="X198" s="816">
        <f t="shared" si="997"/>
        <v>230.72000000000006</v>
      </c>
      <c r="Y198" s="816">
        <f t="shared" si="997"/>
        <v>294.56000000000006</v>
      </c>
      <c r="Z198" s="816">
        <f t="shared" si="997"/>
        <v>314.72000000000003</v>
      </c>
      <c r="AA198" s="816">
        <f t="shared" si="997"/>
        <v>334.88</v>
      </c>
      <c r="AB198" s="816">
        <f t="shared" si="997"/>
        <v>350.56</v>
      </c>
      <c r="AC198" s="816">
        <f t="shared" si="997"/>
        <v>368.48</v>
      </c>
      <c r="AD198" s="816">
        <f t="shared" si="997"/>
        <v>386.4</v>
      </c>
      <c r="AE198" s="816">
        <f t="shared" si="997"/>
        <v>399.84</v>
      </c>
      <c r="AF198" s="436">
        <f t="shared" si="997"/>
        <v>417.76</v>
      </c>
      <c r="AG198" s="820">
        <f t="shared" si="997"/>
        <v>413.28</v>
      </c>
      <c r="AH198" s="816">
        <f t="shared" si="997"/>
        <v>441.28</v>
      </c>
      <c r="AI198" s="816">
        <f t="shared" si="997"/>
        <v>469.28</v>
      </c>
      <c r="AJ198" s="816">
        <f t="shared" si="997"/>
        <v>496.15999999999997</v>
      </c>
      <c r="AK198" s="816">
        <f t="shared" si="997"/>
        <v>518.55999999999995</v>
      </c>
      <c r="AL198" s="816">
        <f t="shared" si="997"/>
        <v>540.96</v>
      </c>
      <c r="AM198" s="816">
        <f t="shared" si="997"/>
        <v>563.36</v>
      </c>
      <c r="AN198" s="816">
        <f t="shared" si="997"/>
        <v>586.88</v>
      </c>
      <c r="AO198" s="816">
        <f t="shared" si="997"/>
        <v>598.08000000000004</v>
      </c>
      <c r="AP198" s="816">
        <f t="shared" si="997"/>
        <v>609.28</v>
      </c>
      <c r="AQ198" s="816">
        <f t="shared" si="997"/>
        <v>620.48</v>
      </c>
      <c r="AR198" s="436">
        <f t="shared" si="997"/>
        <v>631.67999999999995</v>
      </c>
    </row>
    <row r="199" spans="2:44">
      <c r="B199" s="548"/>
      <c r="F199" s="549"/>
      <c r="G199" s="417"/>
      <c r="H199" s="423"/>
      <c r="I199" s="424"/>
      <c r="J199" s="424"/>
      <c r="K199" s="424"/>
      <c r="L199" s="424"/>
      <c r="M199" s="424"/>
      <c r="N199" s="424"/>
      <c r="O199" s="424"/>
      <c r="P199" s="424"/>
      <c r="Q199" s="424"/>
      <c r="R199" s="424"/>
      <c r="S199" s="424"/>
      <c r="T199" s="816"/>
      <c r="U199" s="820"/>
      <c r="V199" s="816"/>
      <c r="W199" s="816"/>
      <c r="X199" s="816"/>
      <c r="Y199" s="816"/>
      <c r="Z199" s="816"/>
      <c r="AA199" s="816"/>
      <c r="AB199" s="816"/>
      <c r="AC199" s="816"/>
      <c r="AD199" s="816"/>
      <c r="AE199" s="816"/>
      <c r="AF199" s="436"/>
      <c r="AG199" s="820"/>
      <c r="AH199" s="816"/>
      <c r="AI199" s="816"/>
      <c r="AJ199" s="816"/>
      <c r="AK199" s="816"/>
      <c r="AL199" s="816"/>
      <c r="AM199" s="816"/>
      <c r="AN199" s="816"/>
      <c r="AO199" s="816"/>
      <c r="AP199" s="816"/>
      <c r="AQ199" s="816"/>
      <c r="AR199" s="436"/>
    </row>
    <row r="200" spans="2:44">
      <c r="B200" s="548"/>
      <c r="F200" s="549"/>
      <c r="G200" s="417" t="s">
        <v>438</v>
      </c>
      <c r="H200" s="416"/>
      <c r="I200" s="418"/>
      <c r="J200" s="416"/>
      <c r="K200" s="416"/>
      <c r="L200" s="416"/>
      <c r="M200" s="416"/>
      <c r="N200" s="416"/>
      <c r="O200" s="416"/>
      <c r="P200" s="416"/>
      <c r="Q200" s="416"/>
      <c r="R200" s="416"/>
      <c r="S200" s="416"/>
      <c r="T200" s="416"/>
      <c r="U200" s="822"/>
      <c r="V200" s="416"/>
      <c r="W200" s="416"/>
      <c r="X200" s="416"/>
      <c r="Y200" s="416"/>
      <c r="Z200" s="416"/>
      <c r="AA200" s="416"/>
      <c r="AB200" s="416"/>
      <c r="AC200" s="416"/>
      <c r="AD200" s="416"/>
      <c r="AE200" s="416"/>
      <c r="AF200" s="433"/>
      <c r="AG200" s="822"/>
      <c r="AH200" s="416"/>
      <c r="AI200" s="416"/>
      <c r="AJ200" s="416"/>
      <c r="AK200" s="416"/>
      <c r="AL200" s="416"/>
      <c r="AM200" s="416"/>
      <c r="AN200" s="416"/>
      <c r="AO200" s="416"/>
      <c r="AP200" s="416"/>
      <c r="AQ200" s="416"/>
      <c r="AR200" s="433"/>
    </row>
    <row r="201" spans="2:44">
      <c r="B201" s="548"/>
      <c r="F201" s="549"/>
      <c r="G201" s="419" t="s">
        <v>427</v>
      </c>
      <c r="H201" s="416"/>
      <c r="I201" s="418">
        <f>-(I196+J196)</f>
        <v>23</v>
      </c>
      <c r="J201" s="418">
        <f t="shared" ref="J201" si="998">-(J196+K196)</f>
        <v>26</v>
      </c>
      <c r="K201" s="418">
        <f t="shared" ref="K201" si="999">-(K196+L196)</f>
        <v>26</v>
      </c>
      <c r="L201" s="418">
        <f t="shared" ref="L201" si="1000">-(L196+M196)</f>
        <v>28</v>
      </c>
      <c r="M201" s="418">
        <f t="shared" ref="M201" si="1001">-(M196+N196)</f>
        <v>36</v>
      </c>
      <c r="N201" s="418">
        <f t="shared" ref="N201" si="1002">-(N196+O196)</f>
        <v>42</v>
      </c>
      <c r="O201" s="418">
        <f t="shared" ref="O201" si="1003">-(O196+P196)</f>
        <v>49</v>
      </c>
      <c r="P201" s="418">
        <f t="shared" ref="P201" si="1004">-(P196+Q196)</f>
        <v>56</v>
      </c>
      <c r="Q201" s="418">
        <f t="shared" ref="Q201" si="1005">-(Q196+R196)</f>
        <v>59</v>
      </c>
      <c r="R201" s="418">
        <f t="shared" ref="R201" si="1006">-(R196+S196)</f>
        <v>66</v>
      </c>
      <c r="S201" s="418">
        <f t="shared" ref="S201" si="1007">-(S196+T196)</f>
        <v>79</v>
      </c>
      <c r="T201" s="817">
        <f t="shared" ref="T201" si="1008">-(T196+U196)</f>
        <v>135</v>
      </c>
      <c r="U201" s="825">
        <f t="shared" ref="U201" si="1009">-(U196+V196)</f>
        <v>231</v>
      </c>
      <c r="V201" s="817">
        <f t="shared" ref="V201" si="1010">-(V196+W196)</f>
        <v>345</v>
      </c>
      <c r="W201" s="817">
        <f t="shared" ref="W201" si="1011">-(W196+X196)</f>
        <v>469</v>
      </c>
      <c r="X201" s="817">
        <f t="shared" ref="X201" si="1012">-(X196+Y196)</f>
        <v>544</v>
      </c>
      <c r="Y201" s="817">
        <f t="shared" ref="Y201" si="1013">-(Y196+Z196)</f>
        <v>580</v>
      </c>
      <c r="Z201" s="817">
        <f t="shared" ref="Z201" si="1014">-(Z196+AA196)</f>
        <v>612</v>
      </c>
      <c r="AA201" s="817">
        <f t="shared" ref="AA201" si="1015">-(AA196+AB196)</f>
        <v>642</v>
      </c>
      <c r="AB201" s="817">
        <f t="shared" ref="AB201" si="1016">-(AB196+AC196)</f>
        <v>674</v>
      </c>
      <c r="AC201" s="817">
        <f t="shared" ref="AC201" si="1017">-(AC196+AD196)</f>
        <v>702</v>
      </c>
      <c r="AD201" s="817">
        <f t="shared" ref="AD201" si="1018">-(AD196+AE196)</f>
        <v>730</v>
      </c>
      <c r="AE201" s="817">
        <f t="shared" ref="AE201" si="1019">-(AE196+AF196)</f>
        <v>742</v>
      </c>
      <c r="AF201" s="437">
        <f t="shared" ref="AF201" si="1020">-(AF196+AG196)</f>
        <v>763</v>
      </c>
      <c r="AG201" s="825">
        <f t="shared" ref="AG201" si="1021">-(AG196+AH196)</f>
        <v>813</v>
      </c>
      <c r="AH201" s="817">
        <f t="shared" ref="AH201" si="1022">-(AH196+AI196)</f>
        <v>862</v>
      </c>
      <c r="AI201" s="817">
        <f t="shared" ref="AI201" si="1023">-(AI196+AJ196)</f>
        <v>906</v>
      </c>
      <c r="AJ201" s="817">
        <f t="shared" ref="AJ201" si="1024">-(AJ196+AK196)</f>
        <v>946</v>
      </c>
      <c r="AK201" s="817">
        <f t="shared" ref="AK201" si="1025">-(AK196+AL196)</f>
        <v>986</v>
      </c>
      <c r="AL201" s="817">
        <f t="shared" ref="AL201" si="1026">-(AL196+AM196)</f>
        <v>1027</v>
      </c>
      <c r="AM201" s="817">
        <f t="shared" ref="AM201" si="1027">-(AM196+AN196)</f>
        <v>1058</v>
      </c>
      <c r="AN201" s="817">
        <f t="shared" ref="AN201" si="1028">-(AN196+AO196)</f>
        <v>1078</v>
      </c>
      <c r="AO201" s="817">
        <f t="shared" ref="AO201" si="1029">-(AO196+AP196)</f>
        <v>1098</v>
      </c>
      <c r="AP201" s="817">
        <f t="shared" ref="AP201" si="1030">-(AP196+AQ196)</f>
        <v>1118</v>
      </c>
      <c r="AQ201" s="817">
        <f t="shared" ref="AQ201" si="1031">-(AQ196+AR196)</f>
        <v>1153</v>
      </c>
      <c r="AR201" s="437">
        <f>-(AR196+AS196)</f>
        <v>589</v>
      </c>
    </row>
    <row r="202" spans="2:44">
      <c r="B202" s="548"/>
      <c r="F202" s="549"/>
      <c r="G202" s="419" t="s">
        <v>428</v>
      </c>
      <c r="H202" s="416"/>
      <c r="I202" s="418">
        <f>I198</f>
        <v>9</v>
      </c>
      <c r="J202" s="418">
        <f t="shared" ref="J202:AB202" si="1032">J198</f>
        <v>12.32</v>
      </c>
      <c r="K202" s="418">
        <f t="shared" si="1032"/>
        <v>13.44</v>
      </c>
      <c r="L202" s="418">
        <f t="shared" si="1032"/>
        <v>15.68</v>
      </c>
      <c r="M202" s="418">
        <f t="shared" si="1032"/>
        <v>13.44</v>
      </c>
      <c r="N202" s="418">
        <f t="shared" si="1032"/>
        <v>17.920000000000002</v>
      </c>
      <c r="O202" s="418">
        <f t="shared" si="1032"/>
        <v>22.4</v>
      </c>
      <c r="P202" s="418">
        <f t="shared" si="1032"/>
        <v>24.64</v>
      </c>
      <c r="Q202" s="418">
        <f t="shared" si="1032"/>
        <v>30.240000000000002</v>
      </c>
      <c r="R202" s="418">
        <f t="shared" si="1032"/>
        <v>32.479999999999997</v>
      </c>
      <c r="S202" s="418">
        <f t="shared" si="1032"/>
        <v>33.6</v>
      </c>
      <c r="T202" s="817">
        <f t="shared" si="1032"/>
        <v>40.32</v>
      </c>
      <c r="U202" s="825">
        <f t="shared" si="1032"/>
        <v>48.160000000000004</v>
      </c>
      <c r="V202" s="817">
        <f t="shared" si="1032"/>
        <v>103.03999999999999</v>
      </c>
      <c r="W202" s="817">
        <f t="shared" si="1032"/>
        <v>155.67999999999998</v>
      </c>
      <c r="X202" s="817">
        <f t="shared" si="1032"/>
        <v>230.72000000000006</v>
      </c>
      <c r="Y202" s="817">
        <f t="shared" si="1032"/>
        <v>294.56000000000006</v>
      </c>
      <c r="Z202" s="817">
        <f t="shared" si="1032"/>
        <v>314.72000000000003</v>
      </c>
      <c r="AA202" s="817">
        <f t="shared" si="1032"/>
        <v>334.88</v>
      </c>
      <c r="AB202" s="817">
        <f t="shared" si="1032"/>
        <v>350.56</v>
      </c>
      <c r="AC202" s="817">
        <f>AC198</f>
        <v>368.48</v>
      </c>
      <c r="AD202" s="817">
        <f t="shared" ref="AD202:AR202" si="1033">AD198</f>
        <v>386.4</v>
      </c>
      <c r="AE202" s="817">
        <f t="shared" si="1033"/>
        <v>399.84</v>
      </c>
      <c r="AF202" s="437">
        <f t="shared" si="1033"/>
        <v>417.76</v>
      </c>
      <c r="AG202" s="825">
        <f t="shared" si="1033"/>
        <v>413.28</v>
      </c>
      <c r="AH202" s="817">
        <f t="shared" si="1033"/>
        <v>441.28</v>
      </c>
      <c r="AI202" s="817">
        <f t="shared" si="1033"/>
        <v>469.28</v>
      </c>
      <c r="AJ202" s="817">
        <f t="shared" si="1033"/>
        <v>496.15999999999997</v>
      </c>
      <c r="AK202" s="817">
        <f t="shared" si="1033"/>
        <v>518.55999999999995</v>
      </c>
      <c r="AL202" s="817">
        <f t="shared" si="1033"/>
        <v>540.96</v>
      </c>
      <c r="AM202" s="817">
        <f t="shared" si="1033"/>
        <v>563.36</v>
      </c>
      <c r="AN202" s="817">
        <f t="shared" si="1033"/>
        <v>586.88</v>
      </c>
      <c r="AO202" s="817">
        <f t="shared" si="1033"/>
        <v>598.08000000000004</v>
      </c>
      <c r="AP202" s="817">
        <f t="shared" si="1033"/>
        <v>609.28</v>
      </c>
      <c r="AQ202" s="817">
        <f t="shared" si="1033"/>
        <v>620.48</v>
      </c>
      <c r="AR202" s="437">
        <f t="shared" si="1033"/>
        <v>631.67999999999995</v>
      </c>
    </row>
    <row r="203" spans="2:44">
      <c r="B203" s="548"/>
      <c r="F203" s="549"/>
      <c r="G203" s="419" t="s">
        <v>429</v>
      </c>
      <c r="H203" s="416"/>
      <c r="I203" s="418">
        <f>-I201+I202</f>
        <v>-14</v>
      </c>
      <c r="J203" s="418">
        <f t="shared" ref="J203:AR203" si="1034">-J201+J202</f>
        <v>-13.68</v>
      </c>
      <c r="K203" s="418">
        <f t="shared" si="1034"/>
        <v>-12.56</v>
      </c>
      <c r="L203" s="418">
        <f t="shared" si="1034"/>
        <v>-12.32</v>
      </c>
      <c r="M203" s="418">
        <f t="shared" si="1034"/>
        <v>-22.560000000000002</v>
      </c>
      <c r="N203" s="418">
        <f t="shared" si="1034"/>
        <v>-24.08</v>
      </c>
      <c r="O203" s="418">
        <f t="shared" si="1034"/>
        <v>-26.6</v>
      </c>
      <c r="P203" s="418">
        <f t="shared" si="1034"/>
        <v>-31.36</v>
      </c>
      <c r="Q203" s="418">
        <f t="shared" si="1034"/>
        <v>-28.759999999999998</v>
      </c>
      <c r="R203" s="418">
        <f t="shared" si="1034"/>
        <v>-33.520000000000003</v>
      </c>
      <c r="S203" s="418">
        <f t="shared" si="1034"/>
        <v>-45.4</v>
      </c>
      <c r="T203" s="817">
        <f t="shared" si="1034"/>
        <v>-94.68</v>
      </c>
      <c r="U203" s="825">
        <f t="shared" si="1034"/>
        <v>-182.84</v>
      </c>
      <c r="V203" s="817">
        <f t="shared" si="1034"/>
        <v>-241.96</v>
      </c>
      <c r="W203" s="817">
        <f t="shared" si="1034"/>
        <v>-313.32000000000005</v>
      </c>
      <c r="X203" s="817">
        <f t="shared" si="1034"/>
        <v>-313.27999999999997</v>
      </c>
      <c r="Y203" s="817">
        <f t="shared" si="1034"/>
        <v>-285.43999999999994</v>
      </c>
      <c r="Z203" s="817">
        <f t="shared" si="1034"/>
        <v>-297.27999999999997</v>
      </c>
      <c r="AA203" s="817">
        <f t="shared" si="1034"/>
        <v>-307.12</v>
      </c>
      <c r="AB203" s="817">
        <f t="shared" si="1034"/>
        <v>-323.44</v>
      </c>
      <c r="AC203" s="817">
        <f t="shared" si="1034"/>
        <v>-333.52</v>
      </c>
      <c r="AD203" s="817">
        <f t="shared" si="1034"/>
        <v>-343.6</v>
      </c>
      <c r="AE203" s="817">
        <f t="shared" si="1034"/>
        <v>-342.16</v>
      </c>
      <c r="AF203" s="437">
        <f t="shared" si="1034"/>
        <v>-345.24</v>
      </c>
      <c r="AG203" s="825">
        <f t="shared" si="1034"/>
        <v>-399.72</v>
      </c>
      <c r="AH203" s="817">
        <f t="shared" si="1034"/>
        <v>-420.72</v>
      </c>
      <c r="AI203" s="817">
        <f t="shared" si="1034"/>
        <v>-436.72</v>
      </c>
      <c r="AJ203" s="817">
        <f t="shared" si="1034"/>
        <v>-449.84000000000003</v>
      </c>
      <c r="AK203" s="817">
        <f t="shared" si="1034"/>
        <v>-467.44000000000005</v>
      </c>
      <c r="AL203" s="817">
        <f t="shared" si="1034"/>
        <v>-486.03999999999996</v>
      </c>
      <c r="AM203" s="817">
        <f t="shared" si="1034"/>
        <v>-494.64</v>
      </c>
      <c r="AN203" s="817">
        <f t="shared" si="1034"/>
        <v>-491.12</v>
      </c>
      <c r="AO203" s="817">
        <f t="shared" si="1034"/>
        <v>-499.91999999999996</v>
      </c>
      <c r="AP203" s="817">
        <f t="shared" si="1034"/>
        <v>-508.72</v>
      </c>
      <c r="AQ203" s="817">
        <f t="shared" si="1034"/>
        <v>-532.52</v>
      </c>
      <c r="AR203" s="437">
        <f t="shared" si="1034"/>
        <v>42.67999999999995</v>
      </c>
    </row>
    <row r="204" spans="2:44">
      <c r="B204" s="548"/>
      <c r="F204" s="549"/>
      <c r="G204" s="419" t="s">
        <v>434</v>
      </c>
      <c r="H204" s="416"/>
      <c r="I204" s="418">
        <f>-$H$192*I196</f>
        <v>1.3199999999999998</v>
      </c>
      <c r="J204" s="418">
        <f t="shared" ref="J204:AR204" si="1035">-$H$192*J196</f>
        <v>1.44</v>
      </c>
      <c r="K204" s="418">
        <f t="shared" si="1035"/>
        <v>1.68</v>
      </c>
      <c r="L204" s="418">
        <f t="shared" si="1035"/>
        <v>1.44</v>
      </c>
      <c r="M204" s="418">
        <f t="shared" si="1035"/>
        <v>1.92</v>
      </c>
      <c r="N204" s="418">
        <f t="shared" si="1035"/>
        <v>2.4</v>
      </c>
      <c r="O204" s="418">
        <f t="shared" si="1035"/>
        <v>2.6399999999999997</v>
      </c>
      <c r="P204" s="418">
        <f t="shared" si="1035"/>
        <v>3.2399999999999998</v>
      </c>
      <c r="Q204" s="418">
        <f t="shared" si="1035"/>
        <v>3.48</v>
      </c>
      <c r="R204" s="418">
        <f t="shared" si="1035"/>
        <v>3.5999999999999996</v>
      </c>
      <c r="S204" s="418">
        <f t="shared" si="1035"/>
        <v>4.32</v>
      </c>
      <c r="T204" s="418">
        <f t="shared" si="1035"/>
        <v>5.16</v>
      </c>
      <c r="U204" s="825">
        <f t="shared" si="1035"/>
        <v>11.04</v>
      </c>
      <c r="V204" s="817">
        <f t="shared" si="1035"/>
        <v>16.68</v>
      </c>
      <c r="W204" s="817">
        <f t="shared" si="1035"/>
        <v>24.72</v>
      </c>
      <c r="X204" s="817">
        <f t="shared" si="1035"/>
        <v>31.56</v>
      </c>
      <c r="Y204" s="817">
        <f t="shared" si="1035"/>
        <v>33.72</v>
      </c>
      <c r="Z204" s="817">
        <f t="shared" si="1035"/>
        <v>35.879999999999995</v>
      </c>
      <c r="AA204" s="817">
        <f t="shared" si="1035"/>
        <v>37.559999999999995</v>
      </c>
      <c r="AB204" s="817">
        <f t="shared" si="1035"/>
        <v>39.479999999999997</v>
      </c>
      <c r="AC204" s="817">
        <f t="shared" si="1035"/>
        <v>41.4</v>
      </c>
      <c r="AD204" s="817">
        <f t="shared" si="1035"/>
        <v>42.839999999999996</v>
      </c>
      <c r="AE204" s="817">
        <f t="shared" si="1035"/>
        <v>44.76</v>
      </c>
      <c r="AF204" s="437">
        <f t="shared" si="1035"/>
        <v>44.28</v>
      </c>
      <c r="AG204" s="825">
        <f t="shared" si="1035"/>
        <v>47.28</v>
      </c>
      <c r="AH204" s="817">
        <f t="shared" si="1035"/>
        <v>50.28</v>
      </c>
      <c r="AI204" s="817">
        <f t="shared" si="1035"/>
        <v>53.16</v>
      </c>
      <c r="AJ204" s="817">
        <f t="shared" si="1035"/>
        <v>55.559999999999995</v>
      </c>
      <c r="AK204" s="817">
        <f t="shared" si="1035"/>
        <v>57.96</v>
      </c>
      <c r="AL204" s="817">
        <f t="shared" si="1035"/>
        <v>60.36</v>
      </c>
      <c r="AM204" s="817">
        <f t="shared" si="1035"/>
        <v>62.879999999999995</v>
      </c>
      <c r="AN204" s="817">
        <f t="shared" si="1035"/>
        <v>64.08</v>
      </c>
      <c r="AO204" s="817">
        <f t="shared" si="1035"/>
        <v>65.28</v>
      </c>
      <c r="AP204" s="817">
        <f t="shared" si="1035"/>
        <v>66.48</v>
      </c>
      <c r="AQ204" s="817">
        <f t="shared" si="1035"/>
        <v>67.679999999999993</v>
      </c>
      <c r="AR204" s="437">
        <f t="shared" si="1035"/>
        <v>70.679999999999993</v>
      </c>
    </row>
    <row r="205" spans="2:44">
      <c r="B205" s="548"/>
      <c r="F205" s="549"/>
      <c r="G205" s="417" t="s">
        <v>431</v>
      </c>
      <c r="H205" s="423"/>
      <c r="I205" s="425">
        <f t="shared" ref="I205:AR205" si="1036">IF((I204-I203)&lt;=0,"-",(I204-I203))</f>
        <v>15.32</v>
      </c>
      <c r="J205" s="425">
        <f t="shared" si="1036"/>
        <v>15.12</v>
      </c>
      <c r="K205" s="425">
        <f t="shared" si="1036"/>
        <v>14.24</v>
      </c>
      <c r="L205" s="425">
        <f t="shared" si="1036"/>
        <v>13.76</v>
      </c>
      <c r="M205" s="425">
        <f t="shared" si="1036"/>
        <v>24.480000000000004</v>
      </c>
      <c r="N205" s="425">
        <f t="shared" si="1036"/>
        <v>26.479999999999997</v>
      </c>
      <c r="O205" s="425">
        <f t="shared" si="1036"/>
        <v>29.240000000000002</v>
      </c>
      <c r="P205" s="425">
        <f t="shared" si="1036"/>
        <v>34.6</v>
      </c>
      <c r="Q205" s="425">
        <f t="shared" si="1036"/>
        <v>32.239999999999995</v>
      </c>
      <c r="R205" s="425">
        <f t="shared" si="1036"/>
        <v>37.120000000000005</v>
      </c>
      <c r="S205" s="425">
        <f t="shared" si="1036"/>
        <v>49.72</v>
      </c>
      <c r="T205" s="818">
        <f t="shared" si="1036"/>
        <v>99.84</v>
      </c>
      <c r="U205" s="826">
        <f t="shared" si="1036"/>
        <v>193.88</v>
      </c>
      <c r="V205" s="818">
        <f t="shared" si="1036"/>
        <v>258.64</v>
      </c>
      <c r="W205" s="818">
        <f t="shared" si="1036"/>
        <v>338.04000000000008</v>
      </c>
      <c r="X205" s="818">
        <f t="shared" si="1036"/>
        <v>344.84</v>
      </c>
      <c r="Y205" s="818">
        <f t="shared" si="1036"/>
        <v>319.15999999999997</v>
      </c>
      <c r="Z205" s="818">
        <f t="shared" si="1036"/>
        <v>333.15999999999997</v>
      </c>
      <c r="AA205" s="818">
        <f t="shared" si="1036"/>
        <v>344.68</v>
      </c>
      <c r="AB205" s="818">
        <f t="shared" si="1036"/>
        <v>362.92</v>
      </c>
      <c r="AC205" s="818">
        <f t="shared" si="1036"/>
        <v>374.91999999999996</v>
      </c>
      <c r="AD205" s="818">
        <f t="shared" si="1036"/>
        <v>386.44</v>
      </c>
      <c r="AE205" s="818">
        <f t="shared" si="1036"/>
        <v>386.92</v>
      </c>
      <c r="AF205" s="438">
        <f t="shared" si="1036"/>
        <v>389.52</v>
      </c>
      <c r="AG205" s="826">
        <f t="shared" si="1036"/>
        <v>447</v>
      </c>
      <c r="AH205" s="818">
        <f t="shared" si="1036"/>
        <v>471</v>
      </c>
      <c r="AI205" s="818">
        <f t="shared" si="1036"/>
        <v>489.88</v>
      </c>
      <c r="AJ205" s="818">
        <f t="shared" si="1036"/>
        <v>505.40000000000003</v>
      </c>
      <c r="AK205" s="818">
        <f t="shared" si="1036"/>
        <v>525.40000000000009</v>
      </c>
      <c r="AL205" s="818">
        <f t="shared" si="1036"/>
        <v>546.4</v>
      </c>
      <c r="AM205" s="818">
        <f t="shared" si="1036"/>
        <v>557.52</v>
      </c>
      <c r="AN205" s="818">
        <f t="shared" si="1036"/>
        <v>555.20000000000005</v>
      </c>
      <c r="AO205" s="818">
        <f t="shared" si="1036"/>
        <v>565.19999999999993</v>
      </c>
      <c r="AP205" s="818">
        <f t="shared" si="1036"/>
        <v>575.20000000000005</v>
      </c>
      <c r="AQ205" s="818">
        <f t="shared" si="1036"/>
        <v>600.19999999999993</v>
      </c>
      <c r="AR205" s="438">
        <f t="shared" si="1036"/>
        <v>28.000000000000043</v>
      </c>
    </row>
    <row r="206" spans="2:44">
      <c r="B206" s="548"/>
      <c r="F206" s="549"/>
      <c r="G206" s="423"/>
      <c r="H206" s="427"/>
      <c r="I206" s="416"/>
      <c r="J206" s="416"/>
      <c r="K206" s="416"/>
      <c r="L206" s="416"/>
      <c r="M206" s="416"/>
      <c r="N206" s="416"/>
      <c r="O206" s="416"/>
      <c r="P206" s="416"/>
      <c r="Q206" s="416"/>
      <c r="R206" s="416"/>
      <c r="S206" s="416"/>
      <c r="T206" s="416"/>
      <c r="U206" s="822"/>
      <c r="V206" s="416"/>
      <c r="W206" s="416"/>
      <c r="X206" s="416"/>
      <c r="Y206" s="416"/>
      <c r="Z206" s="416"/>
      <c r="AA206" s="416"/>
      <c r="AB206" s="416"/>
      <c r="AC206" s="416"/>
      <c r="AD206" s="416"/>
      <c r="AE206" s="416"/>
      <c r="AF206" s="433"/>
      <c r="AG206" s="822"/>
      <c r="AH206" s="416"/>
      <c r="AI206" s="416"/>
      <c r="AJ206" s="416"/>
      <c r="AK206" s="416"/>
      <c r="AL206" s="416"/>
      <c r="AM206" s="416"/>
      <c r="AN206" s="416"/>
      <c r="AO206" s="416"/>
      <c r="AP206" s="416"/>
      <c r="AQ206" s="416"/>
      <c r="AR206" s="433"/>
    </row>
    <row r="207" spans="2:44">
      <c r="B207" s="548"/>
      <c r="F207" s="549"/>
      <c r="G207" s="449" t="s">
        <v>432</v>
      </c>
      <c r="H207" s="428"/>
      <c r="I207" s="428">
        <f>'Pricing Model'!$L$78*I198</f>
        <v>4050</v>
      </c>
      <c r="J207" s="428">
        <f>'Pricing Model'!$L$78*J198</f>
        <v>5544</v>
      </c>
      <c r="K207" s="428">
        <f>'Pricing Model'!$L$78*K198</f>
        <v>6048</v>
      </c>
      <c r="L207" s="428">
        <f>'Pricing Model'!$L$78*L198</f>
        <v>7056</v>
      </c>
      <c r="M207" s="428">
        <f>'Pricing Model'!$L$78*M198</f>
        <v>6048</v>
      </c>
      <c r="N207" s="428">
        <f>'Pricing Model'!$L$78*N198</f>
        <v>8064.0000000000009</v>
      </c>
      <c r="O207" s="428">
        <f>'Pricing Model'!$L$78*O198</f>
        <v>10080</v>
      </c>
      <c r="P207" s="428">
        <f>'Pricing Model'!$L$78*P198</f>
        <v>11088</v>
      </c>
      <c r="Q207" s="428">
        <f>'Pricing Model'!$L$78*Q198</f>
        <v>13608</v>
      </c>
      <c r="R207" s="428">
        <f>'Pricing Model'!$L$78*R198</f>
        <v>14615.999999999998</v>
      </c>
      <c r="S207" s="428">
        <f>'Pricing Model'!$L$78*S198</f>
        <v>15120</v>
      </c>
      <c r="T207" s="428">
        <f>'Pricing Model'!$L$78*T198</f>
        <v>18144</v>
      </c>
      <c r="U207" s="827">
        <f>'Pricing Model'!$L$78*U198</f>
        <v>21672</v>
      </c>
      <c r="V207" s="428">
        <f>'Pricing Model'!$L$78*V198</f>
        <v>46368</v>
      </c>
      <c r="W207" s="428">
        <f>'Pricing Model'!$L$78*W198</f>
        <v>70055.999999999985</v>
      </c>
      <c r="X207" s="428">
        <f>'Pricing Model'!$L$78*X198</f>
        <v>103824.00000000003</v>
      </c>
      <c r="Y207" s="428">
        <f>'Pricing Model'!$L$78*Y198</f>
        <v>132552.00000000003</v>
      </c>
      <c r="Z207" s="428">
        <f>'Pricing Model'!$L$78*Z198</f>
        <v>141624</v>
      </c>
      <c r="AA207" s="428">
        <f>'Pricing Model'!$L$78*AA198</f>
        <v>150696</v>
      </c>
      <c r="AB207" s="428">
        <f>'Pricing Model'!$L$78*AB198</f>
        <v>157752</v>
      </c>
      <c r="AC207" s="428">
        <f>'Pricing Model'!$L$78*AC198</f>
        <v>165816</v>
      </c>
      <c r="AD207" s="428">
        <f>'Pricing Model'!$L$78*AD198</f>
        <v>173880</v>
      </c>
      <c r="AE207" s="428">
        <f>'Pricing Model'!$L$78*AE198</f>
        <v>179928</v>
      </c>
      <c r="AF207" s="439">
        <f>'Pricing Model'!$L$78*AF198</f>
        <v>187992</v>
      </c>
      <c r="AG207" s="827">
        <f>'Pricing Model'!$L$78*AG198</f>
        <v>185976</v>
      </c>
      <c r="AH207" s="428">
        <f>'Pricing Model'!$L$78*AH198</f>
        <v>198576</v>
      </c>
      <c r="AI207" s="428">
        <f>'Pricing Model'!$L$78*AI198</f>
        <v>211176</v>
      </c>
      <c r="AJ207" s="428">
        <f>'Pricing Model'!$L$78*AJ198</f>
        <v>223272</v>
      </c>
      <c r="AK207" s="428">
        <f>'Pricing Model'!$L$78*AK198</f>
        <v>233351.99999999997</v>
      </c>
      <c r="AL207" s="428">
        <f>'Pricing Model'!$L$78*AL198</f>
        <v>243432.00000000003</v>
      </c>
      <c r="AM207" s="428">
        <f>'Pricing Model'!$L$78*AM198</f>
        <v>253512</v>
      </c>
      <c r="AN207" s="428">
        <f>'Pricing Model'!$L$78*AN198</f>
        <v>264096</v>
      </c>
      <c r="AO207" s="428">
        <f>'Pricing Model'!$L$78*AO198</f>
        <v>269136</v>
      </c>
      <c r="AP207" s="428">
        <f>'Pricing Model'!$L$78*AP198</f>
        <v>274176</v>
      </c>
      <c r="AQ207" s="428">
        <f>'Pricing Model'!$L$78*AQ198</f>
        <v>279216</v>
      </c>
      <c r="AR207" s="439">
        <f>'Pricing Model'!$L$78*AR198</f>
        <v>284256</v>
      </c>
    </row>
    <row r="208" spans="2:44" ht="16.2" thickBot="1">
      <c r="B208" s="550"/>
      <c r="C208" s="551"/>
      <c r="D208" s="551"/>
      <c r="E208" s="551"/>
      <c r="F208" s="552"/>
      <c r="G208" s="411" t="s">
        <v>441</v>
      </c>
      <c r="H208" s="429"/>
      <c r="I208" s="582">
        <f>I207</f>
        <v>4050</v>
      </c>
      <c r="J208" s="583">
        <f>J207-I207</f>
        <v>1494</v>
      </c>
      <c r="K208" s="583">
        <f>K207-J207</f>
        <v>504</v>
      </c>
      <c r="L208" s="583">
        <f t="shared" ref="L208" si="1037">L207-K207</f>
        <v>1008</v>
      </c>
      <c r="M208" s="583">
        <f t="shared" ref="M208" si="1038">M207-L207</f>
        <v>-1008</v>
      </c>
      <c r="N208" s="583">
        <f t="shared" ref="N208" si="1039">N207-M207</f>
        <v>2016.0000000000009</v>
      </c>
      <c r="O208" s="583">
        <f t="shared" ref="O208" si="1040">O207-N207</f>
        <v>2015.9999999999991</v>
      </c>
      <c r="P208" s="583">
        <f t="shared" ref="P208" si="1041">P207-O207</f>
        <v>1008</v>
      </c>
      <c r="Q208" s="583">
        <f t="shared" ref="Q208" si="1042">Q207-P207</f>
        <v>2520</v>
      </c>
      <c r="R208" s="583">
        <f t="shared" ref="R208" si="1043">R207-Q207</f>
        <v>1007.9999999999982</v>
      </c>
      <c r="S208" s="583">
        <f t="shared" ref="S208" si="1044">S207-R207</f>
        <v>504.00000000000182</v>
      </c>
      <c r="T208" s="583">
        <f t="shared" ref="T208" si="1045">T207-S207</f>
        <v>3024</v>
      </c>
      <c r="U208" s="828">
        <f t="shared" ref="U208" si="1046">U207-T207</f>
        <v>3528</v>
      </c>
      <c r="V208" s="583">
        <f t="shared" ref="V208" si="1047">V207-U207</f>
        <v>24696</v>
      </c>
      <c r="W208" s="583">
        <f t="shared" ref="W208" si="1048">W207-V207</f>
        <v>23687.999999999985</v>
      </c>
      <c r="X208" s="583">
        <f t="shared" ref="X208" si="1049">X207-W207</f>
        <v>33768.000000000044</v>
      </c>
      <c r="Y208" s="583">
        <f t="shared" ref="Y208" si="1050">Y207-X207</f>
        <v>28728</v>
      </c>
      <c r="Z208" s="583">
        <f t="shared" ref="Z208" si="1051">Z207-Y207</f>
        <v>9071.9999999999709</v>
      </c>
      <c r="AA208" s="583">
        <f t="shared" ref="AA208" si="1052">AA207-Z207</f>
        <v>9072</v>
      </c>
      <c r="AB208" s="583">
        <f t="shared" ref="AB208" si="1053">AB207-AA207</f>
        <v>7056</v>
      </c>
      <c r="AC208" s="583">
        <f t="shared" ref="AC208" si="1054">AC207-AB207</f>
        <v>8064</v>
      </c>
      <c r="AD208" s="583">
        <f t="shared" ref="AD208" si="1055">AD207-AC207</f>
        <v>8064</v>
      </c>
      <c r="AE208" s="583">
        <f t="shared" ref="AE208" si="1056">AE207-AD207</f>
        <v>6048</v>
      </c>
      <c r="AF208" s="584">
        <f t="shared" ref="AF208" si="1057">AF207-AE207</f>
        <v>8064</v>
      </c>
      <c r="AG208" s="828">
        <f t="shared" ref="AG208" si="1058">AG207-AF207</f>
        <v>-2016</v>
      </c>
      <c r="AH208" s="583">
        <f t="shared" ref="AH208" si="1059">AH207-AG207</f>
        <v>12600</v>
      </c>
      <c r="AI208" s="583">
        <f t="shared" ref="AI208" si="1060">AI207-AH207</f>
        <v>12600</v>
      </c>
      <c r="AJ208" s="583">
        <f t="shared" ref="AJ208" si="1061">AJ207-AI207</f>
        <v>12096</v>
      </c>
      <c r="AK208" s="583">
        <f t="shared" ref="AK208" si="1062">AK207-AJ207</f>
        <v>10079.999999999971</v>
      </c>
      <c r="AL208" s="583">
        <f t="shared" ref="AL208" si="1063">AL207-AK207</f>
        <v>10080.000000000058</v>
      </c>
      <c r="AM208" s="583">
        <f t="shared" ref="AM208" si="1064">AM207-AL207</f>
        <v>10079.999999999971</v>
      </c>
      <c r="AN208" s="583">
        <f t="shared" ref="AN208" si="1065">AN207-AM207</f>
        <v>10584</v>
      </c>
      <c r="AO208" s="583">
        <f t="shared" ref="AO208" si="1066">AO207-AN207</f>
        <v>5040</v>
      </c>
      <c r="AP208" s="583">
        <f t="shared" ref="AP208" si="1067">AP207-AO207</f>
        <v>5040</v>
      </c>
      <c r="AQ208" s="583">
        <f t="shared" ref="AQ208" si="1068">AQ207-AP207</f>
        <v>5040</v>
      </c>
      <c r="AR208" s="584">
        <f t="shared" ref="AR208" si="1069">AR207-AQ207</f>
        <v>5040</v>
      </c>
    </row>
    <row r="209" spans="6:44" ht="16.2" thickTop="1">
      <c r="G209" s="400"/>
      <c r="H209" s="803"/>
      <c r="I209" s="396"/>
      <c r="J209" s="396"/>
      <c r="K209" s="396"/>
      <c r="L209" s="396"/>
      <c r="M209" s="396"/>
      <c r="N209" s="396"/>
      <c r="O209" s="396"/>
      <c r="P209" s="396"/>
      <c r="Q209" s="396"/>
      <c r="R209" s="396"/>
      <c r="S209" s="396"/>
      <c r="T209" s="396"/>
      <c r="U209" s="833"/>
      <c r="V209" s="396"/>
      <c r="W209" s="396"/>
      <c r="X209" s="396"/>
      <c r="Y209" s="396"/>
      <c r="Z209" s="396"/>
      <c r="AA209" s="396"/>
      <c r="AB209" s="396"/>
      <c r="AC209" s="396"/>
      <c r="AD209" s="396"/>
      <c r="AE209" s="396"/>
      <c r="AF209" s="442"/>
      <c r="AG209" s="833"/>
      <c r="AH209" s="396"/>
      <c r="AI209" s="396"/>
      <c r="AJ209" s="396"/>
      <c r="AK209" s="396"/>
      <c r="AL209" s="396"/>
      <c r="AM209" s="396"/>
      <c r="AN209" s="396"/>
      <c r="AO209" s="396"/>
      <c r="AP209" s="396"/>
      <c r="AQ209" s="396"/>
    </row>
    <row r="210" spans="6:44">
      <c r="G210" s="400"/>
      <c r="H210" s="803"/>
      <c r="I210" s="396"/>
      <c r="J210" s="396"/>
      <c r="K210" s="396"/>
      <c r="L210" s="396"/>
      <c r="M210" s="396"/>
      <c r="N210" s="396"/>
      <c r="O210" s="396"/>
      <c r="P210" s="396"/>
      <c r="Q210" s="396"/>
      <c r="R210" s="396"/>
      <c r="S210" s="396"/>
      <c r="T210" s="396"/>
      <c r="U210" s="833"/>
      <c r="V210" s="396"/>
      <c r="W210" s="396"/>
      <c r="X210" s="396"/>
      <c r="Y210" s="396"/>
      <c r="Z210" s="396"/>
      <c r="AA210" s="396"/>
      <c r="AB210" s="396"/>
      <c r="AC210" s="396"/>
      <c r="AD210" s="396"/>
      <c r="AE210" s="396"/>
      <c r="AF210" s="442"/>
      <c r="AG210" s="833"/>
      <c r="AH210" s="396"/>
      <c r="AI210" s="396"/>
      <c r="AJ210" s="396"/>
      <c r="AK210" s="396"/>
      <c r="AL210" s="396"/>
      <c r="AM210" s="396"/>
      <c r="AN210" s="396"/>
      <c r="AO210" s="396"/>
      <c r="AP210" s="396"/>
      <c r="AQ210" s="396"/>
    </row>
    <row r="211" spans="6:44">
      <c r="G211" s="414"/>
      <c r="H211" s="415"/>
      <c r="I211" s="444"/>
      <c r="J211" s="444"/>
      <c r="K211" s="444"/>
      <c r="L211" s="444"/>
      <c r="M211" s="444"/>
      <c r="N211" s="444"/>
      <c r="O211" s="444"/>
      <c r="P211" s="444"/>
      <c r="Q211" s="444"/>
      <c r="R211" s="444"/>
      <c r="S211" s="444"/>
      <c r="T211" s="444"/>
      <c r="U211" s="831"/>
      <c r="V211" s="444"/>
      <c r="W211" s="444"/>
      <c r="X211" s="444"/>
      <c r="Y211" s="444"/>
      <c r="Z211" s="444"/>
      <c r="AA211" s="444"/>
      <c r="AB211" s="444"/>
      <c r="AC211" s="444"/>
      <c r="AD211" s="444"/>
      <c r="AE211" s="444"/>
      <c r="AF211" s="445"/>
      <c r="AG211" s="831"/>
      <c r="AH211" s="444"/>
      <c r="AI211" s="444"/>
      <c r="AJ211" s="444"/>
      <c r="AK211" s="444"/>
      <c r="AL211" s="444"/>
      <c r="AM211" s="444"/>
      <c r="AN211" s="444"/>
      <c r="AO211" s="444"/>
      <c r="AP211" s="444"/>
      <c r="AQ211" s="444"/>
      <c r="AR211" s="433"/>
    </row>
    <row r="212" spans="6:44" ht="21">
      <c r="G212" s="812" t="s">
        <v>440</v>
      </c>
      <c r="H212" s="583"/>
      <c r="I212" s="582">
        <f>SUM(I85+I64+I44+I24+I107+I128+I148+I168+I188+I208)</f>
        <v>8348</v>
      </c>
      <c r="J212" s="582">
        <f t="shared" ref="J212:AR212" si="1070">SUM(J85+J64+J44+J24+J107+J128+J148+J168+J188+J208)</f>
        <v>29279.800000000003</v>
      </c>
      <c r="K212" s="582">
        <f t="shared" si="1070"/>
        <v>-2164.7999999999993</v>
      </c>
      <c r="L212" s="582">
        <f t="shared" si="1070"/>
        <v>8564.1999999999953</v>
      </c>
      <c r="M212" s="582">
        <f t="shared" si="1070"/>
        <v>2080.0000000000064</v>
      </c>
      <c r="N212" s="582">
        <f t="shared" si="1070"/>
        <v>7349.199999999998</v>
      </c>
      <c r="O212" s="582">
        <f t="shared" si="1070"/>
        <v>5764.4</v>
      </c>
      <c r="P212" s="582">
        <f t="shared" si="1070"/>
        <v>6618.0000000000073</v>
      </c>
      <c r="Q212" s="582">
        <f t="shared" si="1070"/>
        <v>1716.399999999991</v>
      </c>
      <c r="R212" s="582">
        <f t="shared" si="1070"/>
        <v>-2944.3999999999996</v>
      </c>
      <c r="S212" s="582">
        <f t="shared" si="1070"/>
        <v>23358.799999999996</v>
      </c>
      <c r="T212" s="582">
        <f t="shared" si="1070"/>
        <v>27222.200000000015</v>
      </c>
      <c r="U212" s="839">
        <f t="shared" si="1070"/>
        <v>-14614.470000000008</v>
      </c>
      <c r="V212" s="819">
        <f t="shared" si="1070"/>
        <v>708.71000000000276</v>
      </c>
      <c r="W212" s="819">
        <f t="shared" si="1070"/>
        <v>50765.12999999999</v>
      </c>
      <c r="X212" s="819">
        <f t="shared" si="1070"/>
        <v>41327.130000000034</v>
      </c>
      <c r="Y212" s="819">
        <f t="shared" si="1070"/>
        <v>37178.530000000013</v>
      </c>
      <c r="Z212" s="819">
        <f t="shared" si="1070"/>
        <v>19318.829999999973</v>
      </c>
      <c r="AA212" s="819">
        <f t="shared" si="1070"/>
        <v>21433.53</v>
      </c>
      <c r="AB212" s="819">
        <f t="shared" si="1070"/>
        <v>17502.630000000012</v>
      </c>
      <c r="AC212" s="819">
        <f t="shared" si="1070"/>
        <v>14040.64999999998</v>
      </c>
      <c r="AD212" s="819">
        <f t="shared" si="1070"/>
        <v>17600.450000000019</v>
      </c>
      <c r="AE212" s="819">
        <f t="shared" si="1070"/>
        <v>32511.329999999998</v>
      </c>
      <c r="AF212" s="840">
        <f t="shared" si="1070"/>
        <v>70962.12999999999</v>
      </c>
      <c r="AG212" s="839">
        <f t="shared" si="1070"/>
        <v>4629.3330000000042</v>
      </c>
      <c r="AH212" s="819">
        <f t="shared" si="1070"/>
        <v>-13041.495999999999</v>
      </c>
      <c r="AI212" s="819">
        <f t="shared" si="1070"/>
        <v>116230.18559999998</v>
      </c>
      <c r="AJ212" s="819">
        <f t="shared" si="1070"/>
        <v>55284.779800000004</v>
      </c>
      <c r="AK212" s="819">
        <f t="shared" si="1070"/>
        <v>13275.594399999951</v>
      </c>
      <c r="AL212" s="819">
        <f t="shared" si="1070"/>
        <v>117734.04560000004</v>
      </c>
      <c r="AM212" s="819">
        <f t="shared" si="1070"/>
        <v>117579.13380000003</v>
      </c>
      <c r="AN212" s="819">
        <f t="shared" si="1070"/>
        <v>53763.361599999989</v>
      </c>
      <c r="AO212" s="819">
        <f t="shared" si="1070"/>
        <v>-46702.109599999996</v>
      </c>
      <c r="AP212" s="819">
        <f t="shared" si="1070"/>
        <v>23475.320600000021</v>
      </c>
      <c r="AQ212" s="819">
        <f t="shared" si="1070"/>
        <v>373683.51839999988</v>
      </c>
      <c r="AR212" s="840">
        <f t="shared" si="1070"/>
        <v>378989.8196000001</v>
      </c>
    </row>
    <row r="213" spans="6:44">
      <c r="G213" s="419"/>
      <c r="H213" s="416"/>
      <c r="I213" s="416"/>
      <c r="J213" s="416"/>
      <c r="K213" s="416"/>
      <c r="L213" s="416"/>
      <c r="M213" s="416"/>
      <c r="N213" s="416"/>
      <c r="O213" s="416"/>
      <c r="P213" s="416"/>
      <c r="Q213" s="416"/>
      <c r="R213" s="416"/>
      <c r="S213" s="416"/>
      <c r="T213" s="416"/>
      <c r="U213" s="822"/>
      <c r="V213" s="416"/>
      <c r="W213" s="416"/>
      <c r="X213" s="416"/>
      <c r="Y213" s="416"/>
      <c r="Z213" s="416"/>
      <c r="AA213" s="416"/>
      <c r="AB213" s="416"/>
      <c r="AC213" s="416"/>
      <c r="AD213" s="416"/>
      <c r="AE213" s="416"/>
      <c r="AF213" s="433"/>
      <c r="AG213" s="822"/>
      <c r="AH213" s="416"/>
      <c r="AI213" s="416"/>
      <c r="AJ213" s="416"/>
      <c r="AK213" s="416"/>
      <c r="AL213" s="416"/>
      <c r="AM213" s="416"/>
      <c r="AN213" s="416"/>
      <c r="AO213" s="416"/>
      <c r="AP213" s="416"/>
      <c r="AQ213" s="416"/>
      <c r="AR213" s="433"/>
    </row>
    <row r="214" spans="6:44" s="2" customFormat="1" ht="7.8" customHeight="1">
      <c r="F214" s="443"/>
      <c r="G214" s="540"/>
      <c r="I214" s="541"/>
    </row>
    <row r="215" spans="6:44" s="2" customFormat="1">
      <c r="F215" s="443"/>
      <c r="G215" s="458"/>
      <c r="I215" s="541"/>
      <c r="J215" s="804"/>
      <c r="K215" s="804"/>
      <c r="L215" s="804"/>
      <c r="M215" s="804"/>
      <c r="N215" s="804"/>
      <c r="O215" s="804"/>
      <c r="P215" s="804"/>
      <c r="Q215" s="804"/>
      <c r="R215" s="804"/>
      <c r="S215" s="804"/>
      <c r="T215" s="804"/>
      <c r="U215" s="804"/>
      <c r="V215" s="804"/>
      <c r="W215" s="804"/>
      <c r="X215" s="804"/>
      <c r="Y215" s="804"/>
      <c r="Z215" s="804"/>
      <c r="AA215" s="804"/>
      <c r="AB215" s="804"/>
      <c r="AC215" s="804"/>
      <c r="AD215" s="804"/>
      <c r="AE215" s="804"/>
      <c r="AF215" s="804"/>
      <c r="AG215" s="804"/>
      <c r="AH215" s="804"/>
      <c r="AI215" s="804"/>
      <c r="AJ215" s="804"/>
      <c r="AK215" s="804"/>
      <c r="AL215" s="804"/>
      <c r="AM215" s="804"/>
      <c r="AN215" s="804"/>
      <c r="AO215" s="804"/>
      <c r="AP215" s="804"/>
      <c r="AQ215" s="804"/>
      <c r="AR215" s="804"/>
    </row>
    <row r="216" spans="6:44" s="2" customFormat="1">
      <c r="F216" s="443"/>
      <c r="G216" s="458"/>
      <c r="I216" s="541"/>
      <c r="J216" s="804"/>
      <c r="K216" s="804"/>
      <c r="L216" s="804"/>
      <c r="M216" s="804"/>
      <c r="N216" s="804"/>
      <c r="O216" s="804"/>
      <c r="P216" s="804"/>
      <c r="Q216" s="804"/>
      <c r="R216" s="804"/>
      <c r="S216" s="804"/>
      <c r="T216" s="804"/>
      <c r="U216" s="804"/>
      <c r="V216" s="804"/>
      <c r="W216" s="804"/>
      <c r="X216" s="804"/>
      <c r="Y216" s="804"/>
      <c r="Z216" s="804"/>
      <c r="AA216" s="804"/>
      <c r="AB216" s="804"/>
      <c r="AC216" s="804"/>
      <c r="AD216" s="804"/>
      <c r="AE216" s="804"/>
      <c r="AF216" s="804"/>
      <c r="AG216" s="804"/>
      <c r="AH216" s="804"/>
      <c r="AI216" s="804"/>
      <c r="AJ216" s="804"/>
      <c r="AK216" s="804"/>
      <c r="AL216" s="804"/>
      <c r="AM216" s="804"/>
      <c r="AN216" s="804"/>
      <c r="AO216" s="804"/>
      <c r="AP216" s="804"/>
      <c r="AQ216" s="804"/>
      <c r="AR216" s="804"/>
    </row>
    <row r="217" spans="6:44" s="2" customFormat="1">
      <c r="F217" s="443"/>
      <c r="G217" s="458"/>
      <c r="I217" s="805"/>
      <c r="J217" s="806"/>
      <c r="K217" s="806"/>
      <c r="L217" s="806"/>
      <c r="M217" s="806"/>
      <c r="N217" s="806"/>
      <c r="O217" s="806"/>
      <c r="P217" s="806"/>
      <c r="Q217" s="806"/>
      <c r="R217" s="806"/>
      <c r="S217" s="806"/>
      <c r="T217" s="806"/>
      <c r="U217" s="806"/>
      <c r="V217" s="806"/>
      <c r="W217" s="806"/>
      <c r="X217" s="806"/>
      <c r="Y217" s="806"/>
      <c r="Z217" s="806"/>
      <c r="AA217" s="806"/>
      <c r="AB217" s="806"/>
      <c r="AC217" s="806"/>
      <c r="AD217" s="806"/>
      <c r="AE217" s="806"/>
      <c r="AF217" s="806"/>
      <c r="AG217" s="806"/>
      <c r="AH217" s="806"/>
      <c r="AI217" s="806"/>
      <c r="AJ217" s="806"/>
      <c r="AK217" s="806"/>
      <c r="AL217" s="806"/>
      <c r="AM217" s="806"/>
      <c r="AN217" s="806"/>
      <c r="AO217" s="806"/>
      <c r="AP217" s="806"/>
      <c r="AQ217" s="806"/>
      <c r="AR217" s="806"/>
    </row>
    <row r="218" spans="6:44" s="2" customFormat="1">
      <c r="F218" s="443"/>
      <c r="G218" s="540"/>
      <c r="H218" s="3"/>
      <c r="I218" s="807"/>
      <c r="J218" s="807"/>
      <c r="K218" s="807"/>
      <c r="L218" s="807"/>
      <c r="M218" s="807"/>
      <c r="N218" s="807"/>
      <c r="O218" s="807"/>
      <c r="P218" s="807"/>
      <c r="Q218" s="807"/>
      <c r="R218" s="807"/>
      <c r="S218" s="813"/>
      <c r="T218" s="813"/>
      <c r="U218" s="813"/>
      <c r="V218" s="813"/>
      <c r="W218" s="807"/>
      <c r="X218" s="807"/>
      <c r="Y218" s="807"/>
      <c r="Z218" s="807"/>
      <c r="AA218" s="807"/>
      <c r="AB218" s="807"/>
      <c r="AC218" s="807"/>
      <c r="AD218" s="807"/>
      <c r="AE218" s="807"/>
      <c r="AF218" s="813"/>
      <c r="AG218" s="813"/>
      <c r="AH218" s="813"/>
      <c r="AI218" s="813"/>
      <c r="AJ218" s="813"/>
      <c r="AK218" s="813"/>
      <c r="AL218" s="813"/>
      <c r="AM218" s="813"/>
      <c r="AN218" s="813"/>
      <c r="AO218" s="813"/>
      <c r="AP218" s="813"/>
      <c r="AQ218" s="813"/>
      <c r="AR218" s="813"/>
    </row>
    <row r="219" spans="6:44" s="2" customFormat="1">
      <c r="F219" s="443"/>
      <c r="G219" s="540"/>
      <c r="H219" s="3"/>
      <c r="I219" s="807"/>
      <c r="J219" s="807"/>
      <c r="K219" s="807"/>
      <c r="L219" s="807"/>
      <c r="M219" s="807"/>
      <c r="N219" s="807"/>
      <c r="O219" s="807"/>
      <c r="P219" s="807"/>
      <c r="Q219" s="807"/>
      <c r="R219" s="807"/>
      <c r="S219" s="813"/>
      <c r="T219" s="813"/>
      <c r="U219" s="813"/>
      <c r="V219" s="813"/>
      <c r="W219" s="807"/>
      <c r="X219" s="807"/>
      <c r="Y219" s="807"/>
      <c r="Z219" s="807"/>
      <c r="AA219" s="807"/>
      <c r="AB219" s="807"/>
      <c r="AC219" s="807"/>
      <c r="AD219" s="807"/>
      <c r="AE219" s="807"/>
      <c r="AF219" s="813"/>
      <c r="AG219" s="813"/>
      <c r="AH219" s="813"/>
      <c r="AI219" s="813"/>
      <c r="AJ219" s="813"/>
      <c r="AK219" s="813"/>
      <c r="AL219" s="813"/>
      <c r="AM219" s="813"/>
      <c r="AN219" s="813"/>
      <c r="AO219" s="813"/>
      <c r="AP219" s="813"/>
      <c r="AQ219" s="813"/>
      <c r="AR219" s="813"/>
    </row>
    <row r="220" spans="6:44" s="2" customFormat="1">
      <c r="F220" s="443"/>
      <c r="G220" s="540"/>
      <c r="I220" s="541"/>
    </row>
    <row r="221" spans="6:44" s="2" customFormat="1">
      <c r="F221" s="443"/>
      <c r="G221" s="458"/>
      <c r="I221" s="541"/>
      <c r="J221" s="541"/>
      <c r="K221" s="541"/>
      <c r="L221" s="541"/>
      <c r="M221" s="541"/>
      <c r="N221" s="541"/>
      <c r="O221" s="541"/>
      <c r="P221" s="541"/>
      <c r="Q221" s="541"/>
      <c r="R221" s="541"/>
      <c r="S221" s="814"/>
      <c r="T221" s="814"/>
      <c r="U221" s="814"/>
      <c r="V221" s="814"/>
      <c r="W221" s="541"/>
      <c r="X221" s="541"/>
      <c r="Y221" s="541"/>
      <c r="Z221" s="541"/>
      <c r="AA221" s="541"/>
      <c r="AB221" s="541"/>
      <c r="AC221" s="541"/>
      <c r="AD221" s="541"/>
      <c r="AE221" s="541"/>
      <c r="AF221" s="814"/>
      <c r="AG221" s="814"/>
      <c r="AH221" s="814"/>
      <c r="AI221" s="814"/>
      <c r="AJ221" s="814"/>
      <c r="AK221" s="814"/>
      <c r="AL221" s="814"/>
      <c r="AM221" s="814"/>
      <c r="AN221" s="814"/>
      <c r="AO221" s="814"/>
      <c r="AP221" s="814"/>
      <c r="AQ221" s="814"/>
      <c r="AR221" s="814"/>
    </row>
    <row r="222" spans="6:44" s="2" customFormat="1">
      <c r="F222" s="443"/>
      <c r="G222" s="458"/>
      <c r="I222" s="541"/>
      <c r="J222" s="541"/>
      <c r="K222" s="541"/>
      <c r="L222" s="541"/>
      <c r="M222" s="541"/>
      <c r="N222" s="541"/>
      <c r="O222" s="541"/>
      <c r="P222" s="541"/>
      <c r="Q222" s="541"/>
      <c r="R222" s="541"/>
      <c r="S222" s="814"/>
      <c r="T222" s="814"/>
      <c r="U222" s="814"/>
      <c r="V222" s="814"/>
      <c r="W222" s="541"/>
      <c r="X222" s="541"/>
      <c r="Y222" s="541"/>
      <c r="Z222" s="541"/>
      <c r="AA222" s="541"/>
      <c r="AB222" s="541"/>
      <c r="AC222" s="541"/>
      <c r="AD222" s="541"/>
      <c r="AE222" s="541"/>
      <c r="AF222" s="814"/>
      <c r="AG222" s="814"/>
      <c r="AH222" s="814"/>
      <c r="AI222" s="814"/>
      <c r="AJ222" s="814"/>
      <c r="AK222" s="814"/>
      <c r="AL222" s="814"/>
      <c r="AM222" s="814"/>
      <c r="AN222" s="814"/>
      <c r="AO222" s="814"/>
      <c r="AP222" s="814"/>
      <c r="AQ222" s="814"/>
      <c r="AR222" s="814"/>
    </row>
    <row r="223" spans="6:44" s="2" customFormat="1">
      <c r="F223" s="443"/>
      <c r="G223" s="458"/>
      <c r="I223" s="541"/>
      <c r="J223" s="541"/>
      <c r="K223" s="541"/>
      <c r="L223" s="541"/>
      <c r="M223" s="541"/>
      <c r="N223" s="541"/>
      <c r="O223" s="541"/>
      <c r="P223" s="541"/>
      <c r="Q223" s="541"/>
      <c r="R223" s="541"/>
      <c r="S223" s="814"/>
      <c r="T223" s="814"/>
      <c r="U223" s="814"/>
      <c r="V223" s="814"/>
      <c r="W223" s="541"/>
      <c r="X223" s="541"/>
      <c r="Y223" s="541"/>
      <c r="Z223" s="541"/>
      <c r="AA223" s="541"/>
      <c r="AB223" s="541"/>
      <c r="AC223" s="541"/>
      <c r="AD223" s="541"/>
      <c r="AE223" s="541"/>
      <c r="AF223" s="814"/>
      <c r="AG223" s="814"/>
      <c r="AH223" s="814"/>
      <c r="AI223" s="814"/>
      <c r="AJ223" s="814"/>
      <c r="AK223" s="814"/>
      <c r="AL223" s="814"/>
      <c r="AM223" s="814"/>
      <c r="AN223" s="814"/>
      <c r="AO223" s="814"/>
      <c r="AP223" s="814"/>
      <c r="AQ223" s="814"/>
      <c r="AR223" s="814"/>
    </row>
    <row r="224" spans="6:44" s="2" customFormat="1">
      <c r="F224" s="443"/>
      <c r="G224" s="458"/>
      <c r="I224" s="541"/>
      <c r="J224" s="541"/>
      <c r="K224" s="541"/>
      <c r="L224" s="541"/>
      <c r="M224" s="541"/>
      <c r="N224" s="541"/>
      <c r="O224" s="541"/>
      <c r="P224" s="541"/>
      <c r="Q224" s="541"/>
      <c r="R224" s="541"/>
      <c r="S224" s="814"/>
      <c r="T224" s="814"/>
      <c r="U224" s="814"/>
      <c r="V224" s="814"/>
      <c r="W224" s="541"/>
      <c r="X224" s="541"/>
      <c r="Y224" s="541"/>
      <c r="Z224" s="541"/>
      <c r="AA224" s="541"/>
      <c r="AB224" s="541"/>
      <c r="AC224" s="541"/>
      <c r="AD224" s="541"/>
      <c r="AE224" s="541"/>
      <c r="AF224" s="814"/>
      <c r="AG224" s="814"/>
      <c r="AH224" s="814"/>
      <c r="AI224" s="814"/>
      <c r="AJ224" s="814"/>
      <c r="AK224" s="814"/>
      <c r="AL224" s="814"/>
      <c r="AM224" s="814"/>
      <c r="AN224" s="814"/>
      <c r="AO224" s="814"/>
      <c r="AP224" s="814"/>
      <c r="AQ224" s="814"/>
      <c r="AR224" s="814"/>
    </row>
    <row r="225" spans="6:44" s="2" customFormat="1">
      <c r="F225" s="443"/>
      <c r="G225" s="540"/>
      <c r="H225" s="3"/>
      <c r="I225" s="808"/>
      <c r="J225" s="808"/>
      <c r="K225" s="808"/>
      <c r="L225" s="808"/>
      <c r="M225" s="808"/>
      <c r="N225" s="808"/>
      <c r="O225" s="808"/>
      <c r="P225" s="808"/>
      <c r="Q225" s="808"/>
      <c r="R225" s="808"/>
      <c r="S225" s="815"/>
      <c r="T225" s="815"/>
      <c r="U225" s="815"/>
      <c r="V225" s="815"/>
      <c r="W225" s="808"/>
      <c r="X225" s="808"/>
      <c r="Y225" s="808"/>
      <c r="Z225" s="808"/>
      <c r="AA225" s="808"/>
      <c r="AB225" s="808"/>
      <c r="AC225" s="808"/>
      <c r="AD225" s="808"/>
      <c r="AE225" s="808"/>
      <c r="AF225" s="815"/>
      <c r="AG225" s="815"/>
      <c r="AH225" s="815"/>
      <c r="AI225" s="815"/>
      <c r="AJ225" s="815"/>
      <c r="AK225" s="815"/>
      <c r="AL225" s="815"/>
      <c r="AM225" s="815"/>
      <c r="AN225" s="815"/>
      <c r="AO225" s="815"/>
      <c r="AP225" s="815"/>
      <c r="AQ225" s="815"/>
      <c r="AR225" s="815"/>
    </row>
    <row r="226" spans="6:44" s="2" customFormat="1">
      <c r="F226" s="443"/>
      <c r="G226" s="458"/>
      <c r="I226" s="809"/>
    </row>
    <row r="227" spans="6:44" s="2" customFormat="1">
      <c r="F227" s="443"/>
      <c r="G227" s="810"/>
      <c r="H227" s="811"/>
      <c r="I227" s="811"/>
      <c r="J227" s="811"/>
      <c r="K227" s="811"/>
      <c r="L227" s="811"/>
      <c r="M227" s="811"/>
      <c r="N227" s="811"/>
      <c r="O227" s="811"/>
      <c r="P227" s="811"/>
      <c r="Q227" s="811"/>
      <c r="R227" s="811"/>
      <c r="S227" s="811"/>
      <c r="T227" s="811"/>
      <c r="U227" s="811"/>
      <c r="V227" s="811"/>
      <c r="W227" s="811"/>
      <c r="X227" s="811"/>
      <c r="Y227" s="811"/>
      <c r="Z227" s="811"/>
      <c r="AA227" s="811"/>
      <c r="AB227" s="811"/>
      <c r="AC227" s="811"/>
      <c r="AD227" s="811"/>
      <c r="AE227" s="811"/>
      <c r="AF227" s="811"/>
      <c r="AG227" s="811"/>
      <c r="AH227" s="811"/>
      <c r="AI227" s="811"/>
      <c r="AJ227" s="811"/>
      <c r="AK227" s="811"/>
      <c r="AL227" s="811"/>
      <c r="AM227" s="811"/>
      <c r="AN227" s="811"/>
      <c r="AO227" s="811"/>
      <c r="AP227" s="811"/>
      <c r="AQ227" s="811"/>
      <c r="AR227" s="811"/>
    </row>
    <row r="228" spans="6:44" s="2" customFormat="1">
      <c r="F228" s="443"/>
      <c r="G228" s="535"/>
      <c r="H228" s="446"/>
      <c r="I228" s="447"/>
      <c r="J228" s="446"/>
      <c r="K228" s="446"/>
      <c r="L228" s="446"/>
      <c r="M228" s="446"/>
      <c r="N228" s="446"/>
      <c r="O228" s="446"/>
      <c r="P228" s="446"/>
      <c r="Q228" s="446"/>
      <c r="R228" s="446"/>
      <c r="S228" s="446"/>
      <c r="T228" s="446"/>
      <c r="U228" s="446"/>
      <c r="V228" s="446"/>
      <c r="W228" s="446"/>
      <c r="X228" s="446"/>
      <c r="Y228" s="446"/>
      <c r="Z228" s="446"/>
      <c r="AA228" s="446"/>
      <c r="AB228" s="446"/>
      <c r="AC228" s="446"/>
      <c r="AD228" s="446"/>
      <c r="AE228" s="446"/>
      <c r="AF228" s="446"/>
      <c r="AG228" s="446"/>
      <c r="AH228" s="446"/>
      <c r="AI228" s="446"/>
      <c r="AJ228" s="446"/>
      <c r="AK228" s="446"/>
      <c r="AL228" s="446"/>
      <c r="AM228" s="446"/>
      <c r="AN228" s="446"/>
      <c r="AO228" s="446"/>
      <c r="AP228" s="446"/>
      <c r="AQ228" s="446"/>
      <c r="AR228" s="446"/>
    </row>
    <row r="229" spans="6:44" s="2" customFormat="1">
      <c r="F229" s="443"/>
      <c r="G229" s="458"/>
      <c r="H229" s="443"/>
      <c r="I229" s="443"/>
      <c r="J229" s="443"/>
      <c r="K229" s="443"/>
      <c r="L229" s="443"/>
      <c r="M229" s="443"/>
      <c r="N229" s="443"/>
      <c r="O229" s="443"/>
      <c r="P229" s="443"/>
      <c r="Q229" s="443"/>
      <c r="R229" s="443"/>
      <c r="S229" s="443"/>
      <c r="T229" s="443"/>
      <c r="U229" s="443"/>
      <c r="V229" s="443"/>
      <c r="W229" s="443"/>
      <c r="X229" s="443"/>
      <c r="Y229" s="443"/>
      <c r="Z229" s="443"/>
      <c r="AA229" s="443"/>
      <c r="AB229" s="443"/>
      <c r="AC229" s="443"/>
      <c r="AD229" s="443"/>
      <c r="AE229" s="443"/>
      <c r="AF229" s="443"/>
      <c r="AG229" s="443"/>
      <c r="AH229" s="443"/>
      <c r="AI229" s="443"/>
      <c r="AJ229" s="443"/>
      <c r="AK229" s="443"/>
      <c r="AL229" s="443"/>
      <c r="AM229" s="443"/>
      <c r="AN229" s="443"/>
      <c r="AO229" s="443"/>
      <c r="AP229" s="443"/>
      <c r="AQ229" s="443"/>
    </row>
    <row r="230" spans="6:44">
      <c r="T230" s="391"/>
      <c r="AF230" s="391"/>
      <c r="AR230"/>
    </row>
    <row r="231" spans="6:44">
      <c r="T231" s="391"/>
      <c r="AF231" s="391"/>
      <c r="AR231"/>
    </row>
    <row r="232" spans="6:44">
      <c r="T232" s="391"/>
      <c r="AF232" s="391"/>
      <c r="AR232"/>
    </row>
    <row r="233" spans="6:44">
      <c r="T233" s="391"/>
      <c r="AF233" s="391"/>
      <c r="AR233"/>
    </row>
    <row r="234" spans="6:44">
      <c r="T234" s="391"/>
      <c r="AF234" s="391"/>
      <c r="AR234"/>
    </row>
    <row r="235" spans="6:44">
      <c r="T235" s="391"/>
      <c r="AF235" s="391"/>
      <c r="AR235"/>
    </row>
    <row r="236" spans="6:44">
      <c r="T236" s="391"/>
      <c r="AF236" s="391"/>
      <c r="AR236"/>
    </row>
    <row r="237" spans="6:44">
      <c r="T237" s="391"/>
      <c r="AF237" s="391"/>
      <c r="AR237"/>
    </row>
    <row r="238" spans="6:44">
      <c r="T238" s="391"/>
      <c r="AF238" s="391"/>
      <c r="AR238"/>
    </row>
    <row r="239" spans="6:44">
      <c r="T239" s="391"/>
      <c r="AF239" s="391"/>
      <c r="AR239"/>
    </row>
    <row r="240" spans="6:44">
      <c r="T240" s="391"/>
      <c r="AF240" s="391"/>
      <c r="AR240"/>
    </row>
    <row r="241" spans="20:44">
      <c r="T241" s="391"/>
      <c r="AF241" s="391"/>
      <c r="AR241"/>
    </row>
    <row r="242" spans="20:44">
      <c r="T242" s="391"/>
      <c r="AF242" s="391"/>
      <c r="AR242"/>
    </row>
    <row r="243" spans="20:44">
      <c r="T243" s="391"/>
      <c r="AF243" s="391"/>
      <c r="AR243"/>
    </row>
    <row r="244" spans="20:44">
      <c r="T244" s="391"/>
      <c r="AF244" s="391"/>
      <c r="AR244"/>
    </row>
    <row r="245" spans="20:44">
      <c r="T245" s="391"/>
      <c r="AF245" s="391"/>
      <c r="AR245"/>
    </row>
    <row r="246" spans="20:44">
      <c r="T246" s="391"/>
      <c r="AF246" s="391"/>
      <c r="AR246"/>
    </row>
    <row r="247" spans="20:44">
      <c r="T247" s="391"/>
      <c r="AF247" s="391"/>
      <c r="AR247"/>
    </row>
    <row r="248" spans="20:44">
      <c r="T248" s="391"/>
      <c r="AF248" s="391"/>
      <c r="AR248"/>
    </row>
    <row r="249" spans="20:44">
      <c r="T249" s="391"/>
      <c r="AF249" s="391"/>
      <c r="AR249"/>
    </row>
    <row r="250" spans="20:44">
      <c r="T250" s="391"/>
      <c r="AF250" s="391"/>
      <c r="AR250"/>
    </row>
    <row r="251" spans="20:44">
      <c r="T251" s="391"/>
      <c r="AF251" s="391"/>
      <c r="AR251"/>
    </row>
    <row r="252" spans="20:44">
      <c r="T252" s="391"/>
      <c r="AF252" s="391"/>
      <c r="AR252"/>
    </row>
    <row r="253" spans="20:44">
      <c r="T253" s="391"/>
      <c r="AF253" s="391"/>
      <c r="AR253"/>
    </row>
    <row r="254" spans="20:44">
      <c r="T254" s="391"/>
      <c r="AF254" s="391"/>
      <c r="AR254"/>
    </row>
    <row r="255" spans="20:44">
      <c r="T255" s="391"/>
      <c r="AF255" s="391"/>
      <c r="AR255"/>
    </row>
    <row r="256" spans="20:44">
      <c r="T256" s="391"/>
      <c r="AF256" s="391"/>
      <c r="AR256"/>
    </row>
    <row r="257" spans="20:44">
      <c r="T257" s="391"/>
      <c r="AF257" s="391"/>
      <c r="AR257"/>
    </row>
    <row r="258" spans="20:44">
      <c r="T258" s="391"/>
      <c r="AF258" s="391"/>
      <c r="AR258"/>
    </row>
    <row r="259" spans="20:44">
      <c r="T259" s="391"/>
      <c r="AF259" s="391"/>
      <c r="AR259"/>
    </row>
    <row r="260" spans="20:44">
      <c r="T260" s="391"/>
      <c r="AF260" s="391"/>
      <c r="AR260"/>
    </row>
    <row r="261" spans="20:44">
      <c r="T261" s="391"/>
      <c r="AF261" s="391"/>
      <c r="AR261"/>
    </row>
    <row r="262" spans="20:44">
      <c r="T262" s="391"/>
      <c r="AF262" s="391"/>
      <c r="AR262"/>
    </row>
    <row r="263" spans="20:44">
      <c r="T263" s="391"/>
      <c r="AF263" s="391"/>
      <c r="AR263"/>
    </row>
    <row r="264" spans="20:44">
      <c r="T264" s="391"/>
      <c r="AF264" s="391"/>
      <c r="AR264"/>
    </row>
    <row r="265" spans="20:44">
      <c r="T265" s="391"/>
      <c r="AF265" s="391"/>
      <c r="AR265"/>
    </row>
    <row r="266" spans="20:44">
      <c r="T266" s="391"/>
      <c r="AF266" s="391"/>
      <c r="AR266"/>
    </row>
    <row r="267" spans="20:44">
      <c r="T267" s="391"/>
      <c r="AF267" s="391"/>
      <c r="AR267"/>
    </row>
    <row r="268" spans="20:44">
      <c r="T268" s="391"/>
      <c r="AF268" s="391"/>
      <c r="AR268"/>
    </row>
    <row r="269" spans="20:44">
      <c r="T269" s="391"/>
      <c r="AF269" s="391"/>
      <c r="AR269"/>
    </row>
    <row r="270" spans="20:44">
      <c r="T270" s="391"/>
      <c r="AF270" s="391"/>
      <c r="AR270"/>
    </row>
    <row r="271" spans="20:44">
      <c r="T271" s="391"/>
      <c r="AF271" s="391"/>
      <c r="AR271"/>
    </row>
    <row r="272" spans="20:44">
      <c r="T272" s="391"/>
      <c r="AF272" s="391"/>
      <c r="AR272"/>
    </row>
    <row r="273" spans="20:44">
      <c r="T273" s="391"/>
      <c r="AF273" s="391"/>
      <c r="AR273"/>
    </row>
    <row r="274" spans="20:44">
      <c r="T274" s="391"/>
      <c r="AF274" s="391"/>
      <c r="AR274"/>
    </row>
    <row r="275" spans="20:44">
      <c r="T275" s="391"/>
      <c r="AF275" s="391"/>
      <c r="AR275"/>
    </row>
    <row r="276" spans="20:44">
      <c r="T276" s="391"/>
      <c r="AF276" s="391"/>
      <c r="AR276"/>
    </row>
    <row r="277" spans="20:44">
      <c r="T277" s="391"/>
      <c r="AF277" s="391"/>
      <c r="AR277"/>
    </row>
    <row r="278" spans="20:44">
      <c r="T278" s="391"/>
      <c r="AF278" s="391"/>
      <c r="AR278"/>
    </row>
    <row r="279" spans="20:44">
      <c r="T279" s="391"/>
      <c r="AF279" s="391"/>
      <c r="AR279"/>
    </row>
    <row r="280" spans="20:44">
      <c r="T280" s="391"/>
      <c r="AF280" s="391"/>
      <c r="AR280"/>
    </row>
    <row r="281" spans="20:44">
      <c r="T281" s="391"/>
      <c r="AF281" s="391"/>
      <c r="AR281"/>
    </row>
    <row r="282" spans="20:44">
      <c r="T282" s="391"/>
      <c r="AF282" s="391"/>
      <c r="AR282"/>
    </row>
    <row r="283" spans="20:44">
      <c r="T283" s="391"/>
      <c r="AF283" s="391"/>
      <c r="AR283"/>
    </row>
    <row r="284" spans="20:44">
      <c r="T284" s="391"/>
      <c r="AF284" s="391"/>
      <c r="AR284"/>
    </row>
    <row r="285" spans="20:44">
      <c r="T285" s="391"/>
      <c r="AF285" s="391"/>
      <c r="AR285"/>
    </row>
    <row r="286" spans="20:44">
      <c r="T286" s="391"/>
      <c r="AF286" s="391"/>
      <c r="AR286"/>
    </row>
    <row r="287" spans="20:44">
      <c r="T287" s="391"/>
      <c r="AF287" s="391"/>
      <c r="AR287"/>
    </row>
    <row r="288" spans="20:44">
      <c r="T288" s="391"/>
      <c r="AF288" s="391"/>
      <c r="AR288"/>
    </row>
    <row r="289" spans="20:44">
      <c r="T289" s="391"/>
      <c r="AF289" s="391"/>
      <c r="AR289"/>
    </row>
    <row r="290" spans="20:44">
      <c r="T290" s="391"/>
      <c r="AF290" s="391"/>
      <c r="AR290"/>
    </row>
    <row r="291" spans="20:44">
      <c r="T291" s="391"/>
      <c r="AF291" s="391"/>
      <c r="AR291"/>
    </row>
    <row r="292" spans="20:44">
      <c r="T292" s="391"/>
      <c r="AF292" s="391"/>
      <c r="AR292"/>
    </row>
    <row r="293" spans="20:44">
      <c r="T293" s="391"/>
      <c r="AF293" s="391"/>
      <c r="AR293"/>
    </row>
    <row r="294" spans="20:44">
      <c r="T294" s="391"/>
      <c r="AF294" s="391"/>
      <c r="AR294"/>
    </row>
    <row r="295" spans="20:44">
      <c r="T295" s="391"/>
      <c r="AF295" s="391"/>
      <c r="AR295"/>
    </row>
    <row r="296" spans="20:44">
      <c r="T296" s="391"/>
      <c r="AF296" s="391"/>
      <c r="AR296"/>
    </row>
    <row r="297" spans="20:44">
      <c r="T297" s="391"/>
      <c r="AF297" s="391"/>
      <c r="AR297"/>
    </row>
    <row r="298" spans="20:44">
      <c r="T298" s="391"/>
      <c r="AF298" s="391"/>
      <c r="AR298"/>
    </row>
    <row r="299" spans="20:44">
      <c r="T299" s="391"/>
      <c r="AF299" s="391"/>
      <c r="AR299"/>
    </row>
    <row r="300" spans="20:44">
      <c r="T300" s="391"/>
      <c r="AF300" s="391"/>
      <c r="AR300"/>
    </row>
    <row r="301" spans="20:44">
      <c r="T301" s="391"/>
      <c r="AF301" s="391"/>
      <c r="AR301"/>
    </row>
    <row r="302" spans="20:44">
      <c r="T302" s="391"/>
      <c r="AF302" s="391"/>
      <c r="AR302"/>
    </row>
    <row r="303" spans="20:44">
      <c r="T303" s="391"/>
      <c r="AF303" s="391"/>
      <c r="AR303"/>
    </row>
    <row r="304" spans="20:44">
      <c r="T304" s="391"/>
      <c r="AF304" s="391"/>
      <c r="AR304"/>
    </row>
    <row r="305" spans="20:44">
      <c r="T305" s="391"/>
      <c r="AF305" s="391"/>
      <c r="AR305"/>
    </row>
    <row r="306" spans="20:44">
      <c r="T306" s="391"/>
      <c r="AF306" s="391"/>
      <c r="AR306"/>
    </row>
    <row r="307" spans="20:44">
      <c r="T307" s="391"/>
      <c r="AF307" s="391"/>
      <c r="AR307"/>
    </row>
    <row r="308" spans="20:44">
      <c r="T308" s="391"/>
      <c r="AF308" s="391"/>
      <c r="AR308"/>
    </row>
    <row r="309" spans="20:44">
      <c r="T309" s="391"/>
      <c r="AF309" s="391"/>
      <c r="AR309"/>
    </row>
    <row r="310" spans="20:44">
      <c r="T310" s="391"/>
      <c r="AF310" s="391"/>
      <c r="AR310"/>
    </row>
    <row r="311" spans="20:44">
      <c r="T311" s="391"/>
      <c r="AF311" s="391"/>
      <c r="AR311"/>
    </row>
    <row r="312" spans="20:44">
      <c r="T312" s="391"/>
      <c r="AF312" s="391"/>
      <c r="AR312"/>
    </row>
    <row r="313" spans="20:44">
      <c r="T313" s="391"/>
      <c r="AF313" s="391"/>
      <c r="AR313"/>
    </row>
    <row r="314" spans="20:44">
      <c r="T314" s="391"/>
      <c r="AF314" s="391"/>
      <c r="AR314"/>
    </row>
    <row r="315" spans="20:44">
      <c r="T315" s="391"/>
      <c r="AF315" s="391"/>
      <c r="AR315"/>
    </row>
    <row r="316" spans="20:44">
      <c r="T316" s="391"/>
      <c r="AF316" s="391"/>
      <c r="AR316"/>
    </row>
    <row r="317" spans="20:44">
      <c r="T317" s="391"/>
      <c r="AF317" s="391"/>
      <c r="AR317"/>
    </row>
    <row r="318" spans="20:44">
      <c r="T318" s="391"/>
      <c r="AF318" s="391"/>
      <c r="AR318"/>
    </row>
    <row r="319" spans="20:44">
      <c r="T319" s="391"/>
      <c r="AF319" s="391"/>
      <c r="AR319"/>
    </row>
    <row r="320" spans="20:44">
      <c r="T320" s="391"/>
      <c r="AF320" s="391"/>
      <c r="AR320"/>
    </row>
    <row r="321" spans="20:44">
      <c r="T321" s="391"/>
      <c r="AF321" s="391"/>
      <c r="AR321"/>
    </row>
    <row r="322" spans="20:44">
      <c r="T322" s="391"/>
      <c r="AF322" s="391"/>
      <c r="AR322"/>
    </row>
    <row r="323" spans="20:44">
      <c r="T323" s="391"/>
      <c r="AF323" s="391"/>
      <c r="AR323"/>
    </row>
    <row r="324" spans="20:44">
      <c r="T324" s="391"/>
      <c r="AF324" s="391"/>
      <c r="AR324"/>
    </row>
    <row r="325" spans="20:44">
      <c r="T325" s="391"/>
      <c r="AF325" s="391"/>
      <c r="AR325"/>
    </row>
    <row r="326" spans="20:44">
      <c r="T326" s="391"/>
      <c r="AF326" s="391"/>
      <c r="AR326"/>
    </row>
    <row r="327" spans="20:44">
      <c r="T327" s="391"/>
      <c r="AF327" s="391"/>
      <c r="AR327"/>
    </row>
    <row r="328" spans="20:44">
      <c r="T328" s="391"/>
      <c r="AF328" s="391"/>
      <c r="AR328"/>
    </row>
    <row r="329" spans="20:44">
      <c r="T329" s="391"/>
      <c r="AF329" s="391"/>
      <c r="AR329"/>
    </row>
    <row r="330" spans="20:44">
      <c r="T330" s="391"/>
      <c r="AF330" s="391"/>
      <c r="AR330"/>
    </row>
    <row r="331" spans="20:44">
      <c r="T331" s="391"/>
      <c r="AF331" s="391"/>
      <c r="AR331"/>
    </row>
    <row r="332" spans="20:44">
      <c r="T332" s="391"/>
      <c r="AF332" s="391"/>
      <c r="AR332"/>
    </row>
    <row r="333" spans="20:44">
      <c r="T333" s="391"/>
      <c r="AF333" s="391"/>
      <c r="AR333"/>
    </row>
    <row r="334" spans="20:44">
      <c r="T334" s="391"/>
      <c r="AF334" s="391"/>
      <c r="AR334"/>
    </row>
    <row r="335" spans="20:44">
      <c r="T335" s="391"/>
      <c r="AF335" s="391"/>
      <c r="AR335"/>
    </row>
    <row r="336" spans="20:44">
      <c r="T336" s="391"/>
      <c r="AF336" s="391"/>
      <c r="AR336"/>
    </row>
    <row r="337" spans="20:44">
      <c r="T337" s="391"/>
      <c r="AF337" s="391"/>
      <c r="AR337"/>
    </row>
    <row r="338" spans="20:44">
      <c r="T338" s="391"/>
      <c r="AF338" s="391"/>
      <c r="AR338"/>
    </row>
    <row r="339" spans="20:44">
      <c r="T339" s="391"/>
      <c r="AF339" s="391"/>
      <c r="AR339"/>
    </row>
    <row r="340" spans="20:44">
      <c r="T340" s="391"/>
      <c r="AF340" s="391"/>
      <c r="AR340"/>
    </row>
    <row r="341" spans="20:44">
      <c r="T341" s="391"/>
      <c r="AF341" s="391"/>
      <c r="AR341"/>
    </row>
    <row r="342" spans="20:44">
      <c r="T342" s="391"/>
      <c r="AF342" s="391"/>
      <c r="AR342"/>
    </row>
    <row r="343" spans="20:44">
      <c r="T343" s="391"/>
      <c r="AF343" s="391"/>
      <c r="AR343"/>
    </row>
    <row r="344" spans="20:44">
      <c r="T344" s="391"/>
      <c r="AF344" s="391"/>
      <c r="AR344"/>
    </row>
    <row r="345" spans="20:44">
      <c r="T345" s="391"/>
      <c r="AF345" s="391"/>
      <c r="AR345"/>
    </row>
    <row r="346" spans="20:44">
      <c r="T346" s="391"/>
      <c r="AF346" s="391"/>
      <c r="AR346"/>
    </row>
    <row r="347" spans="20:44">
      <c r="T347" s="391"/>
      <c r="AF347" s="391"/>
      <c r="AR347"/>
    </row>
    <row r="348" spans="20:44">
      <c r="T348" s="391"/>
      <c r="AF348" s="391"/>
      <c r="AR348"/>
    </row>
    <row r="349" spans="20:44">
      <c r="T349" s="391"/>
      <c r="AF349" s="391"/>
      <c r="AR349"/>
    </row>
    <row r="350" spans="20:44">
      <c r="T350" s="391"/>
      <c r="AF350" s="391"/>
      <c r="AR350"/>
    </row>
    <row r="351" spans="20:44">
      <c r="T351" s="391"/>
      <c r="AF351" s="391"/>
      <c r="AR351"/>
    </row>
    <row r="352" spans="20:44">
      <c r="T352" s="391"/>
      <c r="AF352" s="391"/>
      <c r="AR352"/>
    </row>
    <row r="353" spans="20:44">
      <c r="T353" s="391"/>
      <c r="AF353" s="391"/>
      <c r="AR353"/>
    </row>
    <row r="354" spans="20:44">
      <c r="T354" s="391"/>
      <c r="AF354" s="391"/>
      <c r="AR354"/>
    </row>
    <row r="355" spans="20:44">
      <c r="T355" s="391"/>
      <c r="AF355" s="391"/>
      <c r="AR355"/>
    </row>
    <row r="356" spans="20:44">
      <c r="T356" s="391"/>
      <c r="AF356" s="391"/>
      <c r="AR356"/>
    </row>
    <row r="357" spans="20:44">
      <c r="T357" s="391"/>
      <c r="AF357" s="391"/>
      <c r="AR357"/>
    </row>
    <row r="358" spans="20:44">
      <c r="T358" s="391"/>
      <c r="AF358" s="391"/>
      <c r="AR358"/>
    </row>
    <row r="359" spans="20:44">
      <c r="T359" s="391"/>
      <c r="AF359" s="391"/>
      <c r="AR359"/>
    </row>
    <row r="360" spans="20:44">
      <c r="T360" s="391"/>
      <c r="AF360" s="391"/>
      <c r="AR360"/>
    </row>
    <row r="361" spans="20:44">
      <c r="T361" s="391"/>
      <c r="AF361" s="391"/>
      <c r="AR361"/>
    </row>
    <row r="362" spans="20:44">
      <c r="T362" s="391"/>
      <c r="AF362" s="391"/>
      <c r="AR362"/>
    </row>
    <row r="363" spans="20:44">
      <c r="T363" s="391"/>
      <c r="AF363" s="391"/>
      <c r="AR363"/>
    </row>
    <row r="364" spans="20:44">
      <c r="T364" s="391"/>
      <c r="AF364" s="391"/>
      <c r="AR364"/>
    </row>
    <row r="365" spans="20:44">
      <c r="T365" s="391"/>
      <c r="AF365" s="391"/>
      <c r="AR365"/>
    </row>
    <row r="366" spans="20:44">
      <c r="T366" s="391"/>
      <c r="AF366" s="391"/>
      <c r="AR366"/>
    </row>
    <row r="367" spans="20:44">
      <c r="T367" s="391"/>
      <c r="AF367" s="391"/>
      <c r="AR367"/>
    </row>
    <row r="368" spans="20:44">
      <c r="T368" s="391"/>
      <c r="AF368" s="391"/>
      <c r="AR368"/>
    </row>
    <row r="369" spans="20:44">
      <c r="T369" s="391"/>
      <c r="AF369" s="391"/>
      <c r="AR369"/>
    </row>
    <row r="370" spans="20:44">
      <c r="T370" s="391"/>
      <c r="AF370" s="391"/>
      <c r="AR370"/>
    </row>
    <row r="371" spans="20:44">
      <c r="T371" s="391"/>
      <c r="AF371" s="391"/>
      <c r="AR371"/>
    </row>
    <row r="372" spans="20:44">
      <c r="T372" s="391"/>
      <c r="AF372" s="391"/>
      <c r="AR372"/>
    </row>
    <row r="373" spans="20:44">
      <c r="T373" s="391"/>
      <c r="AF373" s="391"/>
      <c r="AR373"/>
    </row>
    <row r="374" spans="20:44">
      <c r="T374" s="391"/>
      <c r="AF374" s="391"/>
      <c r="AR374"/>
    </row>
    <row r="375" spans="20:44">
      <c r="T375" s="391"/>
      <c r="AF375" s="391"/>
      <c r="AR375"/>
    </row>
    <row r="376" spans="20:44">
      <c r="T376" s="391"/>
      <c r="AF376" s="391"/>
      <c r="AR376"/>
    </row>
    <row r="377" spans="20:44">
      <c r="T377" s="391"/>
      <c r="AF377" s="391"/>
      <c r="AR377"/>
    </row>
    <row r="378" spans="20:44">
      <c r="T378" s="391"/>
      <c r="AF378" s="391"/>
      <c r="AR378"/>
    </row>
    <row r="379" spans="20:44">
      <c r="T379" s="391"/>
      <c r="AF379" s="391"/>
      <c r="AR379"/>
    </row>
    <row r="380" spans="20:44">
      <c r="T380" s="391"/>
      <c r="AF380" s="391"/>
      <c r="AR380"/>
    </row>
    <row r="381" spans="20:44">
      <c r="T381" s="391"/>
      <c r="AF381" s="391"/>
      <c r="AR381"/>
    </row>
    <row r="382" spans="20:44">
      <c r="T382" s="391"/>
      <c r="AF382" s="391"/>
      <c r="AR382"/>
    </row>
    <row r="383" spans="20:44">
      <c r="T383" s="391"/>
      <c r="AF383" s="391"/>
      <c r="AR383"/>
    </row>
    <row r="384" spans="20:44">
      <c r="T384" s="391"/>
      <c r="AF384" s="391"/>
      <c r="AR384"/>
    </row>
    <row r="385" spans="20:44">
      <c r="T385" s="391"/>
      <c r="AF385" s="391"/>
      <c r="AR385"/>
    </row>
    <row r="386" spans="20:44">
      <c r="T386" s="391"/>
      <c r="AF386" s="391"/>
      <c r="AR386"/>
    </row>
    <row r="387" spans="20:44">
      <c r="T387" s="391"/>
      <c r="AF387" s="391"/>
      <c r="AR387"/>
    </row>
    <row r="388" spans="20:44">
      <c r="T388" s="391"/>
      <c r="AF388" s="391"/>
      <c r="AR388"/>
    </row>
    <row r="389" spans="20:44">
      <c r="T389" s="391"/>
      <c r="AF389" s="391"/>
      <c r="AR389"/>
    </row>
    <row r="390" spans="20:44">
      <c r="T390" s="391"/>
      <c r="AF390" s="391"/>
      <c r="AR390"/>
    </row>
    <row r="391" spans="20:44">
      <c r="T391" s="391"/>
      <c r="AF391" s="391"/>
      <c r="AR391"/>
    </row>
    <row r="392" spans="20:44">
      <c r="T392" s="391"/>
      <c r="AF392" s="391"/>
      <c r="AR392"/>
    </row>
    <row r="393" spans="20:44">
      <c r="T393" s="391"/>
      <c r="AF393" s="391"/>
      <c r="AR393"/>
    </row>
    <row r="394" spans="20:44">
      <c r="T394" s="391"/>
      <c r="AF394" s="391"/>
      <c r="AR394"/>
    </row>
    <row r="395" spans="20:44">
      <c r="T395" s="391"/>
      <c r="AF395" s="391"/>
      <c r="AR395"/>
    </row>
    <row r="396" spans="20:44">
      <c r="T396" s="391"/>
      <c r="AF396" s="391"/>
      <c r="AR396"/>
    </row>
    <row r="397" spans="20:44">
      <c r="T397" s="391"/>
      <c r="AF397" s="391"/>
      <c r="AR397"/>
    </row>
    <row r="398" spans="20:44">
      <c r="T398" s="391"/>
      <c r="AF398" s="391"/>
      <c r="AR398"/>
    </row>
    <row r="399" spans="20:44">
      <c r="T399" s="391"/>
      <c r="AF399" s="391"/>
      <c r="AR399"/>
    </row>
    <row r="400" spans="20:44">
      <c r="T400" s="391"/>
      <c r="AF400" s="391"/>
      <c r="AR400"/>
    </row>
    <row r="401" spans="20:44">
      <c r="T401" s="391"/>
      <c r="AF401" s="391"/>
      <c r="AR401"/>
    </row>
    <row r="402" spans="20:44">
      <c r="T402" s="391"/>
      <c r="AF402" s="391"/>
      <c r="AR402"/>
    </row>
    <row r="403" spans="20:44">
      <c r="T403" s="391"/>
      <c r="AF403" s="391"/>
      <c r="AR403"/>
    </row>
    <row r="404" spans="20:44">
      <c r="T404" s="391"/>
      <c r="AF404" s="391"/>
      <c r="AR404"/>
    </row>
    <row r="405" spans="20:44">
      <c r="T405" s="391"/>
      <c r="AF405" s="391"/>
      <c r="AR405"/>
    </row>
    <row r="406" spans="20:44">
      <c r="T406" s="391"/>
      <c r="AF406" s="391"/>
      <c r="AR406"/>
    </row>
    <row r="407" spans="20:44">
      <c r="T407" s="391"/>
      <c r="AF407" s="391"/>
      <c r="AR407"/>
    </row>
    <row r="408" spans="20:44">
      <c r="T408" s="391"/>
      <c r="AF408" s="391"/>
      <c r="AR408"/>
    </row>
    <row r="409" spans="20:44">
      <c r="T409" s="391"/>
      <c r="AF409" s="391"/>
      <c r="AR409"/>
    </row>
    <row r="410" spans="20:44">
      <c r="T410" s="391"/>
      <c r="AF410" s="391"/>
      <c r="AR410"/>
    </row>
    <row r="411" spans="20:44">
      <c r="T411" s="391"/>
      <c r="AF411" s="391"/>
      <c r="AR411"/>
    </row>
    <row r="412" spans="20:44">
      <c r="T412" s="391"/>
      <c r="AF412" s="391"/>
      <c r="AR412"/>
    </row>
    <row r="413" spans="20:44">
      <c r="T413" s="391"/>
      <c r="AF413" s="391"/>
      <c r="AR413"/>
    </row>
    <row r="414" spans="20:44">
      <c r="T414" s="391"/>
      <c r="AF414" s="391"/>
      <c r="AR414"/>
    </row>
    <row r="415" spans="20:44">
      <c r="T415" s="391"/>
      <c r="AF415" s="391"/>
      <c r="AR415"/>
    </row>
    <row r="416" spans="20:44">
      <c r="T416" s="391"/>
      <c r="AF416" s="391"/>
      <c r="AR416"/>
    </row>
    <row r="417" spans="20:44">
      <c r="T417" s="391"/>
      <c r="AF417" s="391"/>
      <c r="AR417"/>
    </row>
    <row r="418" spans="20:44">
      <c r="T418" s="391"/>
      <c r="AF418" s="391"/>
      <c r="AR418"/>
    </row>
    <row r="419" spans="20:44">
      <c r="T419" s="391"/>
      <c r="AF419" s="391"/>
      <c r="AR419"/>
    </row>
    <row r="420" spans="20:44">
      <c r="T420" s="391"/>
      <c r="AF420" s="391"/>
      <c r="AR420"/>
    </row>
    <row r="421" spans="20:44">
      <c r="T421" s="391"/>
      <c r="AF421" s="391"/>
      <c r="AR421"/>
    </row>
    <row r="422" spans="20:44">
      <c r="T422" s="391"/>
      <c r="AF422" s="391"/>
      <c r="AR422"/>
    </row>
    <row r="423" spans="20:44">
      <c r="T423" s="391"/>
      <c r="AF423" s="391"/>
      <c r="AR423"/>
    </row>
    <row r="424" spans="20:44">
      <c r="T424" s="391"/>
      <c r="AF424" s="391"/>
      <c r="AR424"/>
    </row>
    <row r="425" spans="20:44">
      <c r="T425" s="391"/>
      <c r="AF425" s="391"/>
      <c r="AR425"/>
    </row>
    <row r="426" spans="20:44">
      <c r="T426" s="391"/>
      <c r="AF426" s="391"/>
      <c r="AR426"/>
    </row>
    <row r="427" spans="20:44">
      <c r="T427" s="391"/>
      <c r="AF427" s="391"/>
      <c r="AR427"/>
    </row>
    <row r="428" spans="20:44">
      <c r="T428" s="391"/>
      <c r="AF428" s="391"/>
      <c r="AR428"/>
    </row>
    <row r="429" spans="20:44">
      <c r="T429" s="391"/>
      <c r="AF429" s="391"/>
      <c r="AR429"/>
    </row>
    <row r="430" spans="20:44">
      <c r="T430" s="391"/>
      <c r="AF430" s="391"/>
      <c r="AR430"/>
    </row>
    <row r="431" spans="20:44">
      <c r="T431" s="391"/>
      <c r="AF431" s="391"/>
      <c r="AR431"/>
    </row>
    <row r="432" spans="20:44">
      <c r="T432" s="391"/>
      <c r="AF432" s="391"/>
      <c r="AR432"/>
    </row>
    <row r="433" spans="20:44">
      <c r="T433" s="391"/>
      <c r="AF433" s="391"/>
      <c r="AR433"/>
    </row>
    <row r="434" spans="20:44">
      <c r="T434" s="391"/>
      <c r="AF434" s="391"/>
      <c r="AR434"/>
    </row>
    <row r="435" spans="20:44">
      <c r="T435" s="391"/>
      <c r="AF435" s="391"/>
      <c r="AR435"/>
    </row>
    <row r="436" spans="20:44">
      <c r="T436" s="391"/>
      <c r="AF436" s="391"/>
      <c r="AR436"/>
    </row>
    <row r="437" spans="20:44">
      <c r="T437" s="391"/>
      <c r="AF437" s="391"/>
      <c r="AR437"/>
    </row>
    <row r="438" spans="20:44">
      <c r="T438" s="391"/>
      <c r="AF438" s="391"/>
      <c r="AR438"/>
    </row>
    <row r="439" spans="20:44">
      <c r="T439" s="391"/>
      <c r="AF439" s="391"/>
      <c r="AR439"/>
    </row>
    <row r="440" spans="20:44">
      <c r="T440" s="391"/>
      <c r="AF440" s="391"/>
      <c r="AR440"/>
    </row>
    <row r="441" spans="20:44">
      <c r="T441" s="391"/>
      <c r="AF441" s="391"/>
      <c r="AR441"/>
    </row>
    <row r="442" spans="20:44">
      <c r="T442" s="391"/>
      <c r="AF442" s="391"/>
      <c r="AR442"/>
    </row>
    <row r="443" spans="20:44">
      <c r="T443" s="391"/>
      <c r="AF443" s="391"/>
      <c r="AR443"/>
    </row>
    <row r="444" spans="20:44">
      <c r="T444" s="391"/>
      <c r="AF444" s="391"/>
      <c r="AR444"/>
    </row>
    <row r="445" spans="20:44">
      <c r="T445" s="391"/>
      <c r="AF445" s="391"/>
      <c r="AR445"/>
    </row>
    <row r="446" spans="20:44">
      <c r="T446" s="391"/>
      <c r="AF446" s="391"/>
      <c r="AR446"/>
    </row>
    <row r="447" spans="20:44">
      <c r="T447" s="391"/>
      <c r="AF447" s="391"/>
      <c r="AR447"/>
    </row>
    <row r="448" spans="20:44">
      <c r="T448" s="391"/>
      <c r="AF448" s="391"/>
      <c r="AR448"/>
    </row>
    <row r="449" spans="20:44">
      <c r="T449" s="391"/>
      <c r="AF449" s="391"/>
      <c r="AR449"/>
    </row>
    <row r="450" spans="20:44">
      <c r="T450" s="391"/>
      <c r="AF450" s="391"/>
      <c r="AR450"/>
    </row>
    <row r="451" spans="20:44">
      <c r="T451" s="391"/>
      <c r="AF451" s="391"/>
      <c r="AR451"/>
    </row>
    <row r="452" spans="20:44">
      <c r="T452" s="391"/>
      <c r="AF452" s="391"/>
      <c r="AR452"/>
    </row>
    <row r="453" spans="20:44">
      <c r="T453" s="391"/>
      <c r="AF453" s="391"/>
      <c r="AR453"/>
    </row>
    <row r="454" spans="20:44">
      <c r="T454" s="391"/>
      <c r="AF454" s="391"/>
      <c r="AR454"/>
    </row>
    <row r="455" spans="20:44">
      <c r="T455" s="391"/>
      <c r="AF455" s="391"/>
      <c r="AR455"/>
    </row>
    <row r="456" spans="20:44">
      <c r="T456" s="391"/>
      <c r="AF456" s="391"/>
      <c r="AR456"/>
    </row>
    <row r="457" spans="20:44">
      <c r="T457" s="391"/>
      <c r="AF457" s="391"/>
      <c r="AR457"/>
    </row>
    <row r="458" spans="20:44">
      <c r="T458" s="391"/>
      <c r="AF458" s="391"/>
      <c r="AR458"/>
    </row>
    <row r="459" spans="20:44">
      <c r="T459" s="391"/>
      <c r="AF459" s="391"/>
      <c r="AR459"/>
    </row>
    <row r="460" spans="20:44">
      <c r="T460" s="391"/>
      <c r="AF460" s="391"/>
      <c r="AR460"/>
    </row>
    <row r="461" spans="20:44">
      <c r="T461" s="391"/>
      <c r="AF461" s="391"/>
      <c r="AR461"/>
    </row>
    <row r="462" spans="20:44">
      <c r="T462" s="391"/>
      <c r="AF462" s="391"/>
      <c r="AR462"/>
    </row>
    <row r="463" spans="20:44">
      <c r="T463" s="391"/>
      <c r="AF463" s="391"/>
      <c r="AR463"/>
    </row>
    <row r="464" spans="20:44">
      <c r="T464" s="391"/>
      <c r="AF464" s="391"/>
      <c r="AR464"/>
    </row>
    <row r="465" spans="20:44">
      <c r="T465" s="391"/>
      <c r="AF465" s="391"/>
      <c r="AR465"/>
    </row>
    <row r="466" spans="20:44">
      <c r="T466" s="391"/>
      <c r="AF466" s="391"/>
      <c r="AR466"/>
    </row>
    <row r="467" spans="20:44">
      <c r="T467" s="391"/>
      <c r="AF467" s="391"/>
      <c r="AR467"/>
    </row>
    <row r="468" spans="20:44">
      <c r="T468" s="391"/>
      <c r="AF468" s="391"/>
      <c r="AR468"/>
    </row>
    <row r="469" spans="20:44">
      <c r="T469" s="391"/>
      <c r="AF469" s="391"/>
      <c r="AR469"/>
    </row>
    <row r="470" spans="20:44">
      <c r="T470" s="391"/>
      <c r="AF470" s="391"/>
      <c r="AR470"/>
    </row>
    <row r="471" spans="20:44">
      <c r="T471" s="391"/>
      <c r="AF471" s="391"/>
      <c r="AR471"/>
    </row>
    <row r="472" spans="20:44">
      <c r="T472" s="391"/>
      <c r="AF472" s="391"/>
      <c r="AR472"/>
    </row>
    <row r="473" spans="20:44">
      <c r="T473" s="391"/>
      <c r="AF473" s="391"/>
      <c r="AR473"/>
    </row>
    <row r="474" spans="20:44">
      <c r="T474" s="391"/>
      <c r="AF474" s="391"/>
      <c r="AR474"/>
    </row>
    <row r="475" spans="20:44">
      <c r="T475" s="391"/>
      <c r="AF475" s="391"/>
      <c r="AR475"/>
    </row>
    <row r="476" spans="20:44">
      <c r="T476" s="391"/>
      <c r="AF476" s="391"/>
      <c r="AR476"/>
    </row>
    <row r="477" spans="20:44">
      <c r="T477" s="391"/>
      <c r="AF477" s="391"/>
      <c r="AR477"/>
    </row>
    <row r="478" spans="20:44">
      <c r="T478" s="391"/>
      <c r="AF478" s="391"/>
      <c r="AR478"/>
    </row>
    <row r="479" spans="20:44">
      <c r="T479" s="391"/>
      <c r="AF479" s="391"/>
      <c r="AR479"/>
    </row>
    <row r="480" spans="20:44">
      <c r="T480" s="391"/>
      <c r="AF480" s="391"/>
      <c r="AR480"/>
    </row>
    <row r="481" spans="20:44">
      <c r="T481" s="391"/>
      <c r="AF481" s="391"/>
      <c r="AR481"/>
    </row>
    <row r="482" spans="20:44">
      <c r="T482" s="391"/>
      <c r="AF482" s="391"/>
      <c r="AR482"/>
    </row>
    <row r="483" spans="20:44">
      <c r="T483" s="391"/>
      <c r="AF483" s="391"/>
      <c r="AR483"/>
    </row>
    <row r="484" spans="20:44">
      <c r="T484" s="391"/>
      <c r="AF484" s="391"/>
      <c r="AR484"/>
    </row>
    <row r="485" spans="20:44">
      <c r="T485" s="391"/>
      <c r="AF485" s="391"/>
      <c r="AR485"/>
    </row>
    <row r="486" spans="20:44">
      <c r="T486" s="391"/>
      <c r="AF486" s="391"/>
      <c r="AR486"/>
    </row>
    <row r="487" spans="20:44">
      <c r="T487" s="391"/>
      <c r="AF487" s="391"/>
      <c r="AR487"/>
    </row>
    <row r="488" spans="20:44">
      <c r="T488" s="391"/>
      <c r="AF488" s="391"/>
      <c r="AR488"/>
    </row>
    <row r="489" spans="20:44">
      <c r="T489" s="391"/>
      <c r="AF489" s="391"/>
      <c r="AR489"/>
    </row>
    <row r="490" spans="20:44">
      <c r="T490" s="391"/>
      <c r="AF490" s="391"/>
      <c r="AR490"/>
    </row>
    <row r="491" spans="20:44">
      <c r="T491" s="391"/>
      <c r="AF491" s="391"/>
      <c r="AR491"/>
    </row>
    <row r="492" spans="20:44">
      <c r="T492" s="391"/>
      <c r="AF492" s="391"/>
      <c r="AR492"/>
    </row>
    <row r="493" spans="20:44">
      <c r="T493" s="391"/>
      <c r="AF493" s="391"/>
      <c r="AR493"/>
    </row>
    <row r="494" spans="20:44">
      <c r="T494" s="391"/>
      <c r="AF494" s="391"/>
      <c r="AR494"/>
    </row>
    <row r="495" spans="20:44">
      <c r="T495" s="391"/>
      <c r="AF495" s="391"/>
      <c r="AR495"/>
    </row>
    <row r="496" spans="20:44">
      <c r="T496" s="391"/>
      <c r="AF496" s="391"/>
      <c r="AR496"/>
    </row>
    <row r="497" spans="20:44">
      <c r="T497" s="391"/>
      <c r="AF497" s="391"/>
      <c r="AR497"/>
    </row>
    <row r="498" spans="20:44">
      <c r="T498" s="391"/>
      <c r="AF498" s="391"/>
      <c r="AR498"/>
    </row>
    <row r="499" spans="20:44">
      <c r="T499" s="391"/>
      <c r="AF499" s="391"/>
      <c r="AR499"/>
    </row>
    <row r="500" spans="20:44">
      <c r="T500" s="391"/>
      <c r="AF500" s="391"/>
      <c r="AR500"/>
    </row>
    <row r="501" spans="20:44">
      <c r="T501" s="391"/>
      <c r="AF501" s="391"/>
      <c r="AR501"/>
    </row>
    <row r="502" spans="20:44">
      <c r="T502" s="391"/>
      <c r="AF502" s="391"/>
      <c r="AR502"/>
    </row>
    <row r="503" spans="20:44">
      <c r="T503" s="391"/>
      <c r="AF503" s="391"/>
      <c r="AR503"/>
    </row>
    <row r="504" spans="20:44">
      <c r="T504" s="391"/>
      <c r="AF504" s="391"/>
      <c r="AR504"/>
    </row>
    <row r="505" spans="20:44">
      <c r="T505" s="391"/>
      <c r="AF505" s="391"/>
      <c r="AR505"/>
    </row>
    <row r="506" spans="20:44">
      <c r="T506" s="391"/>
      <c r="AF506" s="391"/>
      <c r="AR506"/>
    </row>
    <row r="507" spans="20:44">
      <c r="T507" s="391"/>
      <c r="AF507" s="391"/>
      <c r="AR507"/>
    </row>
    <row r="508" spans="20:44">
      <c r="T508" s="391"/>
      <c r="AF508" s="391"/>
      <c r="AR508"/>
    </row>
    <row r="509" spans="20:44">
      <c r="T509" s="391"/>
      <c r="AF509" s="391"/>
      <c r="AR509"/>
    </row>
    <row r="510" spans="20:44">
      <c r="T510" s="391"/>
      <c r="AF510" s="391"/>
      <c r="AR510"/>
    </row>
    <row r="511" spans="20:44">
      <c r="T511" s="391"/>
      <c r="AF511" s="391"/>
      <c r="AR511"/>
    </row>
    <row r="512" spans="20:44">
      <c r="T512" s="391"/>
      <c r="AF512" s="391"/>
      <c r="AR512"/>
    </row>
    <row r="513" spans="20:44">
      <c r="T513" s="391"/>
      <c r="AF513" s="391"/>
      <c r="AR513"/>
    </row>
    <row r="514" spans="20:44">
      <c r="T514" s="391"/>
      <c r="AF514" s="391"/>
      <c r="AR514"/>
    </row>
    <row r="515" spans="20:44">
      <c r="T515" s="391"/>
      <c r="AF515" s="391"/>
      <c r="AR515"/>
    </row>
    <row r="516" spans="20:44">
      <c r="T516" s="391"/>
      <c r="AF516" s="391"/>
      <c r="AR516"/>
    </row>
    <row r="517" spans="20:44">
      <c r="T517" s="391"/>
      <c r="AF517" s="391"/>
      <c r="AR517"/>
    </row>
    <row r="518" spans="20:44">
      <c r="T518" s="391"/>
      <c r="AF518" s="391"/>
      <c r="AR518"/>
    </row>
    <row r="519" spans="20:44">
      <c r="T519" s="391"/>
      <c r="AF519" s="391"/>
      <c r="AR519"/>
    </row>
    <row r="520" spans="20:44">
      <c r="T520" s="391"/>
      <c r="AF520" s="391"/>
      <c r="AR520"/>
    </row>
    <row r="521" spans="20:44">
      <c r="T521" s="391"/>
      <c r="AF521" s="391"/>
      <c r="AR521"/>
    </row>
    <row r="522" spans="20:44">
      <c r="T522" s="391"/>
      <c r="AF522" s="391"/>
      <c r="AR522"/>
    </row>
    <row r="523" spans="20:44">
      <c r="T523" s="391"/>
      <c r="AF523" s="391"/>
      <c r="AR523"/>
    </row>
    <row r="524" spans="20:44">
      <c r="T524" s="391"/>
      <c r="AF524" s="391"/>
      <c r="AR524"/>
    </row>
    <row r="525" spans="20:44">
      <c r="T525" s="391"/>
      <c r="AF525" s="391"/>
      <c r="AR525"/>
    </row>
    <row r="526" spans="20:44">
      <c r="T526" s="391"/>
      <c r="AF526" s="391"/>
      <c r="AR526"/>
    </row>
    <row r="527" spans="20:44">
      <c r="T527" s="391"/>
      <c r="AF527" s="391"/>
      <c r="AR527"/>
    </row>
    <row r="528" spans="20:44">
      <c r="T528" s="391"/>
      <c r="AF528" s="391"/>
      <c r="AR528"/>
    </row>
    <row r="529" spans="20:44">
      <c r="T529" s="391"/>
      <c r="AF529" s="391"/>
      <c r="AR529"/>
    </row>
    <row r="530" spans="20:44">
      <c r="T530" s="391"/>
      <c r="AF530" s="391"/>
      <c r="AR530"/>
    </row>
    <row r="531" spans="20:44">
      <c r="T531" s="391"/>
      <c r="AF531" s="391"/>
      <c r="AR531"/>
    </row>
    <row r="532" spans="20:44">
      <c r="T532" s="391"/>
      <c r="AF532" s="391"/>
      <c r="AR532"/>
    </row>
    <row r="533" spans="20:44">
      <c r="T533" s="391"/>
      <c r="AF533" s="391"/>
      <c r="AR533"/>
    </row>
    <row r="534" spans="20:44">
      <c r="T534" s="391"/>
      <c r="AF534" s="391"/>
      <c r="AR534"/>
    </row>
    <row r="535" spans="20:44">
      <c r="T535" s="391"/>
      <c r="AF535" s="391"/>
      <c r="AR535"/>
    </row>
    <row r="536" spans="20:44">
      <c r="T536" s="391"/>
      <c r="AF536" s="391"/>
      <c r="AR536"/>
    </row>
    <row r="537" spans="20:44">
      <c r="T537" s="391"/>
      <c r="AF537" s="391"/>
      <c r="AR537"/>
    </row>
    <row r="538" spans="20:44">
      <c r="T538" s="391"/>
      <c r="AF538" s="391"/>
      <c r="AR538"/>
    </row>
    <row r="539" spans="20:44">
      <c r="T539" s="391"/>
      <c r="AF539" s="391"/>
      <c r="AR539"/>
    </row>
    <row r="540" spans="20:44">
      <c r="T540" s="391"/>
      <c r="AF540" s="391"/>
      <c r="AR540"/>
    </row>
    <row r="541" spans="20:44">
      <c r="T541" s="391"/>
      <c r="AF541" s="391"/>
      <c r="AR541"/>
    </row>
    <row r="542" spans="20:44">
      <c r="T542" s="391"/>
      <c r="AF542" s="391"/>
      <c r="AR542"/>
    </row>
    <row r="543" spans="20:44">
      <c r="T543" s="391"/>
      <c r="AF543" s="391"/>
      <c r="AR543"/>
    </row>
    <row r="544" spans="20:44">
      <c r="T544" s="391"/>
      <c r="AF544" s="391"/>
      <c r="AR544"/>
    </row>
    <row r="545" spans="20:44">
      <c r="T545" s="391"/>
      <c r="AF545" s="391"/>
      <c r="AR545"/>
    </row>
    <row r="546" spans="20:44">
      <c r="T546" s="391"/>
      <c r="AF546" s="391"/>
      <c r="AR546"/>
    </row>
    <row r="547" spans="20:44">
      <c r="T547" s="391"/>
      <c r="AF547" s="391"/>
      <c r="AR547"/>
    </row>
    <row r="548" spans="20:44">
      <c r="T548" s="391"/>
      <c r="AF548" s="391"/>
      <c r="AR548"/>
    </row>
    <row r="549" spans="20:44">
      <c r="T549" s="391"/>
      <c r="AF549" s="391"/>
      <c r="AR549"/>
    </row>
    <row r="550" spans="20:44">
      <c r="T550" s="391"/>
      <c r="AF550" s="391"/>
      <c r="AR550"/>
    </row>
    <row r="551" spans="20:44">
      <c r="T551" s="391"/>
      <c r="AF551" s="391"/>
      <c r="AR551"/>
    </row>
    <row r="552" spans="20:44">
      <c r="T552" s="391"/>
      <c r="AF552" s="391"/>
      <c r="AR552"/>
    </row>
    <row r="553" spans="20:44">
      <c r="T553" s="391"/>
      <c r="AF553" s="391"/>
      <c r="AR553"/>
    </row>
    <row r="554" spans="20:44">
      <c r="T554" s="391"/>
      <c r="AF554" s="391"/>
      <c r="AR554"/>
    </row>
    <row r="555" spans="20:44">
      <c r="T555" s="391"/>
      <c r="AF555" s="391"/>
      <c r="AR555"/>
    </row>
    <row r="556" spans="20:44">
      <c r="T556" s="391"/>
      <c r="AF556" s="391"/>
      <c r="AR556"/>
    </row>
    <row r="557" spans="20:44">
      <c r="T557" s="391"/>
      <c r="AF557" s="391"/>
      <c r="AR557"/>
    </row>
    <row r="558" spans="20:44">
      <c r="T558" s="391"/>
      <c r="AF558" s="391"/>
      <c r="AR558"/>
    </row>
    <row r="559" spans="20:44">
      <c r="T559" s="391"/>
      <c r="AF559" s="391"/>
      <c r="AR559"/>
    </row>
    <row r="560" spans="20:44">
      <c r="T560" s="391"/>
      <c r="AF560" s="391"/>
      <c r="AR560"/>
    </row>
    <row r="561" spans="20:44">
      <c r="T561" s="391"/>
      <c r="AF561" s="391"/>
      <c r="AR561"/>
    </row>
    <row r="562" spans="20:44">
      <c r="T562" s="391"/>
      <c r="AF562" s="391"/>
      <c r="AR562"/>
    </row>
    <row r="563" spans="20:44">
      <c r="T563" s="391"/>
      <c r="AF563" s="391"/>
      <c r="AR563"/>
    </row>
    <row r="564" spans="20:44">
      <c r="T564" s="391"/>
      <c r="AF564" s="391"/>
      <c r="AR564"/>
    </row>
    <row r="565" spans="20:44">
      <c r="T565" s="391"/>
      <c r="AF565" s="391"/>
      <c r="AR565"/>
    </row>
    <row r="566" spans="20:44">
      <c r="T566" s="391"/>
      <c r="AF566" s="391"/>
      <c r="AR566"/>
    </row>
    <row r="567" spans="20:44">
      <c r="T567" s="391"/>
      <c r="AF567" s="391"/>
      <c r="AR567"/>
    </row>
    <row r="568" spans="20:44">
      <c r="T568" s="391"/>
      <c r="AF568" s="391"/>
      <c r="AR568"/>
    </row>
    <row r="569" spans="20:44">
      <c r="T569" s="391"/>
      <c r="AF569" s="391"/>
      <c r="AR569"/>
    </row>
    <row r="570" spans="20:44">
      <c r="T570" s="391"/>
      <c r="AF570" s="391"/>
      <c r="AR570"/>
    </row>
    <row r="571" spans="20:44">
      <c r="T571" s="391"/>
      <c r="AF571" s="391"/>
      <c r="AR571"/>
    </row>
    <row r="572" spans="20:44">
      <c r="T572" s="391"/>
      <c r="AF572" s="391"/>
      <c r="AR572"/>
    </row>
    <row r="573" spans="20:44">
      <c r="T573" s="391"/>
      <c r="AF573" s="391"/>
      <c r="AR573"/>
    </row>
    <row r="574" spans="20:44">
      <c r="T574" s="391"/>
      <c r="AF574" s="391"/>
      <c r="AR574"/>
    </row>
    <row r="575" spans="20:44">
      <c r="T575" s="391"/>
      <c r="AF575" s="391"/>
      <c r="AR575"/>
    </row>
    <row r="576" spans="20:44">
      <c r="T576" s="391"/>
      <c r="AF576" s="391"/>
      <c r="AR576"/>
    </row>
    <row r="577" spans="20:44">
      <c r="T577" s="391"/>
      <c r="AF577" s="391"/>
      <c r="AR577"/>
    </row>
    <row r="578" spans="20:44">
      <c r="T578" s="391"/>
      <c r="AF578" s="391"/>
      <c r="AR578"/>
    </row>
    <row r="579" spans="20:44">
      <c r="T579" s="391"/>
      <c r="AF579" s="391"/>
      <c r="AR579"/>
    </row>
    <row r="580" spans="20:44">
      <c r="T580" s="391"/>
      <c r="AF580" s="391"/>
      <c r="AR580"/>
    </row>
    <row r="581" spans="20:44">
      <c r="T581" s="391"/>
      <c r="AF581" s="391"/>
      <c r="AR581"/>
    </row>
    <row r="582" spans="20:44">
      <c r="T582" s="391"/>
      <c r="AF582" s="391"/>
      <c r="AR582"/>
    </row>
    <row r="583" spans="20:44">
      <c r="T583" s="391"/>
      <c r="AF583" s="391"/>
      <c r="AR583"/>
    </row>
    <row r="584" spans="20:44">
      <c r="T584" s="391"/>
      <c r="AF584" s="391"/>
      <c r="AR584"/>
    </row>
    <row r="585" spans="20:44">
      <c r="T585" s="391"/>
      <c r="AF585" s="391"/>
      <c r="AR585"/>
    </row>
    <row r="586" spans="20:44">
      <c r="T586" s="391"/>
      <c r="AF586" s="391"/>
      <c r="AR586"/>
    </row>
    <row r="587" spans="20:44">
      <c r="T587" s="391"/>
      <c r="AF587" s="391"/>
      <c r="AR587"/>
    </row>
    <row r="588" spans="20:44">
      <c r="T588" s="391"/>
      <c r="AF588" s="391"/>
      <c r="AR588"/>
    </row>
    <row r="589" spans="20:44">
      <c r="T589" s="391"/>
      <c r="AF589" s="391"/>
      <c r="AR589"/>
    </row>
    <row r="590" spans="20:44">
      <c r="T590" s="391"/>
      <c r="AF590" s="391"/>
      <c r="AR590"/>
    </row>
    <row r="591" spans="20:44">
      <c r="T591" s="391"/>
      <c r="AF591" s="391"/>
      <c r="AR591"/>
    </row>
    <row r="592" spans="20:44">
      <c r="T592" s="391"/>
      <c r="AF592" s="391"/>
      <c r="AR592"/>
    </row>
    <row r="593" spans="20:44">
      <c r="T593" s="391"/>
      <c r="AF593" s="391"/>
      <c r="AR593"/>
    </row>
    <row r="594" spans="20:44">
      <c r="T594" s="391"/>
      <c r="AF594" s="391"/>
      <c r="AR594"/>
    </row>
    <row r="595" spans="20:44">
      <c r="T595" s="391"/>
      <c r="AF595" s="391"/>
      <c r="AR595"/>
    </row>
    <row r="596" spans="20:44">
      <c r="T596" s="391"/>
      <c r="AF596" s="391"/>
      <c r="AR596"/>
    </row>
    <row r="597" spans="20:44">
      <c r="T597" s="391"/>
      <c r="AF597" s="391"/>
      <c r="AR597"/>
    </row>
    <row r="598" spans="20:44">
      <c r="T598" s="391"/>
      <c r="AF598" s="391"/>
      <c r="AR598"/>
    </row>
    <row r="599" spans="20:44">
      <c r="T599" s="391"/>
      <c r="AF599" s="391"/>
      <c r="AR599"/>
    </row>
    <row r="600" spans="20:44">
      <c r="T600" s="391"/>
      <c r="AF600" s="391"/>
      <c r="AR600"/>
    </row>
    <row r="601" spans="20:44">
      <c r="T601" s="391"/>
      <c r="AF601" s="391"/>
      <c r="AR601"/>
    </row>
    <row r="602" spans="20:44">
      <c r="T602" s="391"/>
      <c r="AF602" s="391"/>
      <c r="AR602"/>
    </row>
    <row r="603" spans="20:44">
      <c r="T603" s="391"/>
      <c r="AF603" s="391"/>
      <c r="AR603"/>
    </row>
    <row r="604" spans="20:44">
      <c r="T604" s="391"/>
      <c r="AF604" s="391"/>
      <c r="AR604"/>
    </row>
    <row r="605" spans="20:44">
      <c r="T605" s="391"/>
      <c r="AF605" s="391"/>
      <c r="AR605"/>
    </row>
    <row r="606" spans="20:44">
      <c r="T606" s="391"/>
      <c r="AF606" s="391"/>
      <c r="AR606"/>
    </row>
    <row r="607" spans="20:44">
      <c r="T607" s="391"/>
      <c r="AF607" s="391"/>
      <c r="AR607"/>
    </row>
    <row r="608" spans="20:44">
      <c r="T608" s="391"/>
      <c r="AF608" s="391"/>
      <c r="AR608"/>
    </row>
    <row r="609" spans="20:44">
      <c r="T609" s="391"/>
      <c r="AF609" s="391"/>
      <c r="AR609"/>
    </row>
    <row r="610" spans="20:44">
      <c r="T610" s="391"/>
      <c r="AF610" s="391"/>
      <c r="AR610"/>
    </row>
    <row r="611" spans="20:44">
      <c r="T611" s="391"/>
      <c r="AF611" s="391"/>
      <c r="AR611"/>
    </row>
    <row r="612" spans="20:44">
      <c r="T612" s="391"/>
      <c r="AF612" s="391"/>
      <c r="AR612"/>
    </row>
    <row r="613" spans="20:44">
      <c r="T613" s="391"/>
      <c r="AF613" s="391"/>
      <c r="AR613"/>
    </row>
    <row r="614" spans="20:44">
      <c r="T614" s="391"/>
      <c r="AF614" s="391"/>
      <c r="AR614"/>
    </row>
    <row r="615" spans="20:44">
      <c r="T615" s="391"/>
      <c r="AF615" s="391"/>
      <c r="AR615"/>
    </row>
    <row r="616" spans="20:44">
      <c r="T616" s="391"/>
      <c r="AF616" s="391"/>
      <c r="AR616"/>
    </row>
    <row r="617" spans="20:44">
      <c r="T617" s="391"/>
      <c r="AF617" s="391"/>
      <c r="AR617"/>
    </row>
    <row r="618" spans="20:44">
      <c r="T618" s="391"/>
      <c r="AF618" s="391"/>
      <c r="AR618"/>
    </row>
    <row r="619" spans="20:44">
      <c r="T619" s="391"/>
      <c r="AF619" s="391"/>
      <c r="AR619"/>
    </row>
    <row r="620" spans="20:44">
      <c r="T620" s="391"/>
      <c r="AF620" s="391"/>
      <c r="AR620"/>
    </row>
    <row r="621" spans="20:44">
      <c r="T621" s="391"/>
      <c r="AF621" s="391"/>
      <c r="AR621"/>
    </row>
    <row r="622" spans="20:44">
      <c r="T622" s="391"/>
      <c r="AF622" s="391"/>
      <c r="AR622"/>
    </row>
    <row r="623" spans="20:44">
      <c r="T623" s="391"/>
      <c r="AF623" s="391"/>
      <c r="AR623"/>
    </row>
    <row r="624" spans="20:44">
      <c r="T624" s="391"/>
      <c r="AF624" s="391"/>
      <c r="AR624"/>
    </row>
    <row r="625" spans="20:44">
      <c r="T625" s="391"/>
      <c r="AF625" s="391"/>
      <c r="AR625"/>
    </row>
    <row r="626" spans="20:44">
      <c r="T626" s="391"/>
      <c r="AF626" s="391"/>
      <c r="AR626"/>
    </row>
    <row r="627" spans="20:44">
      <c r="T627" s="391"/>
      <c r="AF627" s="391"/>
      <c r="AR627"/>
    </row>
    <row r="628" spans="20:44">
      <c r="T628" s="391"/>
      <c r="AF628" s="391"/>
      <c r="AR628"/>
    </row>
    <row r="629" spans="20:44">
      <c r="T629" s="391"/>
      <c r="AF629" s="391"/>
      <c r="AR629"/>
    </row>
    <row r="630" spans="20:44">
      <c r="T630" s="391"/>
      <c r="AF630" s="391"/>
      <c r="AR630"/>
    </row>
    <row r="631" spans="20:44">
      <c r="T631" s="391"/>
      <c r="AF631" s="391"/>
      <c r="AR631"/>
    </row>
    <row r="632" spans="20:44">
      <c r="T632" s="391"/>
      <c r="AF632" s="391"/>
      <c r="AR632"/>
    </row>
    <row r="633" spans="20:44">
      <c r="T633" s="391"/>
      <c r="AF633" s="391"/>
      <c r="AR633"/>
    </row>
    <row r="634" spans="20:44">
      <c r="T634" s="391"/>
      <c r="AF634" s="391"/>
      <c r="AR634"/>
    </row>
    <row r="635" spans="20:44">
      <c r="T635" s="391"/>
      <c r="AF635" s="391"/>
      <c r="AR635"/>
    </row>
    <row r="636" spans="20:44">
      <c r="T636" s="391"/>
      <c r="AF636" s="391"/>
      <c r="AR636"/>
    </row>
    <row r="637" spans="20:44">
      <c r="T637" s="391"/>
      <c r="AF637" s="391"/>
      <c r="AR637"/>
    </row>
    <row r="638" spans="20:44">
      <c r="T638" s="391"/>
      <c r="AF638" s="391"/>
      <c r="AR638"/>
    </row>
    <row r="639" spans="20:44">
      <c r="T639" s="391"/>
      <c r="AF639" s="391"/>
      <c r="AR639"/>
    </row>
    <row r="640" spans="20:44">
      <c r="T640" s="391"/>
      <c r="AF640" s="391"/>
      <c r="AR640"/>
    </row>
    <row r="641" spans="20:44">
      <c r="T641" s="391"/>
      <c r="AF641" s="391"/>
      <c r="AR641"/>
    </row>
    <row r="642" spans="20:44">
      <c r="T642" s="391"/>
      <c r="AF642" s="391"/>
      <c r="AR642"/>
    </row>
    <row r="643" spans="20:44">
      <c r="T643" s="391"/>
      <c r="AF643" s="391"/>
      <c r="AR643"/>
    </row>
    <row r="644" spans="20:44">
      <c r="T644" s="391"/>
      <c r="AF644" s="391"/>
      <c r="AR644"/>
    </row>
    <row r="645" spans="20:44">
      <c r="T645" s="391"/>
      <c r="AF645" s="391"/>
      <c r="AR645"/>
    </row>
    <row r="646" spans="20:44">
      <c r="T646" s="391"/>
      <c r="AF646" s="391"/>
      <c r="AR646"/>
    </row>
    <row r="647" spans="20:44">
      <c r="T647" s="391"/>
      <c r="AF647" s="391"/>
      <c r="AR647"/>
    </row>
    <row r="648" spans="20:44">
      <c r="T648" s="391"/>
      <c r="AF648" s="391"/>
      <c r="AR648"/>
    </row>
    <row r="649" spans="20:44">
      <c r="T649" s="391"/>
      <c r="AF649" s="391"/>
      <c r="AR649"/>
    </row>
    <row r="650" spans="20:44">
      <c r="T650" s="391"/>
      <c r="AF650" s="391"/>
      <c r="AR650"/>
    </row>
    <row r="651" spans="20:44">
      <c r="T651" s="391"/>
      <c r="AF651" s="391"/>
      <c r="AR651"/>
    </row>
    <row r="652" spans="20:44">
      <c r="T652" s="391"/>
      <c r="AF652" s="391"/>
      <c r="AR652"/>
    </row>
    <row r="653" spans="20:44">
      <c r="T653" s="391"/>
      <c r="AF653" s="391"/>
      <c r="AR653"/>
    </row>
    <row r="654" spans="20:44">
      <c r="T654" s="391"/>
      <c r="AF654" s="391"/>
      <c r="AR654"/>
    </row>
    <row r="655" spans="20:44">
      <c r="T655" s="391"/>
      <c r="AF655" s="391"/>
      <c r="AR655"/>
    </row>
    <row r="656" spans="20:44">
      <c r="T656" s="391"/>
      <c r="AF656" s="391"/>
      <c r="AR656"/>
    </row>
    <row r="657" spans="20:44">
      <c r="T657" s="391"/>
      <c r="AF657" s="391"/>
      <c r="AR657"/>
    </row>
    <row r="658" spans="20:44">
      <c r="T658" s="391"/>
      <c r="AF658" s="391"/>
      <c r="AR658"/>
    </row>
    <row r="659" spans="20:44">
      <c r="T659" s="391"/>
      <c r="AF659" s="391"/>
      <c r="AR659"/>
    </row>
    <row r="660" spans="20:44">
      <c r="T660" s="391"/>
      <c r="AF660" s="391"/>
      <c r="AR660"/>
    </row>
    <row r="661" spans="20:44">
      <c r="T661" s="391"/>
      <c r="AF661" s="391"/>
      <c r="AR661"/>
    </row>
    <row r="662" spans="20:44">
      <c r="T662" s="391"/>
      <c r="AF662" s="391"/>
      <c r="AR662"/>
    </row>
    <row r="663" spans="20:44">
      <c r="T663" s="391"/>
      <c r="AF663" s="391"/>
      <c r="AR663"/>
    </row>
    <row r="664" spans="20:44">
      <c r="T664" s="391"/>
      <c r="AF664" s="391"/>
      <c r="AR664"/>
    </row>
    <row r="665" spans="20:44">
      <c r="T665" s="391"/>
      <c r="AF665" s="391"/>
      <c r="AR665"/>
    </row>
    <row r="666" spans="20:44">
      <c r="T666" s="391"/>
      <c r="AF666" s="391"/>
      <c r="AR666"/>
    </row>
    <row r="667" spans="20:44">
      <c r="T667" s="391"/>
      <c r="AF667" s="391"/>
      <c r="AR667"/>
    </row>
    <row r="668" spans="20:44">
      <c r="T668" s="391"/>
      <c r="AF668" s="391"/>
      <c r="AR668"/>
    </row>
    <row r="669" spans="20:44">
      <c r="T669" s="391"/>
      <c r="AF669" s="391"/>
      <c r="AR669"/>
    </row>
    <row r="670" spans="20:44">
      <c r="T670" s="391"/>
      <c r="AF670" s="391"/>
      <c r="AR670"/>
    </row>
    <row r="671" spans="20:44">
      <c r="T671" s="391"/>
      <c r="AF671" s="391"/>
      <c r="AR671"/>
    </row>
    <row r="672" spans="20:44">
      <c r="T672" s="391"/>
      <c r="AF672" s="391"/>
      <c r="AR672"/>
    </row>
    <row r="673" spans="20:44">
      <c r="T673" s="391"/>
      <c r="AF673" s="391"/>
      <c r="AR673"/>
    </row>
    <row r="674" spans="20:44">
      <c r="T674" s="391"/>
      <c r="AF674" s="391"/>
      <c r="AR674"/>
    </row>
    <row r="675" spans="20:44">
      <c r="T675" s="391"/>
      <c r="AF675" s="391"/>
      <c r="AR675"/>
    </row>
    <row r="676" spans="20:44">
      <c r="T676" s="391"/>
      <c r="AF676" s="391"/>
      <c r="AR676"/>
    </row>
    <row r="677" spans="20:44">
      <c r="T677" s="391"/>
      <c r="AF677" s="391"/>
      <c r="AR677"/>
    </row>
    <row r="678" spans="20:44">
      <c r="T678" s="391"/>
      <c r="AF678" s="391"/>
      <c r="AR678"/>
    </row>
    <row r="679" spans="20:44">
      <c r="T679" s="391"/>
      <c r="AF679" s="391"/>
      <c r="AR679"/>
    </row>
    <row r="680" spans="20:44">
      <c r="T680" s="391"/>
      <c r="AF680" s="391"/>
      <c r="AR680"/>
    </row>
    <row r="681" spans="20:44">
      <c r="T681" s="391"/>
      <c r="AF681" s="391"/>
      <c r="AR681"/>
    </row>
    <row r="682" spans="20:44">
      <c r="T682" s="391"/>
      <c r="AF682" s="391"/>
      <c r="AR682"/>
    </row>
    <row r="683" spans="20:44">
      <c r="T683" s="391"/>
      <c r="AF683" s="391"/>
      <c r="AR683"/>
    </row>
    <row r="684" spans="20:44">
      <c r="T684" s="391"/>
      <c r="AF684" s="391"/>
      <c r="AR684"/>
    </row>
    <row r="685" spans="20:44">
      <c r="T685" s="391"/>
      <c r="AF685" s="391"/>
      <c r="AR685"/>
    </row>
    <row r="686" spans="20:44">
      <c r="T686" s="391"/>
      <c r="AF686" s="391"/>
      <c r="AR686"/>
    </row>
    <row r="687" spans="20:44">
      <c r="T687" s="391"/>
      <c r="AF687" s="391"/>
      <c r="AR687"/>
    </row>
    <row r="688" spans="20:44">
      <c r="T688" s="391"/>
      <c r="AF688" s="391"/>
      <c r="AR688"/>
    </row>
    <row r="689" spans="20:44">
      <c r="T689" s="391"/>
      <c r="AF689" s="391"/>
      <c r="AR689"/>
    </row>
    <row r="690" spans="20:44">
      <c r="T690" s="391"/>
      <c r="AF690" s="391"/>
      <c r="AR690"/>
    </row>
    <row r="691" spans="20:44">
      <c r="T691" s="391"/>
      <c r="AF691" s="391"/>
      <c r="AR691"/>
    </row>
    <row r="692" spans="20:44">
      <c r="T692" s="391"/>
      <c r="AF692" s="391"/>
      <c r="AR692"/>
    </row>
    <row r="693" spans="20:44">
      <c r="T693" s="391"/>
      <c r="AF693" s="391"/>
      <c r="AR693"/>
    </row>
    <row r="694" spans="20:44">
      <c r="T694" s="391"/>
      <c r="AF694" s="391"/>
      <c r="AR694"/>
    </row>
    <row r="695" spans="20:44">
      <c r="T695" s="391"/>
      <c r="AF695" s="391"/>
      <c r="AR695"/>
    </row>
    <row r="696" spans="20:44">
      <c r="T696" s="391"/>
      <c r="AF696" s="391"/>
      <c r="AR696"/>
    </row>
    <row r="697" spans="20:44">
      <c r="T697" s="391"/>
      <c r="AF697" s="391"/>
      <c r="AR697"/>
    </row>
    <row r="698" spans="20:44">
      <c r="T698" s="391"/>
      <c r="AF698" s="391"/>
      <c r="AR698"/>
    </row>
    <row r="699" spans="20:44">
      <c r="T699" s="391"/>
      <c r="AF699" s="391"/>
      <c r="AR699"/>
    </row>
    <row r="700" spans="20:44">
      <c r="T700" s="391"/>
      <c r="AF700" s="391"/>
      <c r="AR700"/>
    </row>
    <row r="701" spans="20:44">
      <c r="T701" s="391"/>
      <c r="AF701" s="391"/>
      <c r="AR701"/>
    </row>
    <row r="702" spans="20:44">
      <c r="T702" s="391"/>
      <c r="AF702" s="391"/>
      <c r="AR702"/>
    </row>
    <row r="703" spans="20:44">
      <c r="T703" s="391"/>
      <c r="AF703" s="391"/>
      <c r="AR703"/>
    </row>
    <row r="704" spans="20:44">
      <c r="T704" s="391"/>
      <c r="AF704" s="391"/>
      <c r="AR704"/>
    </row>
    <row r="705" spans="20:44">
      <c r="T705" s="391"/>
      <c r="AF705" s="391"/>
      <c r="AR705"/>
    </row>
    <row r="706" spans="20:44">
      <c r="T706" s="391"/>
      <c r="AF706" s="391"/>
      <c r="AR706"/>
    </row>
    <row r="707" spans="20:44">
      <c r="T707" s="391"/>
      <c r="AF707" s="391"/>
      <c r="AR707"/>
    </row>
    <row r="708" spans="20:44">
      <c r="T708" s="391"/>
      <c r="AF708" s="391"/>
      <c r="AR708"/>
    </row>
    <row r="709" spans="20:44">
      <c r="T709" s="391"/>
      <c r="AF709" s="391"/>
      <c r="AR709"/>
    </row>
    <row r="710" spans="20:44">
      <c r="T710" s="391"/>
      <c r="AF710" s="391"/>
      <c r="AR710"/>
    </row>
    <row r="711" spans="20:44">
      <c r="T711" s="391"/>
      <c r="AF711" s="391"/>
      <c r="AR711"/>
    </row>
    <row r="712" spans="20:44">
      <c r="T712" s="391"/>
      <c r="AF712" s="391"/>
      <c r="AR712"/>
    </row>
    <row r="713" spans="20:44">
      <c r="T713" s="391"/>
      <c r="AF713" s="391"/>
      <c r="AR713"/>
    </row>
    <row r="714" spans="20:44">
      <c r="T714" s="391"/>
      <c r="AF714" s="391"/>
      <c r="AR714"/>
    </row>
    <row r="715" spans="20:44">
      <c r="T715" s="391"/>
      <c r="AF715" s="391"/>
      <c r="AR715"/>
    </row>
    <row r="716" spans="20:44">
      <c r="T716" s="391"/>
      <c r="AF716" s="391"/>
      <c r="AR716"/>
    </row>
    <row r="717" spans="20:44">
      <c r="T717" s="391"/>
      <c r="AF717" s="391"/>
      <c r="AR717"/>
    </row>
    <row r="718" spans="20:44">
      <c r="T718" s="391"/>
      <c r="AF718" s="391"/>
      <c r="AR718"/>
    </row>
    <row r="719" spans="20:44">
      <c r="T719" s="391"/>
      <c r="AF719" s="391"/>
      <c r="AR719"/>
    </row>
    <row r="720" spans="20:44">
      <c r="T720" s="391"/>
      <c r="AF720" s="391"/>
      <c r="AR720"/>
    </row>
    <row r="721" spans="20:44">
      <c r="T721" s="391"/>
      <c r="AF721" s="391"/>
      <c r="AR721"/>
    </row>
    <row r="722" spans="20:44">
      <c r="T722" s="391"/>
      <c r="AF722" s="391"/>
      <c r="AR722"/>
    </row>
    <row r="723" spans="20:44">
      <c r="T723" s="391"/>
      <c r="AF723" s="391"/>
      <c r="AR723"/>
    </row>
    <row r="724" spans="20:44">
      <c r="T724" s="391"/>
      <c r="AF724" s="391"/>
      <c r="AR724"/>
    </row>
    <row r="725" spans="20:44">
      <c r="T725" s="391"/>
      <c r="AF725" s="391"/>
      <c r="AR725"/>
    </row>
    <row r="726" spans="20:44">
      <c r="T726" s="391"/>
    </row>
    <row r="727" spans="20:44">
      <c r="T727" s="391"/>
    </row>
    <row r="728" spans="20:44">
      <c r="T728" s="391"/>
    </row>
    <row r="729" spans="20:44">
      <c r="T729" s="391"/>
    </row>
  </sheetData>
  <mergeCells count="13">
    <mergeCell ref="C174:D174"/>
    <mergeCell ref="C194:D194"/>
    <mergeCell ref="C113:D113"/>
    <mergeCell ref="AG5:AR5"/>
    <mergeCell ref="C11:D11"/>
    <mergeCell ref="C29:D29"/>
    <mergeCell ref="C133:D133"/>
    <mergeCell ref="C154:D154"/>
    <mergeCell ref="C69:D69"/>
    <mergeCell ref="C92:D92"/>
    <mergeCell ref="C49:D49"/>
    <mergeCell ref="I5:T5"/>
    <mergeCell ref="U5:AF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rgb="FFA0288F"/>
  </sheetPr>
  <dimension ref="A1:BR1023"/>
  <sheetViews>
    <sheetView showGridLines="0" zoomScale="62" zoomScaleNormal="95" zoomScalePageLayoutView="120" workbookViewId="0">
      <pane xSplit="3" topLeftCell="D1" activePane="topRight" state="frozen"/>
      <selection activeCell="A105" sqref="A105"/>
      <selection pane="topRight" activeCell="AN129" sqref="AN129"/>
    </sheetView>
  </sheetViews>
  <sheetFormatPr defaultColWidth="10" defaultRowHeight="15.6" outlineLevelRow="1"/>
  <cols>
    <col min="1" max="1" width="4.19921875" style="593" customWidth="1"/>
    <col min="2" max="2" width="35.5" style="593" customWidth="1"/>
    <col min="3" max="3" width="9.19921875" style="593" customWidth="1"/>
    <col min="4" max="4" width="13.296875" style="593" bestFit="1" customWidth="1"/>
    <col min="5" max="5" width="13.19921875" style="593" bestFit="1" customWidth="1"/>
    <col min="6" max="9" width="13.296875" style="593" bestFit="1" customWidth="1"/>
    <col min="10" max="10" width="18.69921875" style="593" bestFit="1" customWidth="1"/>
    <col min="11" max="11" width="18.296875" style="593" bestFit="1" customWidth="1"/>
    <col min="12" max="12" width="18.19921875" style="593" bestFit="1" customWidth="1"/>
    <col min="13" max="14" width="22.19921875" style="593" bestFit="1" customWidth="1"/>
    <col min="15" max="15" width="22.19921875" style="594" bestFit="1" customWidth="1"/>
    <col min="16" max="16" width="11.69921875" style="593" customWidth="1"/>
    <col min="17" max="17" width="22.296875" style="593" customWidth="1"/>
    <col min="18" max="18" width="11.69921875" style="593" customWidth="1"/>
    <col min="19" max="19" width="14.5" style="593" customWidth="1"/>
    <col min="20" max="20" width="13.296875" style="593" customWidth="1"/>
    <col min="21" max="21" width="12.796875" style="593" customWidth="1"/>
    <col min="22" max="22" width="11" style="593" customWidth="1"/>
    <col min="23" max="23" width="13" style="593" customWidth="1"/>
    <col min="24" max="24" width="14.19921875" style="593" customWidth="1"/>
    <col min="25" max="26" width="11.796875" style="593" bestFit="1" customWidth="1"/>
    <col min="27" max="27" width="11.796875" style="594" bestFit="1" customWidth="1"/>
    <col min="28" max="28" width="11.296875" style="593" bestFit="1" customWidth="1"/>
    <col min="29" max="29" width="11.796875" style="593" bestFit="1" customWidth="1"/>
    <col min="30" max="34" width="12.19921875" style="593" bestFit="1" customWidth="1"/>
    <col min="35" max="35" width="11.796875" style="593" bestFit="1" customWidth="1"/>
    <col min="36" max="39" width="12.19921875" style="593" bestFit="1" customWidth="1"/>
    <col min="40" max="16384" width="10" style="593"/>
  </cols>
  <sheetData>
    <row r="1" spans="1:28" s="295" customFormat="1" ht="27" customHeight="1">
      <c r="A1" s="592" t="str">
        <f>"v"&amp;'COPYRIGHT PROTECTION'!C14&amp;" "&amp;'COPYRIGHT PROTECTION'!C6</f>
        <v xml:space="preserve">v2023.2 © Simon Hulme and Chris Drew, 2011-2023     IF PART OF AN ACADEMIC ASSIGNMENT, PLEASE DO NOT DELETE THIS SINGLE LINE.  DELETING IT MAY INVALIDATE YOUR SUBMISSION. </v>
      </c>
    </row>
    <row r="2" spans="1:28" s="642" customFormat="1" ht="28.8">
      <c r="B2" s="643" t="s">
        <v>548</v>
      </c>
      <c r="G2" s="644"/>
    </row>
    <row r="3" spans="1:28">
      <c r="O3" s="593"/>
      <c r="AA3" s="593"/>
    </row>
    <row r="4" spans="1:28" s="642" customFormat="1" ht="25.8">
      <c r="B4" s="645" t="s">
        <v>85</v>
      </c>
      <c r="C4" s="646"/>
    </row>
    <row r="5" spans="1:28" ht="14.55" customHeight="1">
      <c r="O5" s="593"/>
      <c r="AA5" s="593"/>
    </row>
    <row r="6" spans="1:28" ht="1.8" hidden="1" customHeight="1">
      <c r="O6" s="593"/>
      <c r="AA6" s="593"/>
    </row>
    <row r="7" spans="1:28" s="642" customFormat="1" ht="1.8" hidden="1" customHeight="1">
      <c r="B7" s="647" t="s">
        <v>294</v>
      </c>
      <c r="D7" s="642" t="s">
        <v>9</v>
      </c>
    </row>
    <row r="8" spans="1:28" s="595" customFormat="1" ht="18">
      <c r="B8" s="596"/>
      <c r="G8" s="1130"/>
    </row>
    <row r="9" spans="1:28" ht="54" customHeight="1" thickBot="1">
      <c r="B9" s="1250" t="s">
        <v>418</v>
      </c>
      <c r="C9" s="1250"/>
      <c r="D9" s="1250"/>
      <c r="E9" s="1250"/>
      <c r="F9" s="1250"/>
      <c r="G9" s="1250"/>
      <c r="H9" s="1250"/>
      <c r="I9" s="1250"/>
      <c r="J9" s="661"/>
      <c r="K9" s="661"/>
      <c r="L9" s="661"/>
      <c r="M9" s="661"/>
      <c r="N9" s="661"/>
      <c r="O9" s="661"/>
      <c r="P9" s="661"/>
      <c r="Q9" s="661"/>
      <c r="R9" s="661"/>
      <c r="S9" s="661"/>
      <c r="AA9" s="593"/>
    </row>
    <row r="10" spans="1:28" s="333" customFormat="1" ht="36" customHeight="1" thickTop="1">
      <c r="B10" s="662" t="s">
        <v>331</v>
      </c>
      <c r="C10" s="753" t="s">
        <v>356</v>
      </c>
      <c r="D10" s="753" t="s">
        <v>357</v>
      </c>
      <c r="E10" s="753" t="s">
        <v>358</v>
      </c>
      <c r="F10" s="753" t="s">
        <v>359</v>
      </c>
      <c r="G10" s="753">
        <v>2024</v>
      </c>
      <c r="H10" s="753">
        <v>2025</v>
      </c>
      <c r="I10" s="754">
        <v>2026</v>
      </c>
      <c r="J10" s="357"/>
      <c r="K10" s="357"/>
      <c r="L10" s="357"/>
      <c r="M10" s="357"/>
      <c r="N10" s="357"/>
      <c r="O10" s="357"/>
      <c r="P10" s="357"/>
      <c r="Q10" s="357"/>
      <c r="R10" s="357"/>
      <c r="S10" s="357"/>
      <c r="Z10" s="603"/>
      <c r="AA10" s="598"/>
      <c r="AB10" s="598"/>
    </row>
    <row r="11" spans="1:28" s="333" customFormat="1" ht="16.2" thickBot="1">
      <c r="B11" s="648" t="s">
        <v>334</v>
      </c>
      <c r="C11" s="663">
        <v>25000</v>
      </c>
      <c r="D11" s="664">
        <v>1</v>
      </c>
      <c r="E11" s="664">
        <v>1</v>
      </c>
      <c r="F11" s="664">
        <v>1</v>
      </c>
      <c r="G11" s="665">
        <f t="shared" ref="G11:G19" si="0">D11*C11+C11*($M$14)+$M$15+$M$16+($M$17*C11)</f>
        <v>26150</v>
      </c>
      <c r="H11" s="665">
        <f t="shared" ref="H11:H19" si="1">E11*C11+C11*($N$14)+$N$15+$N$16+($N$17*C11)</f>
        <v>26750</v>
      </c>
      <c r="I11" s="666">
        <f t="shared" ref="I11:I19" si="2">F11*C11+C11*($O$14)+$O$15+$O$16+($O$17*C11)</f>
        <v>27100</v>
      </c>
      <c r="J11" s="357"/>
      <c r="K11" s="357"/>
      <c r="L11" s="357"/>
      <c r="M11" s="357"/>
      <c r="N11" s="357"/>
      <c r="O11" s="357"/>
      <c r="P11" s="357"/>
      <c r="Q11" s="357"/>
      <c r="R11" s="357"/>
      <c r="S11" s="357"/>
      <c r="U11" s="598"/>
      <c r="Z11" s="603"/>
      <c r="AA11" s="598"/>
      <c r="AB11" s="598"/>
    </row>
    <row r="12" spans="1:28" s="333" customFormat="1" ht="53.55" customHeight="1" thickTop="1">
      <c r="B12" s="648" t="s">
        <v>335</v>
      </c>
      <c r="C12" s="663">
        <v>27000</v>
      </c>
      <c r="D12" s="664">
        <v>1</v>
      </c>
      <c r="E12" s="664">
        <v>1</v>
      </c>
      <c r="F12" s="664">
        <v>2</v>
      </c>
      <c r="G12" s="665">
        <f t="shared" si="0"/>
        <v>28210</v>
      </c>
      <c r="H12" s="665">
        <f t="shared" si="1"/>
        <v>28850</v>
      </c>
      <c r="I12" s="666">
        <f t="shared" si="2"/>
        <v>56220</v>
      </c>
      <c r="J12" s="357"/>
      <c r="K12" s="357"/>
      <c r="L12" s="1257" t="s">
        <v>363</v>
      </c>
      <c r="M12" s="1258"/>
      <c r="N12" s="1258"/>
      <c r="O12" s="1259"/>
      <c r="P12" s="357"/>
      <c r="Q12" s="357"/>
      <c r="R12" s="357"/>
      <c r="S12" s="357"/>
      <c r="U12" s="280"/>
      <c r="Z12" s="603"/>
      <c r="AA12" s="598"/>
      <c r="AB12" s="598"/>
    </row>
    <row r="13" spans="1:28" s="333" customFormat="1" ht="21">
      <c r="B13" s="648" t="s">
        <v>347</v>
      </c>
      <c r="C13" s="663">
        <v>28000</v>
      </c>
      <c r="D13" s="664">
        <v>1</v>
      </c>
      <c r="E13" s="664">
        <v>1</v>
      </c>
      <c r="F13" s="664">
        <v>2</v>
      </c>
      <c r="G13" s="665">
        <f t="shared" si="0"/>
        <v>29240</v>
      </c>
      <c r="H13" s="665">
        <f t="shared" si="1"/>
        <v>29900</v>
      </c>
      <c r="I13" s="666">
        <f t="shared" si="2"/>
        <v>58280</v>
      </c>
      <c r="J13" s="357"/>
      <c r="K13" s="357"/>
      <c r="L13" s="681" t="s">
        <v>464</v>
      </c>
      <c r="M13" s="751">
        <v>2024</v>
      </c>
      <c r="N13" s="751">
        <v>2025</v>
      </c>
      <c r="O13" s="752">
        <v>2026</v>
      </c>
      <c r="P13" s="357"/>
      <c r="Q13" s="357"/>
      <c r="R13" s="357"/>
      <c r="S13" s="357"/>
      <c r="U13" s="280"/>
      <c r="Z13" s="603"/>
      <c r="AA13" s="598"/>
      <c r="AB13" s="598"/>
    </row>
    <row r="14" spans="1:28" s="333" customFormat="1" ht="31.2">
      <c r="B14" s="648" t="s">
        <v>348</v>
      </c>
      <c r="C14" s="663">
        <v>24000</v>
      </c>
      <c r="D14" s="664">
        <v>1</v>
      </c>
      <c r="E14" s="664">
        <v>1</v>
      </c>
      <c r="F14" s="664">
        <v>1</v>
      </c>
      <c r="G14" s="665">
        <f t="shared" si="0"/>
        <v>25120</v>
      </c>
      <c r="H14" s="665">
        <f t="shared" si="1"/>
        <v>25700</v>
      </c>
      <c r="I14" s="666">
        <f t="shared" si="2"/>
        <v>26040</v>
      </c>
      <c r="J14" s="357"/>
      <c r="K14" s="357"/>
      <c r="L14" s="649" t="s">
        <v>361</v>
      </c>
      <c r="M14" s="667">
        <v>0</v>
      </c>
      <c r="N14" s="667">
        <v>0.02</v>
      </c>
      <c r="O14" s="668">
        <v>0.03</v>
      </c>
      <c r="P14" s="357"/>
      <c r="Q14" s="357"/>
      <c r="R14" s="357"/>
      <c r="S14" s="357"/>
      <c r="U14" s="280"/>
      <c r="Z14" s="603"/>
      <c r="AA14" s="598"/>
      <c r="AB14" s="598"/>
    </row>
    <row r="15" spans="1:28" s="333" customFormat="1">
      <c r="B15" s="648" t="s">
        <v>349</v>
      </c>
      <c r="C15" s="663">
        <v>27000</v>
      </c>
      <c r="D15" s="664">
        <v>1</v>
      </c>
      <c r="E15" s="664">
        <v>1</v>
      </c>
      <c r="F15" s="664">
        <v>2</v>
      </c>
      <c r="G15" s="665">
        <f t="shared" si="0"/>
        <v>28210</v>
      </c>
      <c r="H15" s="665">
        <f t="shared" si="1"/>
        <v>28850</v>
      </c>
      <c r="I15" s="666">
        <f t="shared" si="2"/>
        <v>56220</v>
      </c>
      <c r="J15" s="357"/>
      <c r="K15" s="357"/>
      <c r="L15" s="648" t="s">
        <v>352</v>
      </c>
      <c r="M15" s="669">
        <v>200</v>
      </c>
      <c r="N15" s="669">
        <v>300</v>
      </c>
      <c r="O15" s="670">
        <v>400</v>
      </c>
      <c r="P15" s="357"/>
      <c r="Q15" s="357"/>
      <c r="R15" s="357"/>
      <c r="S15" s="357"/>
      <c r="U15" s="598"/>
      <c r="Z15" s="603"/>
      <c r="AA15" s="598"/>
      <c r="AB15" s="598"/>
    </row>
    <row r="16" spans="1:28" s="333" customFormat="1">
      <c r="B16" s="651" t="s">
        <v>351</v>
      </c>
      <c r="C16" s="663">
        <v>28000</v>
      </c>
      <c r="D16" s="664">
        <v>1</v>
      </c>
      <c r="E16" s="664">
        <v>1</v>
      </c>
      <c r="F16" s="664">
        <v>2</v>
      </c>
      <c r="G16" s="665">
        <f t="shared" si="0"/>
        <v>29240</v>
      </c>
      <c r="H16" s="665">
        <f t="shared" si="1"/>
        <v>29900</v>
      </c>
      <c r="I16" s="666">
        <f t="shared" si="2"/>
        <v>58280</v>
      </c>
      <c r="J16" s="357"/>
      <c r="K16" s="357"/>
      <c r="L16" s="648" t="s">
        <v>362</v>
      </c>
      <c r="M16" s="669">
        <v>200</v>
      </c>
      <c r="N16" s="669">
        <v>200</v>
      </c>
      <c r="O16" s="670">
        <v>200</v>
      </c>
      <c r="P16" s="357"/>
      <c r="Q16" s="357"/>
      <c r="R16" s="357"/>
      <c r="S16" s="357"/>
      <c r="Z16" s="603"/>
      <c r="AA16" s="598"/>
      <c r="AB16" s="598"/>
    </row>
    <row r="17" spans="1:35" s="333" customFormat="1" ht="31.8" thickBot="1">
      <c r="B17" s="651" t="s">
        <v>353</v>
      </c>
      <c r="C17" s="663">
        <f>32000</f>
        <v>32000</v>
      </c>
      <c r="D17" s="664">
        <v>2</v>
      </c>
      <c r="E17" s="664">
        <v>2</v>
      </c>
      <c r="F17" s="664">
        <v>4</v>
      </c>
      <c r="G17" s="665">
        <f t="shared" si="0"/>
        <v>65360</v>
      </c>
      <c r="H17" s="665">
        <f t="shared" si="1"/>
        <v>66100</v>
      </c>
      <c r="I17" s="666">
        <f t="shared" si="2"/>
        <v>130520</v>
      </c>
      <c r="J17" s="357"/>
      <c r="K17" s="357"/>
      <c r="L17" s="671" t="s">
        <v>364</v>
      </c>
      <c r="M17" s="672">
        <v>0.03</v>
      </c>
      <c r="N17" s="672">
        <v>0.03</v>
      </c>
      <c r="O17" s="673">
        <v>0.03</v>
      </c>
      <c r="P17" s="357"/>
      <c r="Q17" s="357"/>
      <c r="R17" s="357"/>
      <c r="S17" s="357"/>
      <c r="Z17" s="603"/>
      <c r="AA17" s="598"/>
      <c r="AB17" s="598"/>
    </row>
    <row r="18" spans="1:35" s="333" customFormat="1" ht="16.2" thickTop="1">
      <c r="B18" s="651" t="s">
        <v>360</v>
      </c>
      <c r="C18" s="663">
        <v>30000</v>
      </c>
      <c r="D18" s="664">
        <v>1</v>
      </c>
      <c r="E18" s="664">
        <v>2</v>
      </c>
      <c r="F18" s="664">
        <v>3</v>
      </c>
      <c r="G18" s="665">
        <f t="shared" si="0"/>
        <v>31300</v>
      </c>
      <c r="H18" s="665">
        <f t="shared" si="1"/>
        <v>62000</v>
      </c>
      <c r="I18" s="666">
        <f t="shared" si="2"/>
        <v>92400</v>
      </c>
      <c r="J18" s="357"/>
      <c r="K18" s="357"/>
      <c r="L18" s="357"/>
      <c r="M18" s="357"/>
      <c r="N18" s="357"/>
      <c r="O18" s="357"/>
      <c r="P18" s="357"/>
      <c r="Q18" s="357"/>
      <c r="R18" s="357"/>
      <c r="S18" s="357"/>
      <c r="Z18" s="603"/>
      <c r="AA18" s="598"/>
      <c r="AB18" s="598"/>
    </row>
    <row r="19" spans="1:35" s="333" customFormat="1" ht="16.2" thickBot="1">
      <c r="B19" s="651" t="s">
        <v>354</v>
      </c>
      <c r="C19" s="663">
        <f>33000</f>
        <v>33000</v>
      </c>
      <c r="D19" s="664">
        <v>1</v>
      </c>
      <c r="E19" s="664">
        <v>1</v>
      </c>
      <c r="F19" s="664">
        <v>2</v>
      </c>
      <c r="G19" s="665">
        <f t="shared" si="0"/>
        <v>34390</v>
      </c>
      <c r="H19" s="665">
        <f t="shared" si="1"/>
        <v>35150</v>
      </c>
      <c r="I19" s="666">
        <f t="shared" si="2"/>
        <v>68580</v>
      </c>
      <c r="J19" s="357"/>
      <c r="K19" s="357"/>
      <c r="L19"/>
      <c r="M19" s="357"/>
      <c r="N19"/>
      <c r="O19" s="357"/>
      <c r="P19" s="357"/>
      <c r="Q19" s="357"/>
      <c r="R19" s="357"/>
      <c r="S19" s="357"/>
      <c r="Z19" s="603"/>
      <c r="AA19" s="598"/>
      <c r="AB19" s="598"/>
    </row>
    <row r="20" spans="1:35" s="323" customFormat="1" ht="16.8" thickTop="1" thickBot="1">
      <c r="B20" s="674" t="s">
        <v>395</v>
      </c>
      <c r="C20" s="675"/>
      <c r="D20" s="676"/>
      <c r="E20" s="676"/>
      <c r="F20" s="676"/>
      <c r="G20" s="677">
        <f>SUM(G11:G19)</f>
        <v>297220</v>
      </c>
      <c r="H20" s="677">
        <f>SUM(H11:H19)</f>
        <v>333200</v>
      </c>
      <c r="I20" s="678">
        <f>SUM(I11:I19)</f>
        <v>573640</v>
      </c>
      <c r="J20" s="322"/>
      <c r="K20" s="322"/>
      <c r="L20" s="322"/>
      <c r="M20" s="322"/>
      <c r="N20" s="322"/>
      <c r="O20" s="322"/>
      <c r="P20" s="322"/>
      <c r="Q20" s="322"/>
      <c r="R20" s="322"/>
      <c r="S20" s="322"/>
      <c r="Z20" s="598"/>
      <c r="AA20" s="598"/>
      <c r="AB20" s="598"/>
    </row>
    <row r="21" spans="1:35" s="333" customFormat="1" ht="16.8" thickTop="1" thickBot="1">
      <c r="A21" s="370"/>
      <c r="B21" s="322"/>
      <c r="C21" s="679"/>
      <c r="D21" s="322"/>
      <c r="E21" s="322"/>
      <c r="F21" s="322"/>
      <c r="G21" s="322"/>
      <c r="H21" s="322"/>
      <c r="I21" s="322"/>
      <c r="J21" s="357"/>
      <c r="K21" s="357"/>
      <c r="L21" s="357"/>
      <c r="M21" s="357"/>
      <c r="N21" s="357"/>
      <c r="O21" s="357"/>
      <c r="P21" s="357"/>
      <c r="Q21" s="357"/>
      <c r="R21" s="357"/>
      <c r="S21" s="357"/>
      <c r="Z21" s="603"/>
      <c r="AA21" s="598"/>
      <c r="AB21" s="598"/>
    </row>
    <row r="22" spans="1:35" s="601" customFormat="1" ht="58.2" customHeight="1" thickTop="1">
      <c r="B22" s="680"/>
      <c r="C22" s="680"/>
      <c r="D22" s="680"/>
      <c r="E22" s="680"/>
      <c r="F22" s="680"/>
      <c r="G22" s="680"/>
      <c r="H22" s="680"/>
      <c r="I22"/>
      <c r="J22" s="680"/>
      <c r="K22" s="680"/>
      <c r="L22" s="1251" t="s">
        <v>384</v>
      </c>
      <c r="M22" s="1252"/>
      <c r="N22" s="1252"/>
      <c r="O22" s="1253"/>
      <c r="P22" s="680"/>
      <c r="Q22" s="680"/>
      <c r="R22" s="680"/>
      <c r="S22" s="680"/>
      <c r="Z22" s="609"/>
      <c r="AA22" s="602"/>
      <c r="AB22" s="602"/>
    </row>
    <row r="23" spans="1:35" s="333" customFormat="1" ht="16.2" thickBot="1">
      <c r="B23"/>
      <c r="C23" s="357"/>
      <c r="D23" s="357"/>
      <c r="E23" s="357"/>
      <c r="F23" s="357"/>
      <c r="G23" s="357"/>
      <c r="H23" s="357"/>
      <c r="I23" s="357"/>
      <c r="J23" s="357"/>
      <c r="K23" s="357"/>
      <c r="L23" s="681" t="s">
        <v>326</v>
      </c>
      <c r="M23" s="682">
        <f>H34</f>
        <v>2024</v>
      </c>
      <c r="N23" s="682">
        <f>I34</f>
        <v>2025</v>
      </c>
      <c r="O23" s="683">
        <f>J34</f>
        <v>2026</v>
      </c>
      <c r="P23" s="357"/>
      <c r="Q23" s="357"/>
      <c r="R23" s="357"/>
      <c r="S23" s="357"/>
      <c r="Z23" s="603"/>
      <c r="AA23" s="598"/>
      <c r="AB23" s="598"/>
    </row>
    <row r="24" spans="1:35" s="323" customFormat="1" ht="54.45" customHeight="1" outlineLevel="1" thickTop="1">
      <c r="A24" s="601"/>
      <c r="F24" s="322"/>
      <c r="G24" s="1251" t="s">
        <v>385</v>
      </c>
      <c r="H24" s="1252"/>
      <c r="I24" s="1252"/>
      <c r="J24" s="1253"/>
      <c r="K24" s="322"/>
      <c r="L24" s="648" t="s">
        <v>377</v>
      </c>
      <c r="M24" s="663">
        <v>500</v>
      </c>
      <c r="N24" s="684">
        <f t="shared" ref="N24:O32" si="3">M24</f>
        <v>500</v>
      </c>
      <c r="O24" s="685">
        <f t="shared" si="3"/>
        <v>500</v>
      </c>
      <c r="P24" s="322"/>
      <c r="Q24" s="322"/>
      <c r="R24" s="322"/>
      <c r="S24" s="322"/>
      <c r="Z24" s="598"/>
      <c r="AA24" s="598"/>
      <c r="AB24" s="598"/>
    </row>
    <row r="25" spans="1:35" s="323" customFormat="1" ht="27.45" customHeight="1" outlineLevel="1" thickBot="1">
      <c r="A25" s="333"/>
      <c r="F25" s="322"/>
      <c r="G25" s="681" t="s">
        <v>326</v>
      </c>
      <c r="H25" s="682">
        <f>M23</f>
        <v>2024</v>
      </c>
      <c r="I25" s="682">
        <f>N23</f>
        <v>2025</v>
      </c>
      <c r="J25" s="683">
        <f>O23</f>
        <v>2026</v>
      </c>
      <c r="K25" s="322"/>
      <c r="L25" s="648" t="s">
        <v>378</v>
      </c>
      <c r="M25" s="663">
        <v>1000</v>
      </c>
      <c r="N25" s="684">
        <f t="shared" si="3"/>
        <v>1000</v>
      </c>
      <c r="O25" s="685">
        <f t="shared" si="3"/>
        <v>1000</v>
      </c>
      <c r="P25" s="322"/>
      <c r="Q25" s="322"/>
      <c r="R25" s="322"/>
      <c r="S25" s="322"/>
      <c r="Z25" s="598"/>
      <c r="AA25" s="598"/>
      <c r="AB25" s="598"/>
    </row>
    <row r="26" spans="1:35" s="323" customFormat="1" ht="52.8" customHeight="1" outlineLevel="1" thickTop="1">
      <c r="B26" s="1251" t="s">
        <v>240</v>
      </c>
      <c r="C26" s="1252"/>
      <c r="D26" s="1252"/>
      <c r="E26" s="1253"/>
      <c r="F26" s="322"/>
      <c r="G26" s="651" t="s">
        <v>336</v>
      </c>
      <c r="H26" s="663">
        <v>5000</v>
      </c>
      <c r="I26" s="663">
        <v>0</v>
      </c>
      <c r="J26" s="686">
        <v>0</v>
      </c>
      <c r="K26" s="322"/>
      <c r="L26" s="651" t="s">
        <v>379</v>
      </c>
      <c r="M26" s="663">
        <v>400</v>
      </c>
      <c r="N26" s="684">
        <f t="shared" si="3"/>
        <v>400</v>
      </c>
      <c r="O26" s="685">
        <f t="shared" si="3"/>
        <v>400</v>
      </c>
      <c r="P26" s="322"/>
      <c r="Q26" s="322"/>
      <c r="R26" s="322"/>
      <c r="S26" s="322"/>
      <c r="Z26" s="598"/>
      <c r="AA26" s="598"/>
      <c r="AB26" s="598"/>
    </row>
    <row r="27" spans="1:35" s="323" customFormat="1" ht="31.2" outlineLevel="1">
      <c r="B27" s="681" t="s">
        <v>367</v>
      </c>
      <c r="C27" s="682">
        <v>2024</v>
      </c>
      <c r="D27" s="682">
        <v>2025</v>
      </c>
      <c r="E27" s="683">
        <v>2026</v>
      </c>
      <c r="F27" s="322"/>
      <c r="G27" s="651" t="s">
        <v>386</v>
      </c>
      <c r="H27" s="663">
        <v>800</v>
      </c>
      <c r="I27" s="665">
        <f t="shared" ref="I27:J29" si="4">H27</f>
        <v>800</v>
      </c>
      <c r="J27" s="666">
        <f t="shared" si="4"/>
        <v>800</v>
      </c>
      <c r="K27" s="322"/>
      <c r="L27" s="651" t="s">
        <v>380</v>
      </c>
      <c r="M27" s="663">
        <v>200</v>
      </c>
      <c r="N27" s="684">
        <f t="shared" si="3"/>
        <v>200</v>
      </c>
      <c r="O27" s="685">
        <f t="shared" si="3"/>
        <v>200</v>
      </c>
      <c r="P27" s="322"/>
      <c r="Q27" s="322"/>
      <c r="R27" s="322"/>
      <c r="S27" s="322"/>
      <c r="Z27" s="598"/>
      <c r="AA27" s="598"/>
      <c r="AB27" s="598"/>
    </row>
    <row r="28" spans="1:35" s="323" customFormat="1" ht="46.8" outlineLevel="1">
      <c r="B28" s="648" t="s">
        <v>368</v>
      </c>
      <c r="C28" s="663">
        <v>2000</v>
      </c>
      <c r="D28" s="684">
        <f t="shared" ref="D28:E30" si="5">C28</f>
        <v>2000</v>
      </c>
      <c r="E28" s="685">
        <f t="shared" si="5"/>
        <v>2000</v>
      </c>
      <c r="F28" s="322"/>
      <c r="G28" s="651" t="s">
        <v>390</v>
      </c>
      <c r="H28" s="663">
        <v>300</v>
      </c>
      <c r="I28" s="665">
        <f t="shared" si="4"/>
        <v>300</v>
      </c>
      <c r="J28" s="666">
        <f t="shared" si="4"/>
        <v>300</v>
      </c>
      <c r="K28" s="322"/>
      <c r="L28" s="651" t="s">
        <v>341</v>
      </c>
      <c r="M28" s="663">
        <v>200</v>
      </c>
      <c r="N28" s="684">
        <f t="shared" si="3"/>
        <v>200</v>
      </c>
      <c r="O28" s="685">
        <f t="shared" si="3"/>
        <v>200</v>
      </c>
      <c r="P28" s="322"/>
      <c r="Q28" s="322"/>
      <c r="R28" s="322"/>
      <c r="S28" s="322"/>
      <c r="Z28" s="598"/>
      <c r="AA28" s="598"/>
      <c r="AB28" s="598"/>
    </row>
    <row r="29" spans="1:35" s="323" customFormat="1" ht="46.8" outlineLevel="1">
      <c r="B29" s="648" t="s">
        <v>369</v>
      </c>
      <c r="C29" s="663">
        <v>100</v>
      </c>
      <c r="D29" s="684">
        <f t="shared" si="5"/>
        <v>100</v>
      </c>
      <c r="E29" s="685">
        <f t="shared" si="5"/>
        <v>100</v>
      </c>
      <c r="F29" s="322"/>
      <c r="G29" s="651" t="s">
        <v>387</v>
      </c>
      <c r="H29" s="663">
        <v>500</v>
      </c>
      <c r="I29" s="665">
        <f t="shared" si="4"/>
        <v>500</v>
      </c>
      <c r="J29" s="666">
        <f t="shared" si="4"/>
        <v>500</v>
      </c>
      <c r="K29" s="322"/>
      <c r="L29" s="651" t="s">
        <v>340</v>
      </c>
      <c r="M29" s="663">
        <v>300</v>
      </c>
      <c r="N29" s="684">
        <f t="shared" si="3"/>
        <v>300</v>
      </c>
      <c r="O29" s="685">
        <f t="shared" si="3"/>
        <v>300</v>
      </c>
      <c r="P29" s="322"/>
      <c r="Q29" s="322"/>
      <c r="R29" s="322"/>
      <c r="S29" s="322"/>
      <c r="Z29" s="598"/>
      <c r="AA29" s="598"/>
      <c r="AB29" s="598"/>
    </row>
    <row r="30" spans="1:35" s="323" customFormat="1" ht="31.8" outlineLevel="1" thickBot="1">
      <c r="B30" s="648" t="s">
        <v>370</v>
      </c>
      <c r="C30" s="669">
        <v>200</v>
      </c>
      <c r="D30" s="687">
        <f t="shared" si="5"/>
        <v>200</v>
      </c>
      <c r="E30" s="688">
        <f t="shared" si="5"/>
        <v>200</v>
      </c>
      <c r="F30" s="322"/>
      <c r="G30" s="651" t="s">
        <v>389</v>
      </c>
      <c r="H30" s="663">
        <v>2000</v>
      </c>
      <c r="I30" s="684">
        <v>2000</v>
      </c>
      <c r="J30" s="685">
        <v>2000</v>
      </c>
      <c r="K30" s="322"/>
      <c r="L30" s="651" t="s">
        <v>381</v>
      </c>
      <c r="M30" s="663">
        <v>250</v>
      </c>
      <c r="N30" s="684">
        <f t="shared" si="3"/>
        <v>250</v>
      </c>
      <c r="O30" s="685">
        <f t="shared" si="3"/>
        <v>250</v>
      </c>
      <c r="P30" s="322"/>
      <c r="Q30" s="322"/>
      <c r="R30" s="322"/>
      <c r="S30" s="322"/>
      <c r="Z30" s="598"/>
      <c r="AA30" s="598"/>
      <c r="AB30" s="598"/>
    </row>
    <row r="31" spans="1:35" s="323" customFormat="1" ht="32.4" outlineLevel="1" thickTop="1" thickBot="1">
      <c r="B31" s="689" t="s">
        <v>395</v>
      </c>
      <c r="C31" s="690">
        <f>SUM(C28:C30)</f>
        <v>2300</v>
      </c>
      <c r="D31" s="690">
        <f>SUM(D28:D30)</f>
        <v>2300</v>
      </c>
      <c r="E31" s="691">
        <f>SUM(E28:E30)</f>
        <v>2300</v>
      </c>
      <c r="F31" s="692"/>
      <c r="G31" s="689" t="s">
        <v>395</v>
      </c>
      <c r="H31" s="677">
        <f>SUM(H26:H30)</f>
        <v>8600</v>
      </c>
      <c r="I31" s="677">
        <f>SUM(I26:I30)</f>
        <v>3600</v>
      </c>
      <c r="J31" s="678">
        <f>SUM(J26:J30)</f>
        <v>3600</v>
      </c>
      <c r="K31" s="322"/>
      <c r="L31" s="651" t="s">
        <v>383</v>
      </c>
      <c r="M31" s="663">
        <v>200</v>
      </c>
      <c r="N31" s="684">
        <f t="shared" si="3"/>
        <v>200</v>
      </c>
      <c r="O31" s="685">
        <f t="shared" si="3"/>
        <v>200</v>
      </c>
      <c r="P31" s="322"/>
      <c r="Q31" s="322"/>
      <c r="R31" s="322"/>
      <c r="S31" s="322"/>
      <c r="Z31" s="598"/>
      <c r="AA31" s="598"/>
      <c r="AB31" s="598"/>
    </row>
    <row r="32" spans="1:35" s="323" customFormat="1" ht="22.2" outlineLevel="1" thickTop="1" thickBot="1">
      <c r="B32" s="1260"/>
      <c r="C32" s="1260"/>
      <c r="D32" s="1260"/>
      <c r="E32" s="1260"/>
      <c r="F32" s="684"/>
      <c r="G32" s="322"/>
      <c r="H32" s="322"/>
      <c r="I32" s="322"/>
      <c r="J32" s="322"/>
      <c r="K32" s="322"/>
      <c r="L32" s="651" t="s">
        <v>382</v>
      </c>
      <c r="M32" s="663">
        <v>100</v>
      </c>
      <c r="N32" s="665">
        <f t="shared" si="3"/>
        <v>100</v>
      </c>
      <c r="O32" s="666">
        <f t="shared" si="3"/>
        <v>100</v>
      </c>
      <c r="P32" s="322"/>
      <c r="Q32" s="322"/>
      <c r="R32" s="322"/>
      <c r="S32" s="322"/>
      <c r="Z32" s="598"/>
      <c r="AA32" s="598"/>
      <c r="AB32" s="598"/>
      <c r="AC32" s="598"/>
      <c r="AD32" s="598"/>
      <c r="AE32" s="598"/>
      <c r="AF32" s="598"/>
      <c r="AG32" s="598"/>
      <c r="AH32" s="598"/>
      <c r="AI32" s="598"/>
    </row>
    <row r="33" spans="1:35" s="323" customFormat="1" ht="52.2" customHeight="1" outlineLevel="1" thickTop="1" thickBot="1">
      <c r="B33" s="889"/>
      <c r="C33" s="886"/>
      <c r="D33" s="886"/>
      <c r="E33" s="886"/>
      <c r="F33" s="684"/>
      <c r="G33" s="1251" t="s">
        <v>391</v>
      </c>
      <c r="H33" s="1252"/>
      <c r="I33" s="1252"/>
      <c r="J33" s="1253"/>
      <c r="K33" s="322"/>
      <c r="L33" s="689" t="s">
        <v>395</v>
      </c>
      <c r="M33" s="677">
        <f>SUM(M24:M32)</f>
        <v>3150</v>
      </c>
      <c r="N33" s="677">
        <f>SUM(N24:N32)</f>
        <v>3150</v>
      </c>
      <c r="O33" s="678">
        <f>SUM(O24:O32)</f>
        <v>3150</v>
      </c>
      <c r="P33" s="322"/>
      <c r="Q33" s="322"/>
      <c r="R33" s="322"/>
      <c r="S33" s="322"/>
      <c r="Z33" s="598"/>
      <c r="AA33" s="598"/>
      <c r="AB33" s="598"/>
      <c r="AC33" s="598"/>
      <c r="AD33" s="598"/>
      <c r="AE33" s="598"/>
      <c r="AF33" s="598"/>
      <c r="AG33" s="598"/>
      <c r="AH33" s="598"/>
      <c r="AI33" s="598"/>
    </row>
    <row r="34" spans="1:35" s="323" customFormat="1" ht="18" customHeight="1" outlineLevel="1" thickTop="1">
      <c r="B34" s="890"/>
      <c r="C34" s="887"/>
      <c r="D34"/>
      <c r="E34" s="887"/>
      <c r="F34" s="684"/>
      <c r="G34" s="693" t="s">
        <v>326</v>
      </c>
      <c r="H34" s="694">
        <f>C27</f>
        <v>2024</v>
      </c>
      <c r="I34" s="694">
        <f>D27</f>
        <v>2025</v>
      </c>
      <c r="J34" s="695">
        <f>E27</f>
        <v>2026</v>
      </c>
      <c r="K34" s="322"/>
      <c r="L34" s="322"/>
      <c r="M34" s="322"/>
      <c r="N34" s="322"/>
      <c r="O34" s="322"/>
      <c r="P34" s="322"/>
      <c r="Z34" s="598"/>
      <c r="AA34" s="598"/>
      <c r="AB34" s="598"/>
      <c r="AC34" s="598"/>
      <c r="AD34" s="598"/>
      <c r="AE34" s="598"/>
      <c r="AF34" s="598"/>
      <c r="AG34" s="598"/>
      <c r="AH34" s="598"/>
      <c r="AI34" s="598"/>
    </row>
    <row r="35" spans="1:35" s="323" customFormat="1" ht="46.8" outlineLevel="1">
      <c r="B35" s="891"/>
      <c r="C35" s="887"/>
      <c r="D35" s="887"/>
      <c r="E35" s="887"/>
      <c r="F35" s="684"/>
      <c r="G35" s="648" t="s">
        <v>487</v>
      </c>
      <c r="H35" s="696">
        <v>20000</v>
      </c>
      <c r="I35" s="697">
        <v>20000</v>
      </c>
      <c r="J35" s="698">
        <v>20000</v>
      </c>
      <c r="K35"/>
      <c r="L35" s="322"/>
      <c r="M35" s="322"/>
      <c r="N35" s="322"/>
      <c r="O35" s="322"/>
      <c r="P35" s="322"/>
      <c r="Z35" s="598"/>
      <c r="AA35" s="598"/>
      <c r="AB35" s="598"/>
      <c r="AC35" s="598"/>
      <c r="AD35" s="598"/>
      <c r="AE35" s="598"/>
      <c r="AF35" s="598"/>
      <c r="AG35" s="598"/>
      <c r="AH35" s="598"/>
      <c r="AI35" s="598"/>
    </row>
    <row r="36" spans="1:35" s="323" customFormat="1" ht="31.8" outlineLevel="1" thickBot="1">
      <c r="B36" s="890"/>
      <c r="C36" s="888"/>
      <c r="D36" s="888"/>
      <c r="E36" s="888"/>
      <c r="F36" s="684"/>
      <c r="G36" s="648" t="s">
        <v>388</v>
      </c>
      <c r="H36" s="696">
        <v>10000</v>
      </c>
      <c r="I36" s="697">
        <f>H36</f>
        <v>10000</v>
      </c>
      <c r="J36" s="698">
        <f>I36</f>
        <v>10000</v>
      </c>
      <c r="K36" s="322"/>
      <c r="L36" s="322"/>
      <c r="M36" s="322"/>
      <c r="N36" s="322"/>
      <c r="O36" s="322"/>
      <c r="P36" s="322"/>
      <c r="Z36" s="598"/>
      <c r="AA36" s="598"/>
      <c r="AB36" s="598"/>
      <c r="AC36" s="598"/>
      <c r="AD36" s="598"/>
      <c r="AE36" s="598"/>
      <c r="AF36" s="598"/>
      <c r="AG36" s="598"/>
      <c r="AH36" s="598"/>
      <c r="AI36" s="598"/>
    </row>
    <row r="37" spans="1:35" s="323" customFormat="1" ht="81" customHeight="1" outlineLevel="1" thickTop="1" thickBot="1">
      <c r="B37" s="322"/>
      <c r="C37" s="322"/>
      <c r="D37" s="322"/>
      <c r="E37" s="322"/>
      <c r="F37" s="322"/>
      <c r="G37" s="689" t="s">
        <v>395</v>
      </c>
      <c r="H37" s="677">
        <f>SUM(H35:H36)</f>
        <v>30000</v>
      </c>
      <c r="I37" s="677">
        <f>SUM(I35:I36)</f>
        <v>30000</v>
      </c>
      <c r="J37" s="678">
        <f>SUM(J35:J36)</f>
        <v>30000</v>
      </c>
      <c r="K37" s="322"/>
      <c r="L37" s="1251" t="s">
        <v>371</v>
      </c>
      <c r="M37" s="1252"/>
      <c r="N37" s="1252"/>
      <c r="O37" s="1253"/>
      <c r="P37" s="322"/>
      <c r="Z37" s="598"/>
      <c r="AA37" s="598"/>
      <c r="AB37" s="598"/>
      <c r="AC37" s="598"/>
      <c r="AD37" s="598"/>
      <c r="AE37" s="598"/>
      <c r="AF37" s="598"/>
      <c r="AG37" s="598"/>
      <c r="AH37" s="598"/>
      <c r="AI37" s="598"/>
    </row>
    <row r="38" spans="1:35" s="323" customFormat="1" ht="58.2" customHeight="1" outlineLevel="1" thickTop="1" thickBot="1">
      <c r="B38" s="1251" t="s">
        <v>398</v>
      </c>
      <c r="C38" s="1252"/>
      <c r="D38" s="1252"/>
      <c r="E38" s="1253"/>
      <c r="F38" s="322"/>
      <c r="G38" s="322"/>
      <c r="H38" s="699"/>
      <c r="I38" s="700"/>
      <c r="J38" s="700"/>
      <c r="K38" s="322"/>
      <c r="L38" s="681" t="s">
        <v>326</v>
      </c>
      <c r="M38" s="682">
        <f>C27</f>
        <v>2024</v>
      </c>
      <c r="N38" s="682">
        <f>D27</f>
        <v>2025</v>
      </c>
      <c r="O38" s="683">
        <f>E27</f>
        <v>2026</v>
      </c>
      <c r="P38" s="322"/>
      <c r="Q38" s="322"/>
      <c r="R38" s="322"/>
      <c r="S38" s="322"/>
      <c r="U38" s="364"/>
      <c r="Z38" s="598"/>
      <c r="AA38" s="598"/>
      <c r="AB38" s="598"/>
      <c r="AC38" s="598"/>
      <c r="AD38" s="598"/>
      <c r="AE38" s="598"/>
      <c r="AF38" s="598"/>
      <c r="AG38" s="598"/>
      <c r="AH38" s="598"/>
      <c r="AI38" s="598"/>
    </row>
    <row r="39" spans="1:35" s="323" customFormat="1" ht="57.45" customHeight="1" outlineLevel="1" thickTop="1" thickBot="1">
      <c r="B39" s="681" t="s">
        <v>326</v>
      </c>
      <c r="C39" s="682">
        <f>C27</f>
        <v>2024</v>
      </c>
      <c r="D39" s="682">
        <f>D27</f>
        <v>2025</v>
      </c>
      <c r="E39" s="683">
        <f>E27</f>
        <v>2026</v>
      </c>
      <c r="F39" s="692"/>
      <c r="G39" s="1251" t="s">
        <v>392</v>
      </c>
      <c r="H39" s="1252"/>
      <c r="I39" s="1252"/>
      <c r="J39" s="1253"/>
      <c r="K39"/>
      <c r="L39" s="648" t="s">
        <v>372</v>
      </c>
      <c r="M39" s="696">
        <v>15000</v>
      </c>
      <c r="N39" s="697">
        <f t="shared" ref="N39:O41" si="6">M39*1.2</f>
        <v>18000</v>
      </c>
      <c r="O39" s="698">
        <f t="shared" si="6"/>
        <v>21600</v>
      </c>
      <c r="P39" s="322"/>
      <c r="Q39" s="322"/>
      <c r="R39" s="322"/>
      <c r="S39" s="322"/>
      <c r="Z39" s="598"/>
      <c r="AA39" s="598"/>
      <c r="AB39" s="598"/>
      <c r="AC39" s="598"/>
      <c r="AD39" s="598"/>
      <c r="AE39" s="598"/>
      <c r="AF39" s="598"/>
      <c r="AG39" s="598"/>
      <c r="AH39" s="598"/>
      <c r="AI39" s="598"/>
    </row>
    <row r="40" spans="1:35" s="323" customFormat="1" ht="33" customHeight="1" outlineLevel="1" thickTop="1">
      <c r="B40" s="651" t="s">
        <v>399</v>
      </c>
      <c r="C40" s="663">
        <v>500</v>
      </c>
      <c r="D40" s="665">
        <f t="shared" ref="D40:E42" si="7">C40</f>
        <v>500</v>
      </c>
      <c r="E40" s="666">
        <f t="shared" si="7"/>
        <v>500</v>
      </c>
      <c r="F40" s="322"/>
      <c r="G40" s="701" t="s">
        <v>326</v>
      </c>
      <c r="H40" s="702">
        <f>H25</f>
        <v>2024</v>
      </c>
      <c r="I40" s="702">
        <f>I25</f>
        <v>2025</v>
      </c>
      <c r="J40" s="703">
        <f>J25</f>
        <v>2026</v>
      </c>
      <c r="K40" s="322"/>
      <c r="L40" s="648" t="s">
        <v>373</v>
      </c>
      <c r="M40" s="696">
        <v>2000</v>
      </c>
      <c r="N40" s="697">
        <f t="shared" si="6"/>
        <v>2400</v>
      </c>
      <c r="O40" s="698">
        <f t="shared" si="6"/>
        <v>2880</v>
      </c>
      <c r="P40" s="322"/>
      <c r="Q40" s="322"/>
      <c r="R40" s="322"/>
      <c r="S40" s="322"/>
      <c r="Z40" s="598"/>
      <c r="AA40" s="598"/>
      <c r="AB40" s="598"/>
      <c r="AC40" s="598"/>
      <c r="AD40" s="598"/>
      <c r="AE40" s="598"/>
      <c r="AF40" s="598"/>
      <c r="AG40" s="598"/>
      <c r="AH40" s="598"/>
      <c r="AI40" s="598"/>
    </row>
    <row r="41" spans="1:35" s="323" customFormat="1" ht="33" customHeight="1" outlineLevel="1">
      <c r="B41" s="651" t="s">
        <v>400</v>
      </c>
      <c r="C41" s="663">
        <v>200</v>
      </c>
      <c r="D41" s="665">
        <f t="shared" si="7"/>
        <v>200</v>
      </c>
      <c r="E41" s="666">
        <f t="shared" si="7"/>
        <v>200</v>
      </c>
      <c r="F41" s="322"/>
      <c r="G41" s="653" t="s">
        <v>394</v>
      </c>
      <c r="H41" s="704">
        <v>5000</v>
      </c>
      <c r="I41" s="705">
        <f>H41</f>
        <v>5000</v>
      </c>
      <c r="J41" s="706">
        <f>I41</f>
        <v>5000</v>
      </c>
      <c r="K41" s="322"/>
      <c r="L41" s="648" t="s">
        <v>374</v>
      </c>
      <c r="M41" s="696">
        <v>1000</v>
      </c>
      <c r="N41" s="697">
        <f t="shared" si="6"/>
        <v>1200</v>
      </c>
      <c r="O41" s="698">
        <f t="shared" si="6"/>
        <v>1440</v>
      </c>
      <c r="P41" s="322"/>
      <c r="Q41" s="322"/>
      <c r="R41" s="322"/>
      <c r="S41" s="322"/>
      <c r="Z41" s="598"/>
      <c r="AA41" s="598"/>
      <c r="AB41" s="598"/>
      <c r="AC41" s="598"/>
      <c r="AD41" s="598"/>
      <c r="AE41" s="598"/>
      <c r="AF41" s="598"/>
      <c r="AG41" s="598"/>
      <c r="AH41" s="598"/>
      <c r="AI41" s="598"/>
    </row>
    <row r="42" spans="1:35" s="323" customFormat="1" ht="31.8" outlineLevel="1" thickBot="1">
      <c r="B42" s="892" t="s">
        <v>401</v>
      </c>
      <c r="C42" s="764">
        <v>200</v>
      </c>
      <c r="D42" s="733">
        <f t="shared" si="7"/>
        <v>200</v>
      </c>
      <c r="E42" s="893">
        <f t="shared" si="7"/>
        <v>200</v>
      </c>
      <c r="F42" s="322"/>
      <c r="G42" s="653" t="s">
        <v>393</v>
      </c>
      <c r="H42" s="704">
        <v>4000</v>
      </c>
      <c r="I42" s="705">
        <f>H42</f>
        <v>4000</v>
      </c>
      <c r="J42" s="706">
        <f>I42</f>
        <v>4000</v>
      </c>
      <c r="K42" s="322"/>
      <c r="L42" s="648" t="s">
        <v>397</v>
      </c>
      <c r="M42" s="696">
        <v>100</v>
      </c>
      <c r="N42" s="697">
        <f>M42</f>
        <v>100</v>
      </c>
      <c r="O42" s="698">
        <f>N42</f>
        <v>100</v>
      </c>
      <c r="P42" s="322"/>
      <c r="Q42" s="322"/>
      <c r="R42" s="322"/>
      <c r="S42" s="322"/>
      <c r="Z42" s="598"/>
      <c r="AA42" s="598"/>
      <c r="AB42" s="598"/>
      <c r="AC42" s="598"/>
      <c r="AD42" s="598"/>
      <c r="AE42" s="598"/>
      <c r="AF42" s="598"/>
      <c r="AG42" s="598"/>
      <c r="AH42" s="598"/>
      <c r="AI42" s="598"/>
    </row>
    <row r="43" spans="1:35" s="323" customFormat="1" ht="16.8" outlineLevel="1" thickTop="1" thickBot="1">
      <c r="B43" s="689" t="s">
        <v>395</v>
      </c>
      <c r="C43" s="707">
        <f>SUM(C40:C41)</f>
        <v>700</v>
      </c>
      <c r="D43" s="707">
        <f>SUM(D40:D41)</f>
        <v>700</v>
      </c>
      <c r="E43" s="708">
        <f>SUM(E40:E41)</f>
        <v>700</v>
      </c>
      <c r="F43" s="322"/>
      <c r="G43" s="689" t="s">
        <v>395</v>
      </c>
      <c r="H43" s="707">
        <f>SUM(H41:H42)</f>
        <v>9000</v>
      </c>
      <c r="I43" s="707">
        <f>SUM(I41:I42)</f>
        <v>9000</v>
      </c>
      <c r="J43" s="708">
        <f>SUM(J41:J42)</f>
        <v>9000</v>
      </c>
      <c r="K43" s="322"/>
      <c r="L43" s="689" t="s">
        <v>395</v>
      </c>
      <c r="M43" s="690">
        <f>SUM(M39:M42)</f>
        <v>18100</v>
      </c>
      <c r="N43" s="690">
        <f>SUM(N39:N42)</f>
        <v>21700</v>
      </c>
      <c r="O43" s="691">
        <f>SUM(O39:O42)</f>
        <v>26020</v>
      </c>
      <c r="P43" s="322"/>
      <c r="Q43" s="322"/>
      <c r="R43" s="322"/>
      <c r="S43" s="322"/>
      <c r="Z43" s="598"/>
      <c r="AA43" s="598"/>
      <c r="AB43" s="598"/>
      <c r="AC43" s="598"/>
      <c r="AD43" s="598"/>
      <c r="AE43" s="598"/>
      <c r="AF43" s="598"/>
      <c r="AG43" s="598"/>
      <c r="AH43" s="598"/>
      <c r="AI43" s="598"/>
    </row>
    <row r="44" spans="1:35" s="323" customFormat="1" ht="16.2" outlineLevel="1" thickTop="1">
      <c r="B44" s="322"/>
      <c r="C44" s="322"/>
      <c r="D44" s="322"/>
      <c r="E44" s="322"/>
      <c r="F44" s="322"/>
      <c r="G44" s="322"/>
      <c r="H44" s="322"/>
      <c r="I44" s="322"/>
      <c r="J44" s="322"/>
      <c r="K44" s="322"/>
      <c r="L44" s="322"/>
      <c r="M44" s="322"/>
      <c r="N44" s="322"/>
      <c r="O44" s="322"/>
      <c r="P44" s="322"/>
      <c r="Q44" s="322"/>
      <c r="R44" s="322"/>
      <c r="S44" s="322"/>
      <c r="Z44" s="598"/>
      <c r="AA44" s="598"/>
      <c r="AB44" s="598"/>
      <c r="AC44" s="598"/>
      <c r="AD44" s="598"/>
      <c r="AE44" s="598"/>
      <c r="AF44" s="598"/>
      <c r="AG44" s="598"/>
      <c r="AH44" s="598"/>
      <c r="AI44" s="598"/>
    </row>
    <row r="45" spans="1:35" s="604" customFormat="1" outlineLevel="1">
      <c r="A45" s="323"/>
      <c r="B45" s="709"/>
      <c r="C45" s="709"/>
      <c r="D45" s="709"/>
      <c r="E45" s="709"/>
      <c r="F45" s="709"/>
      <c r="G45" s="709"/>
      <c r="H45"/>
      <c r="I45" s="709"/>
      <c r="J45" s="709"/>
      <c r="K45" s="709"/>
      <c r="L45" s="709"/>
      <c r="M45" s="709"/>
      <c r="N45" s="709"/>
      <c r="O45" s="710"/>
      <c r="P45" s="710"/>
      <c r="Q45" s="709"/>
      <c r="R45" s="709"/>
      <c r="S45" s="709"/>
      <c r="AA45" s="606"/>
      <c r="AB45" s="606"/>
      <c r="AC45" s="606"/>
      <c r="AD45" s="606"/>
      <c r="AE45" s="606"/>
      <c r="AF45" s="606"/>
      <c r="AG45" s="606"/>
      <c r="AH45" s="606"/>
      <c r="AI45" s="606"/>
    </row>
    <row r="46" spans="1:35" s="323" customFormat="1" outlineLevel="1">
      <c r="B46" s="322"/>
      <c r="C46" s="322"/>
      <c r="D46" s="322"/>
      <c r="E46" s="322"/>
      <c r="F46" s="322"/>
      <c r="G46" s="322"/>
      <c r="H46" s="322"/>
      <c r="I46" s="322"/>
      <c r="J46" s="322"/>
      <c r="K46" s="322"/>
      <c r="L46" s="322"/>
      <c r="M46" s="322"/>
      <c r="N46" s="322"/>
      <c r="P46" s="684"/>
      <c r="Q46" s="322"/>
      <c r="R46" s="322"/>
      <c r="S46" s="322"/>
      <c r="AA46" s="598"/>
      <c r="AB46" s="598"/>
      <c r="AC46" s="598"/>
      <c r="AD46" s="598"/>
      <c r="AE46" s="598"/>
      <c r="AF46" s="598"/>
      <c r="AG46" s="598"/>
      <c r="AH46" s="598"/>
      <c r="AI46" s="598"/>
    </row>
    <row r="47" spans="1:35" s="323" customFormat="1" ht="16.2" outlineLevel="1" thickBot="1">
      <c r="B47" s="322"/>
      <c r="C47" s="322"/>
      <c r="D47" s="322"/>
      <c r="E47" s="322"/>
      <c r="F47" s="711"/>
      <c r="G47" s="322"/>
      <c r="H47" s="322"/>
      <c r="I47" s="322"/>
      <c r="J47" s="322"/>
      <c r="K47" s="322"/>
      <c r="L47" s="322"/>
      <c r="M47" s="322"/>
      <c r="N47" s="322"/>
      <c r="O47" s="684"/>
      <c r="P47" s="684"/>
      <c r="Q47" s="322"/>
      <c r="R47" s="322"/>
      <c r="S47" s="322"/>
      <c r="AA47" s="598"/>
      <c r="AB47" s="598"/>
      <c r="AC47" s="598"/>
      <c r="AD47" s="598"/>
      <c r="AE47" s="598"/>
      <c r="AF47" s="598"/>
      <c r="AG47" s="598"/>
      <c r="AH47" s="598"/>
      <c r="AI47" s="598"/>
    </row>
    <row r="48" spans="1:35" s="323" customFormat="1" ht="42.45" customHeight="1" outlineLevel="1" thickTop="1">
      <c r="B48" s="1251" t="s">
        <v>396</v>
      </c>
      <c r="C48" s="1252"/>
      <c r="D48" s="1252"/>
      <c r="E48" s="1252"/>
      <c r="F48" s="1252"/>
      <c r="G48" s="1252"/>
      <c r="H48" s="1252"/>
      <c r="I48" s="1252"/>
      <c r="J48" s="1252"/>
      <c r="K48" s="1252"/>
      <c r="L48" s="1253"/>
      <c r="M48" s="322"/>
      <c r="N48" s="322"/>
      <c r="O48" s="684"/>
      <c r="P48" s="684"/>
      <c r="Q48" s="322"/>
      <c r="R48" s="322"/>
      <c r="S48" s="322"/>
      <c r="AA48" s="598"/>
      <c r="AB48" s="598"/>
      <c r="AC48" s="598"/>
      <c r="AD48" s="598"/>
      <c r="AE48" s="598"/>
      <c r="AF48" s="598"/>
      <c r="AG48" s="598"/>
      <c r="AH48" s="598"/>
      <c r="AI48" s="598"/>
    </row>
    <row r="49" spans="2:35" s="607" customFormat="1" outlineLevel="1">
      <c r="B49" s="681" t="s">
        <v>326</v>
      </c>
      <c r="C49" s="755" t="s">
        <v>403</v>
      </c>
      <c r="D49" s="682" t="s">
        <v>357</v>
      </c>
      <c r="E49" s="682" t="s">
        <v>358</v>
      </c>
      <c r="F49" s="682" t="s">
        <v>359</v>
      </c>
      <c r="G49" s="682">
        <v>2024</v>
      </c>
      <c r="H49" s="682">
        <v>2025</v>
      </c>
      <c r="I49" s="682">
        <v>2026</v>
      </c>
      <c r="J49" s="755" t="s">
        <v>413</v>
      </c>
      <c r="K49" s="755" t="s">
        <v>414</v>
      </c>
      <c r="L49" s="756" t="s">
        <v>417</v>
      </c>
      <c r="M49" s="712"/>
      <c r="N49" s="712"/>
      <c r="O49" s="713"/>
      <c r="P49" s="712"/>
      <c r="Q49" s="712"/>
      <c r="R49" s="712"/>
      <c r="S49" s="712"/>
      <c r="AB49" s="660"/>
      <c r="AC49" s="660"/>
      <c r="AD49" s="660"/>
      <c r="AE49" s="660"/>
      <c r="AF49" s="660"/>
      <c r="AG49" s="660"/>
      <c r="AH49" s="660"/>
      <c r="AI49" s="660"/>
    </row>
    <row r="50" spans="2:35" s="607" customFormat="1" outlineLevel="1">
      <c r="B50" s="651" t="s">
        <v>402</v>
      </c>
      <c r="C50" s="663">
        <v>800</v>
      </c>
      <c r="D50" s="714">
        <v>12</v>
      </c>
      <c r="E50" s="714">
        <v>13</v>
      </c>
      <c r="F50" s="714">
        <v>22</v>
      </c>
      <c r="G50" s="665">
        <f t="shared" ref="G50:G59" si="8">$C50*D50</f>
        <v>9600</v>
      </c>
      <c r="H50" s="665">
        <f t="shared" ref="H50:H59" si="9">$C50*E50</f>
        <v>10400</v>
      </c>
      <c r="I50" s="665">
        <f t="shared" ref="I50:I59" si="10">$C50*F50</f>
        <v>17600</v>
      </c>
      <c r="J50" s="714">
        <v>4</v>
      </c>
      <c r="K50" s="665" t="s">
        <v>416</v>
      </c>
      <c r="L50" s="715" t="s">
        <v>350</v>
      </c>
      <c r="M50" s="712"/>
      <c r="N50" s="712"/>
      <c r="O50" s="713"/>
      <c r="P50" s="712"/>
      <c r="Q50" s="712"/>
      <c r="R50" s="712"/>
      <c r="S50" s="712"/>
      <c r="AB50" s="660"/>
      <c r="AC50" s="660"/>
      <c r="AD50" s="660"/>
      <c r="AE50" s="660"/>
      <c r="AF50" s="660"/>
      <c r="AG50" s="660"/>
      <c r="AH50" s="660"/>
      <c r="AI50" s="660"/>
    </row>
    <row r="51" spans="2:35" s="323" customFormat="1" outlineLevel="1">
      <c r="B51" s="651" t="s">
        <v>404</v>
      </c>
      <c r="C51" s="663">
        <v>1200</v>
      </c>
      <c r="D51" s="714">
        <v>1</v>
      </c>
      <c r="E51" s="714">
        <v>0</v>
      </c>
      <c r="F51" s="714">
        <v>0</v>
      </c>
      <c r="G51" s="665">
        <f t="shared" si="8"/>
        <v>1200</v>
      </c>
      <c r="H51" s="665">
        <f t="shared" si="9"/>
        <v>0</v>
      </c>
      <c r="I51" s="665">
        <f t="shared" si="10"/>
        <v>0</v>
      </c>
      <c r="J51" s="714">
        <v>5</v>
      </c>
      <c r="K51" s="665" t="s">
        <v>416</v>
      </c>
      <c r="L51" s="715" t="s">
        <v>350</v>
      </c>
      <c r="M51" s="322"/>
      <c r="N51" s="322"/>
      <c r="O51" s="684"/>
      <c r="P51" s="684"/>
      <c r="Q51" s="322"/>
      <c r="R51" s="322"/>
      <c r="S51" s="322"/>
      <c r="AA51" s="598"/>
      <c r="AB51" s="598"/>
      <c r="AC51" s="598"/>
      <c r="AD51" s="598"/>
      <c r="AE51" s="598"/>
      <c r="AF51" s="598"/>
      <c r="AG51" s="598"/>
      <c r="AH51" s="598"/>
      <c r="AI51" s="598"/>
    </row>
    <row r="52" spans="2:35" s="323" customFormat="1">
      <c r="B52" s="651" t="s">
        <v>405</v>
      </c>
      <c r="C52" s="663">
        <v>80</v>
      </c>
      <c r="D52" s="714">
        <v>3</v>
      </c>
      <c r="E52" s="714">
        <v>0</v>
      </c>
      <c r="F52" s="714">
        <v>1</v>
      </c>
      <c r="G52" s="665">
        <f t="shared" si="8"/>
        <v>240</v>
      </c>
      <c r="H52" s="665">
        <f t="shared" si="9"/>
        <v>0</v>
      </c>
      <c r="I52" s="665">
        <f t="shared" si="10"/>
        <v>80</v>
      </c>
      <c r="J52" s="714">
        <v>5</v>
      </c>
      <c r="K52" s="665" t="s">
        <v>416</v>
      </c>
      <c r="L52" s="715" t="s">
        <v>350</v>
      </c>
      <c r="M52" s="322"/>
      <c r="N52" s="322"/>
      <c r="O52" s="684"/>
      <c r="P52" s="684"/>
      <c r="Q52" s="322"/>
      <c r="R52" s="322"/>
      <c r="S52" s="322"/>
      <c r="AA52" s="598"/>
      <c r="AB52" s="598"/>
      <c r="AC52" s="598"/>
      <c r="AD52" s="598"/>
      <c r="AE52" s="598"/>
      <c r="AF52" s="598"/>
      <c r="AG52" s="598"/>
      <c r="AH52" s="598"/>
      <c r="AI52" s="598"/>
    </row>
    <row r="53" spans="2:35" s="323" customFormat="1">
      <c r="B53" s="651" t="s">
        <v>406</v>
      </c>
      <c r="C53" s="663">
        <v>300</v>
      </c>
      <c r="D53" s="714">
        <v>2</v>
      </c>
      <c r="E53" s="714">
        <v>6</v>
      </c>
      <c r="F53" s="714">
        <v>10</v>
      </c>
      <c r="G53" s="665">
        <f t="shared" si="8"/>
        <v>600</v>
      </c>
      <c r="H53" s="665">
        <f t="shared" si="9"/>
        <v>1800</v>
      </c>
      <c r="I53" s="665">
        <f t="shared" si="10"/>
        <v>3000</v>
      </c>
      <c r="J53" s="714">
        <v>4</v>
      </c>
      <c r="K53" s="665" t="s">
        <v>416</v>
      </c>
      <c r="L53" s="715" t="s">
        <v>350</v>
      </c>
      <c r="M53" s="322"/>
      <c r="N53" s="322"/>
      <c r="O53" s="684"/>
      <c r="P53" s="322"/>
      <c r="Q53" s="322"/>
      <c r="R53" s="322"/>
      <c r="S53" s="322"/>
      <c r="AA53" s="598"/>
      <c r="AB53" s="598"/>
      <c r="AC53" s="598"/>
      <c r="AD53" s="598"/>
      <c r="AE53" s="598"/>
      <c r="AF53" s="598"/>
      <c r="AG53" s="598"/>
      <c r="AH53" s="598"/>
      <c r="AI53" s="598"/>
    </row>
    <row r="54" spans="2:35" s="333" customFormat="1">
      <c r="B54" s="651" t="s">
        <v>407</v>
      </c>
      <c r="C54" s="663">
        <v>30000</v>
      </c>
      <c r="D54" s="714">
        <v>1</v>
      </c>
      <c r="E54" s="714">
        <v>1</v>
      </c>
      <c r="F54" s="714">
        <v>2</v>
      </c>
      <c r="G54" s="665">
        <f t="shared" si="8"/>
        <v>30000</v>
      </c>
      <c r="H54" s="665">
        <f t="shared" si="9"/>
        <v>30000</v>
      </c>
      <c r="I54" s="665">
        <f t="shared" si="10"/>
        <v>60000</v>
      </c>
      <c r="J54" s="714" t="str">
        <f>"-"</f>
        <v>-</v>
      </c>
      <c r="K54" s="665" t="s">
        <v>415</v>
      </c>
      <c r="L54" s="716">
        <v>0.4</v>
      </c>
      <c r="M54" s="357"/>
      <c r="N54" s="357"/>
      <c r="O54" s="665"/>
      <c r="P54" s="357"/>
      <c r="Q54" s="357"/>
      <c r="R54" s="357"/>
      <c r="S54" s="357"/>
      <c r="U54" s="323"/>
      <c r="V54" s="323"/>
      <c r="W54" s="323"/>
      <c r="X54" s="323"/>
      <c r="Y54" s="323"/>
      <c r="Z54" s="323"/>
      <c r="AA54" s="598"/>
      <c r="AB54" s="598"/>
      <c r="AC54" s="603"/>
      <c r="AD54" s="603"/>
      <c r="AE54" s="603"/>
      <c r="AF54" s="603"/>
      <c r="AG54" s="603"/>
      <c r="AH54" s="603"/>
      <c r="AI54" s="603"/>
    </row>
    <row r="55" spans="2:35" s="333" customFormat="1">
      <c r="B55" s="651" t="s">
        <v>408</v>
      </c>
      <c r="C55" s="663">
        <v>100</v>
      </c>
      <c r="D55" s="714">
        <v>12</v>
      </c>
      <c r="E55" s="714">
        <v>1</v>
      </c>
      <c r="F55" s="714">
        <v>10</v>
      </c>
      <c r="G55" s="665">
        <f t="shared" si="8"/>
        <v>1200</v>
      </c>
      <c r="H55" s="665">
        <f t="shared" si="9"/>
        <v>100</v>
      </c>
      <c r="I55" s="665">
        <f t="shared" si="10"/>
        <v>1000</v>
      </c>
      <c r="J55" s="714">
        <v>4</v>
      </c>
      <c r="K55" s="665" t="s">
        <v>416</v>
      </c>
      <c r="L55" s="717" t="s">
        <v>350</v>
      </c>
      <c r="M55" s="357"/>
      <c r="N55" s="357"/>
      <c r="O55" s="665"/>
      <c r="P55" s="357"/>
      <c r="Q55" s="357"/>
      <c r="R55" s="357"/>
      <c r="S55" s="357"/>
      <c r="U55" s="323"/>
      <c r="V55" s="323"/>
      <c r="W55" s="323"/>
      <c r="X55" s="323"/>
      <c r="Y55" s="323"/>
      <c r="Z55" s="323"/>
      <c r="AA55" s="598"/>
      <c r="AB55" s="598"/>
      <c r="AC55" s="603"/>
      <c r="AD55" s="603"/>
      <c r="AE55" s="603"/>
      <c r="AF55" s="603"/>
      <c r="AG55" s="603"/>
      <c r="AH55" s="603"/>
      <c r="AI55" s="603"/>
    </row>
    <row r="56" spans="2:35" s="333" customFormat="1">
      <c r="B56" s="651" t="s">
        <v>409</v>
      </c>
      <c r="C56" s="663">
        <v>80</v>
      </c>
      <c r="D56" s="714">
        <v>12</v>
      </c>
      <c r="E56" s="714">
        <v>1</v>
      </c>
      <c r="F56" s="714">
        <v>10</v>
      </c>
      <c r="G56" s="665">
        <f t="shared" si="8"/>
        <v>960</v>
      </c>
      <c r="H56" s="665">
        <f t="shared" si="9"/>
        <v>80</v>
      </c>
      <c r="I56" s="665">
        <f t="shared" si="10"/>
        <v>800</v>
      </c>
      <c r="J56" s="714">
        <v>7</v>
      </c>
      <c r="K56" s="665" t="s">
        <v>416</v>
      </c>
      <c r="L56" s="717" t="s">
        <v>350</v>
      </c>
      <c r="M56" s="357"/>
      <c r="N56" s="357"/>
      <c r="O56" s="665"/>
      <c r="P56" s="357"/>
      <c r="Q56" s="357"/>
      <c r="R56" s="357"/>
      <c r="S56" s="357"/>
      <c r="U56" s="323"/>
      <c r="V56" s="323"/>
      <c r="W56" s="323"/>
      <c r="X56" s="323"/>
      <c r="Y56" s="323"/>
      <c r="Z56" s="323"/>
      <c r="AA56" s="598"/>
      <c r="AB56" s="598"/>
      <c r="AC56" s="603"/>
      <c r="AD56" s="603"/>
      <c r="AE56" s="603"/>
      <c r="AF56" s="603"/>
      <c r="AG56" s="603"/>
      <c r="AH56" s="603"/>
      <c r="AI56" s="603"/>
    </row>
    <row r="57" spans="2:35" s="333" customFormat="1">
      <c r="B57" s="651" t="s">
        <v>410</v>
      </c>
      <c r="C57" s="663">
        <v>2000</v>
      </c>
      <c r="D57" s="714">
        <v>1</v>
      </c>
      <c r="E57" s="714">
        <v>1</v>
      </c>
      <c r="F57" s="714">
        <v>0</v>
      </c>
      <c r="G57" s="665">
        <f t="shared" si="8"/>
        <v>2000</v>
      </c>
      <c r="H57" s="665">
        <f t="shared" si="9"/>
        <v>2000</v>
      </c>
      <c r="I57" s="665">
        <f t="shared" si="10"/>
        <v>0</v>
      </c>
      <c r="J57" s="714" t="str">
        <f>"-"</f>
        <v>-</v>
      </c>
      <c r="K57" s="665" t="s">
        <v>415</v>
      </c>
      <c r="L57" s="716">
        <v>0.1</v>
      </c>
      <c r="M57" s="357"/>
      <c r="N57" s="357"/>
      <c r="O57" s="665"/>
      <c r="P57" s="357"/>
      <c r="Q57" s="357"/>
      <c r="R57" s="357"/>
      <c r="S57" s="357"/>
      <c r="U57" s="323"/>
      <c r="V57" s="323"/>
      <c r="W57" s="323"/>
      <c r="X57" s="323"/>
      <c r="Y57" s="323"/>
      <c r="Z57" s="323"/>
      <c r="AA57" s="598"/>
      <c r="AB57" s="598"/>
      <c r="AC57" s="603"/>
      <c r="AD57" s="603"/>
      <c r="AE57" s="603"/>
      <c r="AF57" s="603"/>
      <c r="AG57" s="603"/>
      <c r="AH57" s="603"/>
      <c r="AI57" s="603"/>
    </row>
    <row r="58" spans="2:35" s="333" customFormat="1">
      <c r="B58" s="651" t="s">
        <v>411</v>
      </c>
      <c r="C58" s="663">
        <v>900</v>
      </c>
      <c r="D58" s="714">
        <v>4</v>
      </c>
      <c r="E58" s="714">
        <v>0</v>
      </c>
      <c r="F58" s="714">
        <v>0</v>
      </c>
      <c r="G58" s="665">
        <f t="shared" si="8"/>
        <v>3600</v>
      </c>
      <c r="H58" s="665">
        <f t="shared" si="9"/>
        <v>0</v>
      </c>
      <c r="I58" s="665">
        <f t="shared" si="10"/>
        <v>0</v>
      </c>
      <c r="J58" s="714">
        <v>5</v>
      </c>
      <c r="K58" s="665" t="s">
        <v>416</v>
      </c>
      <c r="L58" s="717" t="s">
        <v>350</v>
      </c>
      <c r="M58" s="357"/>
      <c r="N58" s="357"/>
      <c r="O58" s="665"/>
      <c r="P58" s="357"/>
      <c r="Q58" s="357"/>
      <c r="R58" s="357"/>
      <c r="S58" s="357"/>
      <c r="U58" s="323"/>
      <c r="V58" s="323"/>
      <c r="W58" s="323"/>
      <c r="X58" s="323"/>
      <c r="Y58" s="323"/>
      <c r="Z58" s="323"/>
      <c r="AA58" s="598"/>
      <c r="AB58" s="598"/>
      <c r="AC58" s="603"/>
      <c r="AD58" s="603"/>
      <c r="AE58" s="603"/>
      <c r="AF58" s="603"/>
      <c r="AG58" s="603"/>
      <c r="AH58" s="603"/>
      <c r="AI58" s="603"/>
    </row>
    <row r="59" spans="2:35" s="333" customFormat="1" ht="16.2" thickBot="1">
      <c r="B59" s="653" t="s">
        <v>412</v>
      </c>
      <c r="C59" s="663">
        <v>40</v>
      </c>
      <c r="D59" s="714">
        <v>10</v>
      </c>
      <c r="E59" s="714">
        <v>0</v>
      </c>
      <c r="F59" s="714">
        <v>0</v>
      </c>
      <c r="G59" s="665">
        <f t="shared" si="8"/>
        <v>400</v>
      </c>
      <c r="H59" s="665">
        <f t="shared" si="9"/>
        <v>0</v>
      </c>
      <c r="I59" s="665">
        <f t="shared" si="10"/>
        <v>0</v>
      </c>
      <c r="J59" s="714">
        <v>8</v>
      </c>
      <c r="K59" s="665" t="s">
        <v>416</v>
      </c>
      <c r="L59" s="715" t="s">
        <v>350</v>
      </c>
      <c r="M59" s="357"/>
      <c r="N59" s="357"/>
      <c r="O59" s="665"/>
      <c r="P59" s="357"/>
      <c r="Q59" s="357"/>
      <c r="R59" s="357"/>
      <c r="S59" s="357"/>
      <c r="U59" s="323"/>
      <c r="V59" s="323"/>
      <c r="W59" s="323"/>
      <c r="X59" s="323"/>
      <c r="Y59" s="323"/>
      <c r="Z59" s="323"/>
      <c r="AA59" s="598"/>
      <c r="AB59" s="598"/>
      <c r="AC59" s="603"/>
      <c r="AD59" s="603"/>
      <c r="AE59" s="603"/>
      <c r="AF59" s="603"/>
      <c r="AG59" s="603"/>
      <c r="AH59" s="603"/>
      <c r="AI59" s="603"/>
    </row>
    <row r="60" spans="2:35" s="333" customFormat="1" ht="16.8" thickTop="1" thickBot="1">
      <c r="B60" s="718" t="s">
        <v>395</v>
      </c>
      <c r="C60" s="719"/>
      <c r="D60" s="719"/>
      <c r="E60" s="719"/>
      <c r="F60" s="719"/>
      <c r="G60" s="720">
        <f>SUM(G50:G59)</f>
        <v>49800</v>
      </c>
      <c r="H60" s="720">
        <f>SUM(H50:H59)</f>
        <v>44380</v>
      </c>
      <c r="I60" s="720">
        <f>SUM(I50:I59)</f>
        <v>82480</v>
      </c>
      <c r="J60" s="719"/>
      <c r="K60" s="719"/>
      <c r="L60" s="721"/>
      <c r="M60" s="357"/>
      <c r="N60" s="357"/>
      <c r="O60" s="665"/>
      <c r="P60" s="357"/>
      <c r="Q60" s="357"/>
      <c r="R60" s="357"/>
      <c r="S60" s="357"/>
      <c r="U60" s="323"/>
      <c r="V60" s="323"/>
      <c r="W60" s="323"/>
      <c r="X60" s="323"/>
      <c r="Y60" s="323"/>
      <c r="Z60" s="323"/>
      <c r="AA60" s="598"/>
      <c r="AB60" s="598"/>
      <c r="AC60" s="603"/>
      <c r="AD60" s="603"/>
      <c r="AE60" s="603"/>
      <c r="AF60" s="603"/>
      <c r="AG60" s="603"/>
      <c r="AH60" s="603"/>
      <c r="AI60" s="603"/>
    </row>
    <row r="61" spans="2:35" s="333" customFormat="1" ht="16.2" thickTop="1">
      <c r="B61" s="357"/>
      <c r="C61" s="357"/>
      <c r="D61" s="357"/>
      <c r="E61" s="357"/>
      <c r="F61" s="357"/>
      <c r="G61" s="357"/>
      <c r="H61" s="357"/>
      <c r="I61" s="357"/>
      <c r="J61" s="357"/>
      <c r="K61" s="357"/>
      <c r="L61" s="357"/>
      <c r="M61" s="357"/>
      <c r="N61" s="357"/>
      <c r="O61" s="665"/>
      <c r="P61" s="357"/>
      <c r="Q61" s="357"/>
      <c r="R61" s="357"/>
      <c r="S61" s="357"/>
      <c r="U61" s="323"/>
      <c r="V61" s="323"/>
      <c r="W61" s="323"/>
      <c r="X61" s="323"/>
      <c r="Y61" s="323"/>
      <c r="Z61" s="323"/>
      <c r="AA61" s="598"/>
      <c r="AB61" s="598"/>
      <c r="AC61" s="603"/>
      <c r="AD61" s="603"/>
      <c r="AE61" s="603"/>
      <c r="AF61" s="603"/>
      <c r="AG61" s="603"/>
      <c r="AH61" s="603"/>
      <c r="AI61" s="603"/>
    </row>
    <row r="62" spans="2:35" s="333" customFormat="1">
      <c r="B62" s="357"/>
      <c r="C62" s="357"/>
      <c r="D62" s="357"/>
      <c r="E62" s="357"/>
      <c r="F62" s="357"/>
      <c r="G62" s="357"/>
      <c r="H62" s="357"/>
      <c r="I62" s="357"/>
      <c r="J62" s="357"/>
      <c r="K62" s="357"/>
      <c r="L62" s="357"/>
      <c r="M62" s="357"/>
      <c r="N62" s="357"/>
      <c r="O62" s="665"/>
      <c r="P62" s="357"/>
      <c r="Q62" s="357"/>
      <c r="R62" s="357"/>
      <c r="S62" s="357"/>
      <c r="U62" s="323"/>
      <c r="V62" s="323"/>
      <c r="W62" s="323"/>
      <c r="X62" s="323"/>
      <c r="Y62" s="323"/>
      <c r="Z62" s="323"/>
      <c r="AA62" s="598"/>
      <c r="AB62" s="598"/>
      <c r="AC62" s="603"/>
      <c r="AD62" s="603"/>
      <c r="AE62" s="603"/>
      <c r="AF62" s="603"/>
      <c r="AG62" s="603"/>
      <c r="AH62" s="603"/>
      <c r="AI62" s="603"/>
    </row>
    <row r="63" spans="2:35" s="333" customFormat="1" ht="16.2" thickBot="1">
      <c r="B63" s="357"/>
      <c r="C63" s="357"/>
      <c r="D63" s="357"/>
      <c r="E63" s="357"/>
      <c r="F63" s="357"/>
      <c r="G63" s="357"/>
      <c r="H63" s="357"/>
      <c r="I63" s="357"/>
      <c r="J63" s="357"/>
      <c r="K63" s="357"/>
      <c r="L63" s="357"/>
      <c r="M63" s="357"/>
      <c r="N63" s="357"/>
      <c r="O63" s="665"/>
      <c r="P63" s="357"/>
      <c r="Q63" s="357"/>
      <c r="R63" s="357"/>
      <c r="S63" s="357"/>
      <c r="U63" s="323"/>
      <c r="V63" s="323"/>
      <c r="W63" s="323"/>
      <c r="X63" s="323"/>
      <c r="Y63" s="323"/>
      <c r="Z63" s="323"/>
      <c r="AA63" s="598"/>
      <c r="AB63" s="598"/>
      <c r="AC63" s="603"/>
      <c r="AD63" s="603"/>
      <c r="AE63" s="603"/>
      <c r="AF63" s="603"/>
      <c r="AG63" s="603"/>
      <c r="AH63" s="603"/>
      <c r="AI63" s="603"/>
    </row>
    <row r="64" spans="2:35" s="333" customFormat="1" ht="54" customHeight="1" thickTop="1">
      <c r="B64" s="1254" t="s">
        <v>175</v>
      </c>
      <c r="C64" s="1255"/>
      <c r="D64" s="1256"/>
      <c r="E64"/>
      <c r="F64" s="1251" t="s">
        <v>137</v>
      </c>
      <c r="G64" s="1252"/>
      <c r="H64" s="1252"/>
      <c r="I64" s="1252"/>
      <c r="J64" s="1253"/>
      <c r="K64" s="357"/>
      <c r="L64" s="357"/>
      <c r="M64" s="357"/>
      <c r="N64" s="357"/>
      <c r="O64" s="357"/>
      <c r="P64" s="357"/>
      <c r="Q64" s="357"/>
      <c r="R64" s="357"/>
      <c r="S64" s="357"/>
      <c r="U64" s="323"/>
      <c r="V64" s="323"/>
      <c r="W64" s="323"/>
      <c r="X64" s="323"/>
      <c r="Y64" s="323"/>
      <c r="Z64" s="323"/>
      <c r="AA64" s="598"/>
      <c r="AB64" s="598"/>
      <c r="AC64" s="603"/>
      <c r="AD64" s="603"/>
      <c r="AE64" s="603"/>
      <c r="AF64" s="603"/>
      <c r="AG64" s="603"/>
      <c r="AH64" s="603"/>
      <c r="AI64" s="603"/>
    </row>
    <row r="65" spans="2:35" s="333" customFormat="1">
      <c r="B65" s="681" t="s">
        <v>465</v>
      </c>
      <c r="C65" s="654"/>
      <c r="D65" s="722"/>
      <c r="E65" s="357"/>
      <c r="F65" s="1261" t="s">
        <v>466</v>
      </c>
      <c r="G65" s="1262"/>
      <c r="H65" s="723" cm="1">
        <f t="array" ref="H65">_xlfn.ANCHORARRAY(M23)</f>
        <v>2024</v>
      </c>
      <c r="I65" s="723" cm="1">
        <f t="array" ref="I65">_xlfn.ANCHORARRAY(N23)</f>
        <v>2025</v>
      </c>
      <c r="J65" s="724" cm="1">
        <f t="array" ref="J65">_xlfn.ANCHORARRAY(O23)</f>
        <v>2026</v>
      </c>
      <c r="K65" s="357"/>
      <c r="L65" s="357"/>
      <c r="M65" s="357"/>
      <c r="N65" s="357"/>
      <c r="O65" s="357"/>
      <c r="P65" s="357"/>
      <c r="Q65" s="357"/>
      <c r="R65" s="357"/>
      <c r="S65" s="357"/>
      <c r="U65" s="323"/>
      <c r="V65" s="323"/>
      <c r="W65" s="323"/>
      <c r="X65" s="323"/>
      <c r="Y65" s="323"/>
      <c r="Z65" s="323"/>
      <c r="AA65" s="598"/>
      <c r="AB65" s="598"/>
      <c r="AC65" s="603"/>
      <c r="AD65" s="603"/>
      <c r="AE65" s="603"/>
      <c r="AF65" s="603"/>
      <c r="AG65" s="603"/>
      <c r="AH65" s="603"/>
      <c r="AI65" s="603"/>
    </row>
    <row r="66" spans="2:35" s="333" customFormat="1">
      <c r="B66" s="725" t="s">
        <v>32</v>
      </c>
      <c r="C66" s="665"/>
      <c r="D66" s="686">
        <v>500000</v>
      </c>
      <c r="E66" s="357"/>
      <c r="F66" s="1264" t="s">
        <v>0</v>
      </c>
      <c r="G66" s="1265"/>
      <c r="H66" s="727">
        <f>H67+H68</f>
        <v>113227.4018640656</v>
      </c>
      <c r="I66" s="727">
        <f>I67+I68</f>
        <v>117470.0197945481</v>
      </c>
      <c r="J66" s="728">
        <f>J67+J68</f>
        <v>121947.37568505153</v>
      </c>
      <c r="K66" s="357"/>
      <c r="L66" s="357"/>
      <c r="M66" s="357"/>
      <c r="N66" s="357"/>
      <c r="O66" s="357"/>
      <c r="P66" s="357"/>
      <c r="Q66" s="357"/>
      <c r="R66" s="357"/>
      <c r="S66" s="357"/>
      <c r="U66" s="323"/>
      <c r="V66" s="323"/>
      <c r="W66" s="323"/>
      <c r="X66" s="323"/>
      <c r="Y66" s="323"/>
      <c r="Z66" s="323"/>
      <c r="AA66" s="598"/>
      <c r="AB66" s="598"/>
      <c r="AC66" s="603"/>
      <c r="AD66" s="603"/>
      <c r="AE66" s="603"/>
      <c r="AF66" s="603"/>
      <c r="AG66" s="603"/>
      <c r="AH66" s="603"/>
      <c r="AI66" s="603"/>
    </row>
    <row r="67" spans="2:35" s="333" customFormat="1">
      <c r="B67" s="729" t="s">
        <v>29</v>
      </c>
      <c r="C67" s="730"/>
      <c r="D67" s="731">
        <v>0.05</v>
      </c>
      <c r="E67" s="357"/>
      <c r="F67" s="1264" t="s">
        <v>1</v>
      </c>
      <c r="G67" s="1265"/>
      <c r="H67" s="727">
        <f>-SUM(D115:O115)</f>
        <v>22949.775373266384</v>
      </c>
      <c r="I67" s="727">
        <f>-SUM(E115:P115)</f>
        <v>22573.618596221386</v>
      </c>
      <c r="J67" s="728">
        <f>-SUM(F115:Q115)</f>
        <v>22195.894499272035</v>
      </c>
      <c r="K67" s="357"/>
      <c r="L67" s="357"/>
      <c r="M67" s="357"/>
      <c r="N67" s="357"/>
      <c r="O67" s="357"/>
      <c r="P67" s="357"/>
      <c r="Q67" s="357"/>
      <c r="R67" s="357"/>
      <c r="S67" s="357"/>
      <c r="U67" s="323"/>
      <c r="V67" s="323"/>
      <c r="W67" s="323"/>
      <c r="X67" s="323"/>
      <c r="Y67" s="323"/>
      <c r="Z67" s="323"/>
      <c r="AA67" s="598"/>
      <c r="AB67" s="598"/>
      <c r="AC67" s="603"/>
      <c r="AD67" s="603"/>
      <c r="AE67" s="603"/>
      <c r="AF67" s="603"/>
      <c r="AG67" s="603"/>
      <c r="AH67" s="603"/>
      <c r="AI67" s="603"/>
    </row>
    <row r="68" spans="2:35" s="333" customFormat="1" ht="16.2" thickBot="1">
      <c r="B68" s="732" t="s">
        <v>59</v>
      </c>
      <c r="C68" s="733"/>
      <c r="D68" s="734">
        <v>60</v>
      </c>
      <c r="E68" s="357"/>
      <c r="F68" s="1266" t="s">
        <v>2</v>
      </c>
      <c r="G68" s="1267"/>
      <c r="H68" s="736">
        <f>SUM('Cash Flow'!D147:O147)</f>
        <v>90277.626490799215</v>
      </c>
      <c r="I68" s="736">
        <f>SUM('Cash Flow'!P147:AA147)</f>
        <v>94896.401198326726</v>
      </c>
      <c r="J68" s="737">
        <f>SUM('Cash Flow'!AB147:AM147)</f>
        <v>99751.481185779499</v>
      </c>
      <c r="K68" s="357"/>
      <c r="L68" s="357"/>
      <c r="M68" s="357"/>
      <c r="N68" s="357"/>
      <c r="O68" s="357"/>
      <c r="P68" s="357"/>
      <c r="Q68" s="357"/>
      <c r="R68" s="357"/>
      <c r="S68" s="357"/>
      <c r="U68" s="323"/>
      <c r="V68" s="323"/>
      <c r="W68" s="323"/>
      <c r="X68" s="323"/>
      <c r="Y68" s="323"/>
      <c r="Z68" s="323"/>
      <c r="AA68" s="598"/>
      <c r="AB68" s="598"/>
      <c r="AC68" s="603"/>
      <c r="AD68" s="603"/>
      <c r="AE68" s="603"/>
      <c r="AF68" s="603"/>
      <c r="AG68" s="603"/>
      <c r="AH68" s="603"/>
      <c r="AI68" s="603"/>
    </row>
    <row r="69" spans="2:35" s="333" customFormat="1" ht="16.2" thickTop="1">
      <c r="B69" s="738" t="s">
        <v>102</v>
      </c>
      <c r="C69" s="739"/>
      <c r="D69" s="740"/>
      <c r="E69" s="357"/>
      <c r="F69" s="357"/>
      <c r="G69" s="357"/>
      <c r="H69" s="357"/>
      <c r="I69" s="357"/>
      <c r="J69" s="357"/>
      <c r="K69" s="357"/>
      <c r="L69" s="357"/>
      <c r="M69" s="357"/>
      <c r="N69" s="357"/>
      <c r="O69" s="665"/>
      <c r="P69" s="357"/>
      <c r="Q69" s="357"/>
      <c r="R69" s="357"/>
      <c r="S69" s="357"/>
      <c r="U69" s="323"/>
      <c r="V69" s="323"/>
      <c r="W69" s="323"/>
      <c r="X69" s="323"/>
      <c r="Y69" s="323"/>
      <c r="Z69" s="323"/>
      <c r="AA69" s="598"/>
      <c r="AB69" s="598"/>
      <c r="AC69" s="603"/>
      <c r="AD69" s="603"/>
      <c r="AE69" s="603"/>
      <c r="AF69" s="603"/>
      <c r="AG69" s="603"/>
      <c r="AH69" s="603"/>
      <c r="AI69" s="603"/>
    </row>
    <row r="70" spans="2:35" s="333" customFormat="1">
      <c r="B70" s="725" t="s">
        <v>64</v>
      </c>
      <c r="C70" s="665"/>
      <c r="D70" s="741">
        <v>200000</v>
      </c>
      <c r="E70" s="357"/>
      <c r="F70" s="357"/>
      <c r="G70" s="357"/>
      <c r="H70" s="357"/>
      <c r="I70" s="357"/>
      <c r="J70" s="357"/>
      <c r="K70" s="357"/>
      <c r="L70" s="357"/>
      <c r="M70" s="357"/>
      <c r="N70" s="357"/>
      <c r="O70" s="665"/>
      <c r="P70" s="357"/>
      <c r="Q70" s="357"/>
      <c r="R70" s="357"/>
      <c r="S70" s="357"/>
      <c r="U70" s="323"/>
      <c r="V70" s="323"/>
      <c r="W70" s="323"/>
      <c r="X70" s="323"/>
      <c r="Y70" s="323"/>
      <c r="Z70" s="323"/>
      <c r="AA70" s="598"/>
      <c r="AB70" s="598"/>
      <c r="AC70" s="603"/>
      <c r="AD70" s="603"/>
      <c r="AE70" s="603"/>
      <c r="AF70" s="603"/>
      <c r="AG70" s="603"/>
      <c r="AH70" s="603"/>
      <c r="AI70" s="603"/>
    </row>
    <row r="71" spans="2:35" s="333" customFormat="1" ht="16.2" thickBot="1">
      <c r="B71" s="742" t="s">
        <v>65</v>
      </c>
      <c r="C71" s="733"/>
      <c r="D71" s="743">
        <v>40000</v>
      </c>
      <c r="E71" s="357"/>
      <c r="F71" s="357"/>
      <c r="G71" s="357"/>
      <c r="H71" s="357"/>
      <c r="I71" s="357"/>
      <c r="J71" s="357"/>
      <c r="K71" s="357"/>
      <c r="L71" s="357"/>
      <c r="M71" s="357"/>
      <c r="N71" s="357"/>
      <c r="O71" s="357"/>
      <c r="P71" s="357"/>
      <c r="Q71" s="357"/>
      <c r="R71" s="357"/>
      <c r="S71" s="357"/>
      <c r="U71" s="323"/>
      <c r="V71" s="323"/>
      <c r="W71" s="323"/>
      <c r="X71" s="323"/>
      <c r="Y71" s="323"/>
      <c r="Z71" s="323"/>
      <c r="AA71" s="598"/>
      <c r="AB71" s="598"/>
      <c r="AC71" s="603"/>
      <c r="AD71" s="603"/>
      <c r="AE71" s="603"/>
      <c r="AF71" s="603"/>
      <c r="AG71" s="603"/>
      <c r="AH71" s="603"/>
      <c r="AI71" s="603"/>
    </row>
    <row r="72" spans="2:35" s="333" customFormat="1" ht="16.2" thickTop="1">
      <c r="E72" s="357"/>
      <c r="F72" s="357"/>
      <c r="G72" s="357"/>
      <c r="H72" s="357"/>
      <c r="I72" s="357"/>
      <c r="J72" s="357"/>
      <c r="K72" s="357"/>
      <c r="L72" s="357"/>
      <c r="M72" s="357"/>
      <c r="N72" s="357"/>
      <c r="O72" s="357"/>
      <c r="P72" s="357"/>
      <c r="Q72" s="357"/>
      <c r="R72" s="357"/>
      <c r="S72" s="357"/>
      <c r="U72" s="323"/>
      <c r="V72" s="323"/>
      <c r="W72" s="323"/>
      <c r="X72" s="323"/>
      <c r="Y72" s="323"/>
      <c r="Z72" s="323"/>
      <c r="AA72" s="598"/>
      <c r="AB72" s="598"/>
    </row>
    <row r="73" spans="2:35" s="333" customFormat="1">
      <c r="B73" s="357"/>
      <c r="C73" s="357"/>
      <c r="D73" s="357"/>
      <c r="E73" s="357"/>
      <c r="F73" s="652"/>
      <c r="G73" s="357"/>
      <c r="H73" s="357"/>
      <c r="I73" s="357"/>
      <c r="J73" s="357"/>
      <c r="K73" s="357"/>
      <c r="L73" s="357"/>
      <c r="M73" s="357"/>
      <c r="N73" s="357"/>
      <c r="O73" s="357"/>
      <c r="P73" s="357"/>
      <c r="Q73" s="357"/>
      <c r="R73" s="357"/>
      <c r="S73" s="357"/>
      <c r="U73" s="323"/>
      <c r="V73" s="323"/>
      <c r="W73" s="323"/>
      <c r="X73" s="323"/>
      <c r="Y73" s="323"/>
      <c r="Z73" s="323"/>
      <c r="AA73" s="598"/>
      <c r="AB73" s="598"/>
    </row>
    <row r="74" spans="2:35" s="333" customFormat="1">
      <c r="B74" s="357"/>
      <c r="C74" s="357"/>
      <c r="D74" s="357"/>
      <c r="E74" s="357"/>
      <c r="F74" s="652"/>
      <c r="G74" s="357"/>
      <c r="H74" s="357"/>
      <c r="I74" s="357"/>
      <c r="J74" s="357"/>
      <c r="K74" s="357"/>
      <c r="L74" s="357"/>
      <c r="M74" s="357"/>
      <c r="N74" s="357"/>
      <c r="O74" s="357"/>
      <c r="P74" s="357"/>
      <c r="Q74" s="357"/>
      <c r="R74" s="357"/>
      <c r="S74" s="357"/>
      <c r="U74" s="323"/>
      <c r="V74" s="323"/>
      <c r="W74" s="323"/>
      <c r="X74" s="323"/>
      <c r="Y74" s="323"/>
      <c r="Z74" s="323"/>
      <c r="AA74" s="598"/>
      <c r="AB74" s="598"/>
    </row>
    <row r="75" spans="2:35" s="370" customFormat="1" ht="49.95" customHeight="1" thickBot="1">
      <c r="B75" s="1263" t="s">
        <v>467</v>
      </c>
      <c r="C75" s="1263"/>
      <c r="D75" s="1263"/>
      <c r="E75" s="652"/>
      <c r="F75" s="652"/>
      <c r="G75"/>
      <c r="H75" s="652"/>
      <c r="I75" s="652"/>
      <c r="J75" s="652"/>
      <c r="K75" s="652"/>
      <c r="L75" s="652"/>
      <c r="M75" s="652"/>
      <c r="N75" s="652"/>
      <c r="O75" s="652"/>
      <c r="P75" s="652"/>
      <c r="Q75" s="652"/>
      <c r="R75" s="652"/>
      <c r="S75" s="652"/>
    </row>
    <row r="76" spans="2:35" s="370" customFormat="1" ht="16.2" thickTop="1">
      <c r="B76" s="761" t="s">
        <v>468</v>
      </c>
      <c r="C76" s="762"/>
      <c r="D76" s="763"/>
      <c r="E76" s="652"/>
      <c r="F76" s="652"/>
      <c r="G76" s="652"/>
      <c r="H76" s="652"/>
      <c r="I76" s="652"/>
      <c r="J76" s="652"/>
      <c r="K76" s="652"/>
      <c r="L76" s="652"/>
      <c r="M76" s="652"/>
      <c r="N76" s="652"/>
      <c r="O76" s="652"/>
      <c r="P76" s="652"/>
      <c r="Q76" s="652"/>
      <c r="R76" s="652"/>
      <c r="S76" s="652"/>
    </row>
    <row r="77" spans="2:35" s="370" customFormat="1">
      <c r="B77" s="726" t="s">
        <v>242</v>
      </c>
      <c r="C77" s="661"/>
      <c r="D77" s="744">
        <v>0</v>
      </c>
      <c r="E77" s="652"/>
      <c r="F77" s="652"/>
      <c r="G77" s="652"/>
      <c r="H77" s="652"/>
      <c r="I77" s="652"/>
      <c r="J77" s="652"/>
      <c r="K77" s="652"/>
      <c r="L77" s="652"/>
      <c r="M77" s="652"/>
      <c r="N77" s="652"/>
      <c r="O77" s="652"/>
      <c r="P77" s="652"/>
      <c r="Q77" s="652"/>
      <c r="R77" s="652"/>
      <c r="S77" s="652"/>
    </row>
    <row r="78" spans="2:35" s="370" customFormat="1">
      <c r="B78" s="726" t="s">
        <v>27</v>
      </c>
      <c r="C78" s="661"/>
      <c r="D78" s="745">
        <f>D79-D77</f>
        <v>0</v>
      </c>
      <c r="E78" s="652"/>
      <c r="F78" s="652"/>
      <c r="G78" s="652"/>
      <c r="H78" s="652"/>
      <c r="I78" s="652"/>
      <c r="J78" s="652"/>
      <c r="K78" s="652"/>
      <c r="L78" s="652"/>
      <c r="M78" s="652"/>
      <c r="N78" s="652"/>
      <c r="O78" s="652"/>
      <c r="P78" s="652"/>
      <c r="Q78" s="652"/>
      <c r="R78" s="652"/>
      <c r="S78" s="652"/>
    </row>
    <row r="79" spans="2:35" s="370" customFormat="1" ht="16.2" thickBot="1">
      <c r="B79" s="732" t="s">
        <v>28</v>
      </c>
      <c r="C79" s="735"/>
      <c r="D79" s="746">
        <v>0</v>
      </c>
      <c r="E79" s="652"/>
      <c r="F79" s="652"/>
      <c r="G79" s="652"/>
      <c r="H79" s="652"/>
      <c r="I79" s="652"/>
      <c r="J79" s="652"/>
      <c r="K79" s="652"/>
      <c r="L79" s="652"/>
      <c r="M79" s="652"/>
      <c r="N79" s="652"/>
      <c r="O79" s="652"/>
      <c r="P79" s="652"/>
      <c r="Q79" s="652"/>
      <c r="R79" s="652"/>
      <c r="S79" s="652"/>
    </row>
    <row r="80" spans="2:35" s="333" customFormat="1" ht="16.2" thickTop="1">
      <c r="B80" s="357"/>
      <c r="C80" s="357"/>
      <c r="D80" s="357"/>
      <c r="E80" s="357"/>
      <c r="F80" s="357"/>
      <c r="G80" s="357"/>
      <c r="H80" s="357"/>
      <c r="I80" s="357"/>
      <c r="J80" s="357"/>
      <c r="K80" s="357"/>
      <c r="L80" s="357"/>
      <c r="M80" s="357"/>
      <c r="N80" s="357"/>
      <c r="O80" s="357"/>
      <c r="P80" s="357"/>
      <c r="Q80" s="357"/>
      <c r="R80" s="357"/>
      <c r="S80" s="357"/>
      <c r="U80" s="323"/>
      <c r="V80" s="323"/>
      <c r="W80" s="323"/>
      <c r="X80" s="323"/>
      <c r="Y80" s="323"/>
      <c r="Z80" s="323"/>
      <c r="AA80" s="598"/>
      <c r="AB80" s="598"/>
    </row>
    <row r="81" spans="1:39" s="333" customFormat="1" ht="16.2" thickBot="1">
      <c r="B81" s="357"/>
      <c r="C81" s="357"/>
      <c r="D81" s="357"/>
      <c r="E81" s="747"/>
      <c r="F81" s="652"/>
      <c r="G81" s="357"/>
      <c r="H81" s="357"/>
      <c r="I81" s="357"/>
      <c r="J81" s="357"/>
      <c r="K81" s="357"/>
      <c r="L81" s="357"/>
      <c r="M81" s="357"/>
      <c r="N81" s="357"/>
      <c r="O81" s="357"/>
      <c r="P81" s="357"/>
      <c r="Q81" s="357"/>
      <c r="R81" s="357"/>
      <c r="S81" s="357"/>
      <c r="U81" s="323"/>
      <c r="V81" s="323"/>
      <c r="W81" s="323"/>
      <c r="X81" s="323"/>
      <c r="Y81" s="323"/>
      <c r="Z81" s="323"/>
      <c r="AA81" s="598"/>
      <c r="AB81" s="598"/>
    </row>
    <row r="82" spans="1:39" s="333" customFormat="1" ht="16.8" thickTop="1" thickBot="1">
      <c r="B82" s="748" t="s">
        <v>3</v>
      </c>
      <c r="C82" s="749"/>
      <c r="D82" s="750">
        <v>0.2</v>
      </c>
      <c r="E82" s="684"/>
      <c r="F82" s="652"/>
      <c r="G82" s="357"/>
      <c r="H82" s="357"/>
      <c r="I82" s="357"/>
      <c r="J82" s="357"/>
      <c r="K82" s="357"/>
      <c r="L82" s="357"/>
      <c r="M82" s="357"/>
      <c r="N82" s="357"/>
      <c r="O82" s="357"/>
      <c r="P82" s="357"/>
      <c r="Q82" s="357"/>
      <c r="R82" s="357"/>
      <c r="S82" s="357"/>
      <c r="U82" s="323"/>
      <c r="V82" s="323"/>
      <c r="W82" s="323"/>
      <c r="X82" s="323"/>
      <c r="Y82" s="323"/>
      <c r="Z82" s="323"/>
      <c r="AA82" s="598"/>
      <c r="AB82" s="598"/>
    </row>
    <row r="83" spans="1:39" s="333" customFormat="1" ht="16.8" thickTop="1" thickBot="1">
      <c r="B83" s="357"/>
      <c r="C83" s="357"/>
      <c r="D83" s="357"/>
      <c r="E83" s="684"/>
      <c r="F83" s="357"/>
      <c r="G83" s="357"/>
      <c r="H83" s="357"/>
      <c r="I83" s="357"/>
      <c r="J83" s="357"/>
      <c r="K83" s="357"/>
      <c r="L83" s="357"/>
      <c r="M83" s="357"/>
      <c r="N83" s="357"/>
      <c r="O83" s="357"/>
      <c r="P83" s="357"/>
      <c r="Q83" s="357"/>
      <c r="R83" s="357"/>
      <c r="S83" s="357"/>
      <c r="U83" s="323"/>
      <c r="V83" s="323"/>
      <c r="W83" s="323"/>
      <c r="X83" s="323"/>
      <c r="Y83" s="323"/>
      <c r="Z83" s="323"/>
      <c r="AA83" s="598"/>
      <c r="AB83" s="598"/>
    </row>
    <row r="84" spans="1:39" s="333" customFormat="1" ht="16.8" thickTop="1" thickBot="1">
      <c r="B84" s="748" t="s">
        <v>25</v>
      </c>
      <c r="C84" s="749"/>
      <c r="D84" s="750">
        <v>0.25</v>
      </c>
      <c r="E84" s="684"/>
      <c r="F84" s="357"/>
      <c r="G84" s="357"/>
      <c r="H84" s="357"/>
      <c r="I84" s="357"/>
      <c r="J84" s="357"/>
      <c r="K84" s="357"/>
      <c r="L84" s="357"/>
      <c r="M84" s="357"/>
      <c r="N84" s="357"/>
      <c r="O84" s="665"/>
      <c r="P84" s="357"/>
      <c r="Q84" s="357"/>
      <c r="R84" s="357"/>
      <c r="S84" s="357"/>
      <c r="U84" s="323"/>
      <c r="V84" s="323"/>
      <c r="W84" s="323"/>
      <c r="X84" s="323"/>
      <c r="Y84" s="323"/>
      <c r="Z84" s="323"/>
      <c r="AA84" s="598"/>
      <c r="AB84" s="598"/>
    </row>
    <row r="85" spans="1:39" s="333" customFormat="1" ht="16.2" thickTop="1">
      <c r="B85" s="357"/>
      <c r="C85" s="357"/>
      <c r="D85" s="357"/>
      <c r="E85" s="357"/>
      <c r="F85" s="357"/>
      <c r="G85" s="357"/>
      <c r="H85" s="357"/>
      <c r="I85" s="322"/>
      <c r="J85" s="322"/>
      <c r="K85" s="322"/>
      <c r="L85" s="322"/>
      <c r="M85" s="322"/>
      <c r="N85" s="357"/>
      <c r="O85" s="665"/>
      <c r="P85" s="357"/>
      <c r="Q85" s="357"/>
      <c r="R85" s="357"/>
      <c r="S85" s="357"/>
      <c r="U85" s="323"/>
      <c r="V85" s="323"/>
      <c r="W85" s="323"/>
      <c r="X85" s="323"/>
      <c r="Y85" s="323"/>
      <c r="Z85" s="323"/>
      <c r="AA85" s="598"/>
      <c r="AB85" s="598"/>
    </row>
    <row r="86" spans="1:39" s="333" customFormat="1">
      <c r="A86" s="370"/>
      <c r="B86" s="357"/>
      <c r="C86" s="357"/>
      <c r="D86" s="357"/>
      <c r="E86" s="357"/>
      <c r="F86" s="357"/>
      <c r="G86" s="322"/>
      <c r="H86" s="322"/>
      <c r="I86" s="322"/>
      <c r="J86" s="322"/>
      <c r="K86" s="322"/>
      <c r="L86" s="322"/>
      <c r="M86" s="322"/>
      <c r="N86" s="357"/>
      <c r="O86" s="665"/>
      <c r="P86" s="357"/>
      <c r="Q86" s="357"/>
      <c r="R86" s="357"/>
      <c r="S86" s="357"/>
      <c r="U86" s="323"/>
      <c r="V86" s="323"/>
      <c r="W86" s="323"/>
      <c r="X86" s="323"/>
      <c r="Y86" s="323"/>
      <c r="Z86" s="323"/>
      <c r="AA86" s="598"/>
      <c r="AB86" s="598"/>
    </row>
    <row r="87" spans="1:39" s="333" customFormat="1">
      <c r="A87" s="370"/>
      <c r="B87" s="357"/>
      <c r="C87" s="357"/>
      <c r="D87" s="357"/>
      <c r="E87" s="357"/>
      <c r="F87" s="357"/>
      <c r="G87" s="322"/>
      <c r="H87" s="322"/>
      <c r="I87" s="322"/>
      <c r="J87" s="322"/>
      <c r="K87" s="322"/>
      <c r="L87" s="322"/>
      <c r="M87" s="322"/>
      <c r="N87" s="357"/>
      <c r="O87" s="665"/>
      <c r="P87" s="357"/>
      <c r="Q87" s="357"/>
      <c r="R87" s="357"/>
      <c r="S87" s="357"/>
      <c r="U87" s="323"/>
      <c r="V87" s="323"/>
      <c r="W87" s="323"/>
      <c r="X87" s="323"/>
      <c r="Y87" s="323"/>
      <c r="Z87" s="323"/>
      <c r="AA87" s="598"/>
      <c r="AB87" s="598"/>
    </row>
    <row r="88" spans="1:39" s="333" customFormat="1">
      <c r="O88" s="603"/>
      <c r="P88" s="598"/>
      <c r="Q88" s="323"/>
      <c r="R88" s="323"/>
      <c r="S88" s="323"/>
      <c r="T88" s="323"/>
      <c r="U88" s="323"/>
      <c r="V88" s="323"/>
      <c r="W88" s="323"/>
      <c r="X88" s="323"/>
      <c r="Y88" s="323"/>
      <c r="Z88" s="323"/>
      <c r="AA88" s="598"/>
      <c r="AB88" s="598"/>
    </row>
    <row r="89" spans="1:39" s="935" customFormat="1" ht="28.8">
      <c r="B89" s="951" t="s">
        <v>524</v>
      </c>
      <c r="C89" s="934"/>
      <c r="O89" s="952"/>
      <c r="P89" s="936"/>
      <c r="AA89" s="952"/>
      <c r="AB89" s="936"/>
    </row>
    <row r="90" spans="1:39" s="333" customFormat="1" ht="27" customHeight="1">
      <c r="B90" s="613"/>
      <c r="D90" s="1217"/>
      <c r="E90" s="1217"/>
      <c r="F90" s="1217"/>
      <c r="G90" s="1217"/>
      <c r="H90" s="1217"/>
      <c r="I90" s="1217"/>
      <c r="J90" s="1217"/>
      <c r="K90" s="1217"/>
      <c r="L90" s="1217"/>
      <c r="M90" s="1217"/>
      <c r="N90" s="1217"/>
      <c r="O90" s="1229"/>
      <c r="P90" s="1217"/>
      <c r="Q90" s="1217"/>
      <c r="R90" s="1217"/>
      <c r="S90" s="1217"/>
      <c r="T90" s="1217"/>
      <c r="U90" s="1217"/>
      <c r="V90" s="1217"/>
      <c r="W90" s="1217"/>
      <c r="X90" s="1217"/>
      <c r="Y90" s="1217"/>
      <c r="Z90" s="1217"/>
      <c r="AA90" s="1229"/>
      <c r="AB90" s="1217"/>
      <c r="AC90" s="1217"/>
      <c r="AD90" s="1217"/>
      <c r="AE90" s="1217"/>
      <c r="AF90" s="1217"/>
      <c r="AG90" s="1217"/>
      <c r="AH90" s="1217"/>
      <c r="AI90" s="1217"/>
      <c r="AJ90" s="1217"/>
      <c r="AK90" s="1217"/>
      <c r="AL90" s="1217"/>
      <c r="AM90" s="1229"/>
    </row>
    <row r="91" spans="1:39" s="300" customFormat="1">
      <c r="C91" s="300" t="s">
        <v>33</v>
      </c>
      <c r="D91" s="614">
        <f>'Sales Forecast'!E22</f>
        <v>45292</v>
      </c>
      <c r="E91" s="615">
        <f>DATE(YEAR(D91),MONTH(D91),DAY(EOMONTH(D91,0)))+1</f>
        <v>45323</v>
      </c>
      <c r="F91" s="615">
        <f t="shared" ref="F91:AL91" si="11">DATE(YEAR(E91),MONTH(E91),DAY(EOMONTH(E91,0)))+1</f>
        <v>45352</v>
      </c>
      <c r="G91" s="615">
        <f t="shared" si="11"/>
        <v>45383</v>
      </c>
      <c r="H91" s="615">
        <f t="shared" si="11"/>
        <v>45413</v>
      </c>
      <c r="I91" s="615">
        <f t="shared" si="11"/>
        <v>45444</v>
      </c>
      <c r="J91" s="615">
        <f t="shared" si="11"/>
        <v>45474</v>
      </c>
      <c r="K91" s="615">
        <f t="shared" si="11"/>
        <v>45505</v>
      </c>
      <c r="L91" s="615">
        <f t="shared" si="11"/>
        <v>45536</v>
      </c>
      <c r="M91" s="615">
        <f t="shared" si="11"/>
        <v>45566</v>
      </c>
      <c r="N91" s="615">
        <f t="shared" si="11"/>
        <v>45597</v>
      </c>
      <c r="O91" s="616">
        <f t="shared" si="11"/>
        <v>45627</v>
      </c>
      <c r="P91" s="615">
        <f t="shared" si="11"/>
        <v>45658</v>
      </c>
      <c r="Q91" s="615">
        <f t="shared" si="11"/>
        <v>45689</v>
      </c>
      <c r="R91" s="615">
        <f t="shared" si="11"/>
        <v>45717</v>
      </c>
      <c r="S91" s="615">
        <f t="shared" si="11"/>
        <v>45748</v>
      </c>
      <c r="T91" s="615">
        <f t="shared" si="11"/>
        <v>45778</v>
      </c>
      <c r="U91" s="615">
        <f t="shared" si="11"/>
        <v>45809</v>
      </c>
      <c r="V91" s="615">
        <f t="shared" si="11"/>
        <v>45839</v>
      </c>
      <c r="W91" s="615">
        <f t="shared" si="11"/>
        <v>45870</v>
      </c>
      <c r="X91" s="615">
        <f t="shared" si="11"/>
        <v>45901</v>
      </c>
      <c r="Y91" s="615">
        <f t="shared" si="11"/>
        <v>45931</v>
      </c>
      <c r="Z91" s="615">
        <f t="shared" si="11"/>
        <v>45962</v>
      </c>
      <c r="AA91" s="616">
        <f t="shared" si="11"/>
        <v>45992</v>
      </c>
      <c r="AB91" s="615">
        <f t="shared" si="11"/>
        <v>46023</v>
      </c>
      <c r="AC91" s="615">
        <f t="shared" si="11"/>
        <v>46054</v>
      </c>
      <c r="AD91" s="615">
        <f t="shared" si="11"/>
        <v>46082</v>
      </c>
      <c r="AE91" s="615">
        <f t="shared" si="11"/>
        <v>46113</v>
      </c>
      <c r="AF91" s="615">
        <f t="shared" si="11"/>
        <v>46143</v>
      </c>
      <c r="AG91" s="615">
        <f t="shared" si="11"/>
        <v>46174</v>
      </c>
      <c r="AH91" s="615">
        <f t="shared" si="11"/>
        <v>46204</v>
      </c>
      <c r="AI91" s="615">
        <f t="shared" si="11"/>
        <v>46235</v>
      </c>
      <c r="AJ91" s="615">
        <f t="shared" si="11"/>
        <v>46266</v>
      </c>
      <c r="AK91" s="615">
        <f t="shared" si="11"/>
        <v>46296</v>
      </c>
      <c r="AL91" s="615">
        <f t="shared" si="11"/>
        <v>46327</v>
      </c>
      <c r="AM91" s="615">
        <f>DATE(YEAR(AL91),MONTH(AL91),DAY(EOMONTH(AL91,0)))+1+2023.2-2023.2</f>
        <v>46357</v>
      </c>
    </row>
    <row r="92" spans="1:39" s="757" customFormat="1" outlineLevel="1">
      <c r="B92" s="758" t="s">
        <v>58</v>
      </c>
      <c r="D92" s="759">
        <v>1</v>
      </c>
      <c r="E92" s="759">
        <v>2</v>
      </c>
      <c r="F92" s="759">
        <v>3</v>
      </c>
      <c r="G92" s="759">
        <v>4</v>
      </c>
      <c r="H92" s="759">
        <v>5</v>
      </c>
      <c r="I92" s="759">
        <v>6</v>
      </c>
      <c r="J92" s="759">
        <v>7</v>
      </c>
      <c r="K92" s="759">
        <v>8</v>
      </c>
      <c r="L92" s="759">
        <v>9</v>
      </c>
      <c r="M92" s="759">
        <v>10</v>
      </c>
      <c r="N92" s="759">
        <v>11</v>
      </c>
      <c r="O92" s="760">
        <v>12</v>
      </c>
      <c r="P92" s="759">
        <v>13</v>
      </c>
      <c r="Q92" s="759">
        <v>14</v>
      </c>
      <c r="R92" s="759">
        <v>15</v>
      </c>
      <c r="S92" s="759">
        <v>16</v>
      </c>
      <c r="T92" s="759">
        <v>17</v>
      </c>
      <c r="U92" s="759">
        <v>18</v>
      </c>
      <c r="V92" s="759">
        <v>19</v>
      </c>
      <c r="W92" s="759">
        <v>20</v>
      </c>
      <c r="X92" s="759">
        <v>21</v>
      </c>
      <c r="Y92" s="759">
        <v>22</v>
      </c>
      <c r="Z92" s="759">
        <v>23</v>
      </c>
      <c r="AA92" s="760">
        <v>24</v>
      </c>
      <c r="AB92" s="759">
        <v>25</v>
      </c>
      <c r="AC92" s="759">
        <v>26</v>
      </c>
      <c r="AD92" s="759">
        <v>27</v>
      </c>
      <c r="AE92" s="759">
        <v>28</v>
      </c>
      <c r="AF92" s="759">
        <v>29</v>
      </c>
      <c r="AG92" s="759">
        <v>30</v>
      </c>
      <c r="AH92" s="759">
        <v>31</v>
      </c>
      <c r="AI92" s="759">
        <v>32</v>
      </c>
      <c r="AJ92" s="759">
        <v>33</v>
      </c>
      <c r="AK92" s="759">
        <v>34</v>
      </c>
      <c r="AL92" s="759">
        <v>35</v>
      </c>
      <c r="AM92" s="759">
        <v>36</v>
      </c>
    </row>
    <row r="93" spans="1:39" s="618" customFormat="1" outlineLevel="1">
      <c r="B93" s="617"/>
      <c r="C93" s="618" t="s">
        <v>84</v>
      </c>
      <c r="D93" s="619">
        <f>YEAR(D91)</f>
        <v>2024</v>
      </c>
      <c r="E93" s="619">
        <f t="shared" ref="E93:AM93" si="12">YEAR(E91)</f>
        <v>2024</v>
      </c>
      <c r="F93" s="619">
        <f t="shared" si="12"/>
        <v>2024</v>
      </c>
      <c r="G93" s="619">
        <f t="shared" si="12"/>
        <v>2024</v>
      </c>
      <c r="H93" s="619">
        <f t="shared" si="12"/>
        <v>2024</v>
      </c>
      <c r="I93" s="619">
        <f t="shared" si="12"/>
        <v>2024</v>
      </c>
      <c r="J93" s="619">
        <f t="shared" si="12"/>
        <v>2024</v>
      </c>
      <c r="K93" s="619">
        <f t="shared" si="12"/>
        <v>2024</v>
      </c>
      <c r="L93" s="619">
        <f t="shared" si="12"/>
        <v>2024</v>
      </c>
      <c r="M93" s="619">
        <f t="shared" si="12"/>
        <v>2024</v>
      </c>
      <c r="N93" s="619">
        <f t="shared" si="12"/>
        <v>2024</v>
      </c>
      <c r="O93" s="620">
        <f t="shared" si="12"/>
        <v>2024</v>
      </c>
      <c r="P93" s="619">
        <f t="shared" si="12"/>
        <v>2025</v>
      </c>
      <c r="Q93" s="619">
        <f t="shared" si="12"/>
        <v>2025</v>
      </c>
      <c r="R93" s="619">
        <f t="shared" si="12"/>
        <v>2025</v>
      </c>
      <c r="S93" s="619">
        <f t="shared" si="12"/>
        <v>2025</v>
      </c>
      <c r="T93" s="619">
        <f t="shared" si="12"/>
        <v>2025</v>
      </c>
      <c r="U93" s="619">
        <f t="shared" si="12"/>
        <v>2025</v>
      </c>
      <c r="V93" s="619">
        <f t="shared" si="12"/>
        <v>2025</v>
      </c>
      <c r="W93" s="619">
        <f t="shared" si="12"/>
        <v>2025</v>
      </c>
      <c r="X93" s="619">
        <f t="shared" si="12"/>
        <v>2025</v>
      </c>
      <c r="Y93" s="619">
        <f t="shared" si="12"/>
        <v>2025</v>
      </c>
      <c r="Z93" s="619">
        <f t="shared" si="12"/>
        <v>2025</v>
      </c>
      <c r="AA93" s="620">
        <f t="shared" si="12"/>
        <v>2025</v>
      </c>
      <c r="AB93" s="619">
        <f t="shared" si="12"/>
        <v>2026</v>
      </c>
      <c r="AC93" s="619">
        <f t="shared" si="12"/>
        <v>2026</v>
      </c>
      <c r="AD93" s="619">
        <f t="shared" si="12"/>
        <v>2026</v>
      </c>
      <c r="AE93" s="619">
        <f t="shared" si="12"/>
        <v>2026</v>
      </c>
      <c r="AF93" s="619">
        <f t="shared" si="12"/>
        <v>2026</v>
      </c>
      <c r="AG93" s="619">
        <f t="shared" si="12"/>
        <v>2026</v>
      </c>
      <c r="AH93" s="619">
        <f t="shared" si="12"/>
        <v>2026</v>
      </c>
      <c r="AI93" s="619">
        <f t="shared" si="12"/>
        <v>2026</v>
      </c>
      <c r="AJ93" s="619">
        <f t="shared" si="12"/>
        <v>2026</v>
      </c>
      <c r="AK93" s="619">
        <f t="shared" si="12"/>
        <v>2026</v>
      </c>
      <c r="AL93" s="619">
        <f t="shared" si="12"/>
        <v>2026</v>
      </c>
      <c r="AM93" s="619">
        <f t="shared" si="12"/>
        <v>2026</v>
      </c>
    </row>
    <row r="94" spans="1:39" s="618" customFormat="1">
      <c r="B94" s="617"/>
      <c r="D94" s="619"/>
      <c r="E94" s="619"/>
      <c r="F94" s="619"/>
      <c r="G94" s="619"/>
      <c r="H94" s="619"/>
      <c r="I94" s="619"/>
      <c r="J94" s="619"/>
      <c r="K94" s="619"/>
      <c r="L94" s="619"/>
      <c r="M94" s="619"/>
      <c r="N94" s="619"/>
      <c r="O94" s="620"/>
      <c r="P94" s="619"/>
      <c r="Q94" s="619"/>
      <c r="R94" s="619"/>
      <c r="S94" s="619"/>
      <c r="T94" s="619"/>
      <c r="U94" s="619"/>
      <c r="V94" s="619"/>
      <c r="W94" s="619"/>
      <c r="X94" s="619"/>
      <c r="Y94" s="619"/>
      <c r="Z94" s="619"/>
      <c r="AA94" s="620"/>
      <c r="AB94" s="619"/>
      <c r="AC94" s="619"/>
      <c r="AD94" s="619"/>
      <c r="AE94" s="619"/>
      <c r="AF94" s="619"/>
      <c r="AG94" s="619"/>
      <c r="AH94" s="619"/>
      <c r="AI94" s="619"/>
      <c r="AJ94" s="619"/>
      <c r="AK94" s="619"/>
      <c r="AL94" s="619"/>
      <c r="AM94" s="619"/>
    </row>
    <row r="95" spans="1:39" s="621" customFormat="1">
      <c r="B95" s="622" t="s">
        <v>88</v>
      </c>
      <c r="D95" s="621">
        <f>'Sales Forecast'!E43+'Sales Forecast'!E104</f>
        <v>25772</v>
      </c>
      <c r="E95" s="621">
        <f>'Sales Forecast'!F43+'Sales Forecast'!F104</f>
        <v>29558</v>
      </c>
      <c r="F95" s="621">
        <f>'Sales Forecast'!G43+'Sales Forecast'!G104</f>
        <v>36270</v>
      </c>
      <c r="G95" s="621">
        <f>'Sales Forecast'!H43+'Sales Forecast'!H104</f>
        <v>38164</v>
      </c>
      <c r="H95" s="621">
        <f>'Sales Forecast'!I43+'Sales Forecast'!I104</f>
        <v>44750</v>
      </c>
      <c r="I95" s="621">
        <f>'Sales Forecast'!J43+'Sales Forecast'!J104</f>
        <v>49478</v>
      </c>
      <c r="J95" s="621">
        <f>'Sales Forecast'!K43+'Sales Forecast'!K104</f>
        <v>55242</v>
      </c>
      <c r="K95" s="621">
        <f>'Sales Forecast'!L43+'Sales Forecast'!L104</f>
        <v>56729.5</v>
      </c>
      <c r="L95" s="621">
        <f>'Sales Forecast'!M43+'Sales Forecast'!M104</f>
        <v>59838</v>
      </c>
      <c r="M95" s="621">
        <f>'Sales Forecast'!N43+'Sales Forecast'!N104</f>
        <v>64550</v>
      </c>
      <c r="N95" s="621">
        <f>'Sales Forecast'!O43+'Sales Forecast'!O104</f>
        <v>70110.600000000006</v>
      </c>
      <c r="O95" s="621">
        <f>'Sales Forecast'!P43+'Sales Forecast'!P104</f>
        <v>76762</v>
      </c>
      <c r="P95" s="621">
        <f>'Sales Forecast'!Q43+'Sales Forecast'!Q104</f>
        <v>103556.8</v>
      </c>
      <c r="Q95" s="621">
        <f>'Sales Forecast'!R43+'Sales Forecast'!R104</f>
        <v>130173.9</v>
      </c>
      <c r="R95" s="621">
        <f>'Sales Forecast'!S43+'Sales Forecast'!S104</f>
        <v>166319</v>
      </c>
      <c r="S95" s="621">
        <f>'Sales Forecast'!T43+'Sales Forecast'!T104</f>
        <v>198640.1</v>
      </c>
      <c r="T95" s="621">
        <f>'Sales Forecast'!U43+'Sales Forecast'!U104</f>
        <v>214395.2</v>
      </c>
      <c r="U95" s="621">
        <f>'Sales Forecast'!V43+'Sales Forecast'!V104</f>
        <v>231713.3</v>
      </c>
      <c r="V95" s="621">
        <f>'Sales Forecast'!W43+'Sales Forecast'!W104</f>
        <v>248305.4</v>
      </c>
      <c r="W95" s="621">
        <f>'Sales Forecast'!X43+'Sales Forecast'!X104</f>
        <v>249238.39999999999</v>
      </c>
      <c r="X95" s="621">
        <f>'Sales Forecast'!Y43+'Sales Forecast'!Y104</f>
        <v>277291.40000000002</v>
      </c>
      <c r="Y95" s="621">
        <f>'Sales Forecast'!Z43+'Sales Forecast'!Z104</f>
        <v>298631.5</v>
      </c>
      <c r="Z95" s="621">
        <f>'Sales Forecast'!AA43+'Sales Forecast'!AA104</f>
        <v>321593.59999999998</v>
      </c>
      <c r="AA95" s="621">
        <f>'Sales Forecast'!AB43+'Sales Forecast'!AB104</f>
        <v>319906.3</v>
      </c>
      <c r="AB95" s="621">
        <f>'Sales Forecast'!AC43+'Sales Forecast'!AC104</f>
        <v>337213.26</v>
      </c>
      <c r="AC95" s="621">
        <f>'Sales Forecast'!AD43+'Sales Forecast'!AD104</f>
        <v>368293.31200000003</v>
      </c>
      <c r="AD95" s="621">
        <f>'Sales Forecast'!AE43+'Sales Forecast'!AE104</f>
        <v>422788.94799999997</v>
      </c>
      <c r="AE95" s="621">
        <f>'Sales Forecast'!AF43+'Sales Forecast'!AF104</f>
        <v>435227.08600000001</v>
      </c>
      <c r="AF95" s="621">
        <f>'Sales Forecast'!AG43+'Sales Forecast'!AG104</f>
        <v>475759.90800000005</v>
      </c>
      <c r="AG95" s="621">
        <f>'Sales Forecast'!AH43+'Sales Forecast'!AH104</f>
        <v>543655.65399999998</v>
      </c>
      <c r="AH95" s="621">
        <f>'Sales Forecast'!AI43+'Sales Forecast'!AI104</f>
        <v>599274.92599999998</v>
      </c>
      <c r="AI95" s="621">
        <f>'Sales Forecast'!AJ43+'Sales Forecast'!AJ104</f>
        <v>615180.66889999993</v>
      </c>
      <c r="AJ95" s="621">
        <f>'Sales Forecast'!AK43+'Sales Forecast'!AK104</f>
        <v>607078.54599999997</v>
      </c>
      <c r="AK95" s="621">
        <f>'Sales Forecast'!AL43+'Sales Forecast'!AL104</f>
        <v>659571.424</v>
      </c>
      <c r="AL95" s="621">
        <f>'Sales Forecast'!AM43+'Sales Forecast'!AM104</f>
        <v>694427.16368</v>
      </c>
      <c r="AM95" s="621">
        <f>'Sales Forecast'!AN43+'Sales Forecast'!AN104</f>
        <v>730650.94219999993</v>
      </c>
    </row>
    <row r="96" spans="1:39" s="333" customFormat="1">
      <c r="B96" s="624" t="s">
        <v>10</v>
      </c>
      <c r="D96" s="333">
        <f>-(D95-D97)</f>
        <v>-8974</v>
      </c>
      <c r="E96" s="333">
        <f t="shared" ref="E96:AM96" si="13">-(E95-E97)</f>
        <v>-10856</v>
      </c>
      <c r="F96" s="333">
        <f t="shared" si="13"/>
        <v>-14111.800000000003</v>
      </c>
      <c r="G96" s="333">
        <f t="shared" si="13"/>
        <v>-14323.599999999999</v>
      </c>
      <c r="H96" s="333">
        <f t="shared" si="13"/>
        <v>-17406</v>
      </c>
      <c r="I96" s="333">
        <f t="shared" si="13"/>
        <v>-19303.900000000001</v>
      </c>
      <c r="J96" s="333">
        <f t="shared" si="13"/>
        <v>-21603</v>
      </c>
      <c r="K96" s="333">
        <f t="shared" si="13"/>
        <v>-23154.684999999998</v>
      </c>
      <c r="L96" s="333">
        <f t="shared" si="13"/>
        <v>-24485.5</v>
      </c>
      <c r="M96" s="333">
        <f t="shared" si="13"/>
        <v>-26121.100000000006</v>
      </c>
      <c r="N96" s="333">
        <f t="shared" si="13"/>
        <v>-28993.068000000007</v>
      </c>
      <c r="O96" s="597">
        <f t="shared" si="13"/>
        <v>-32181.205000000002</v>
      </c>
      <c r="P96" s="333">
        <f t="shared" si="13"/>
        <v>-47151.532000000007</v>
      </c>
      <c r="Q96" s="333">
        <f t="shared" si="13"/>
        <v>-61975.778999999995</v>
      </c>
      <c r="R96" s="333">
        <f t="shared" si="13"/>
        <v>-82491.154999999999</v>
      </c>
      <c r="S96" s="333">
        <f t="shared" si="13"/>
        <v>-100392.16</v>
      </c>
      <c r="T96" s="333">
        <f t="shared" si="13"/>
        <v>-107673.33700000001</v>
      </c>
      <c r="U96" s="333">
        <f t="shared" si="13"/>
        <v>-115424.53899999999</v>
      </c>
      <c r="V96" s="333">
        <f t="shared" si="13"/>
        <v>-122249.499</v>
      </c>
      <c r="W96" s="333">
        <f t="shared" si="13"/>
        <v>-125354.7907</v>
      </c>
      <c r="X96" s="333">
        <f t="shared" si="13"/>
        <v>-135602.07900000003</v>
      </c>
      <c r="Y96" s="333">
        <f t="shared" si="13"/>
        <v>-144159.22700000001</v>
      </c>
      <c r="Z96" s="333">
        <f t="shared" si="13"/>
        <v>-152987.26199999999</v>
      </c>
      <c r="AA96" s="597">
        <f t="shared" si="13"/>
        <v>-152197.72979999997</v>
      </c>
      <c r="AB96" s="333">
        <f t="shared" si="13"/>
        <v>-160735.83766000002</v>
      </c>
      <c r="AC96" s="333">
        <f t="shared" si="13"/>
        <v>-172943.54232000001</v>
      </c>
      <c r="AD96" s="333">
        <f t="shared" si="13"/>
        <v>-190917.28576</v>
      </c>
      <c r="AE96" s="333">
        <f t="shared" si="13"/>
        <v>-197708.73832</v>
      </c>
      <c r="AF96" s="333">
        <f t="shared" si="13"/>
        <v>-211808.04926000006</v>
      </c>
      <c r="AG96" s="333">
        <f t="shared" si="13"/>
        <v>-232581.78629999998</v>
      </c>
      <c r="AH96" s="333">
        <f t="shared" si="13"/>
        <v>-250985.75001999998</v>
      </c>
      <c r="AI96" s="333">
        <f t="shared" si="13"/>
        <v>-256195.63466699992</v>
      </c>
      <c r="AJ96" s="333">
        <f t="shared" si="13"/>
        <v>-256799.39685999998</v>
      </c>
      <c r="AK96" s="333">
        <f t="shared" si="13"/>
        <v>-271955.43871999998</v>
      </c>
      <c r="AL96" s="333">
        <f t="shared" si="13"/>
        <v>-283190.00150239997</v>
      </c>
      <c r="AM96" s="333">
        <f t="shared" si="13"/>
        <v>-297327.1047829999</v>
      </c>
    </row>
    <row r="97" spans="1:39" s="621" customFormat="1">
      <c r="B97" s="622" t="s">
        <v>11</v>
      </c>
      <c r="D97" s="621">
        <f>'Sales Forecast'!E44+'Sales Forecast'!E105</f>
        <v>16798</v>
      </c>
      <c r="E97" s="621">
        <f>'Sales Forecast'!F44+'Sales Forecast'!F105</f>
        <v>18702</v>
      </c>
      <c r="F97" s="621">
        <f>'Sales Forecast'!G44+'Sales Forecast'!G105</f>
        <v>22158.199999999997</v>
      </c>
      <c r="G97" s="621">
        <f>'Sales Forecast'!H44+'Sales Forecast'!H105</f>
        <v>23840.400000000001</v>
      </c>
      <c r="H97" s="621">
        <f>'Sales Forecast'!I44+'Sales Forecast'!I105</f>
        <v>27344</v>
      </c>
      <c r="I97" s="621">
        <f>'Sales Forecast'!J44+'Sales Forecast'!J105</f>
        <v>30174.1</v>
      </c>
      <c r="J97" s="621">
        <f>'Sales Forecast'!K44+'Sales Forecast'!K105</f>
        <v>33639</v>
      </c>
      <c r="K97" s="621">
        <f>'Sales Forecast'!L44+'Sales Forecast'!L105</f>
        <v>33574.815000000002</v>
      </c>
      <c r="L97" s="621">
        <f>'Sales Forecast'!M44+'Sales Forecast'!M105</f>
        <v>35352.5</v>
      </c>
      <c r="M97" s="621">
        <f>'Sales Forecast'!N44+'Sales Forecast'!N105</f>
        <v>38428.899999999994</v>
      </c>
      <c r="N97" s="621">
        <f>'Sales Forecast'!O44+'Sales Forecast'!O105</f>
        <v>41117.531999999999</v>
      </c>
      <c r="O97" s="621">
        <f>'Sales Forecast'!P44+'Sales Forecast'!P105</f>
        <v>44580.794999999998</v>
      </c>
      <c r="P97" s="621">
        <f>'Sales Forecast'!Q44+'Sales Forecast'!Q105</f>
        <v>56405.267999999996</v>
      </c>
      <c r="Q97" s="621">
        <f>'Sales Forecast'!R44+'Sales Forecast'!R105</f>
        <v>68198.120999999999</v>
      </c>
      <c r="R97" s="621">
        <f>'Sales Forecast'!S44+'Sales Forecast'!S105</f>
        <v>83827.845000000001</v>
      </c>
      <c r="S97" s="621">
        <f>'Sales Forecast'!T44+'Sales Forecast'!T105</f>
        <v>98247.94</v>
      </c>
      <c r="T97" s="621">
        <f>'Sales Forecast'!U44+'Sales Forecast'!U105</f>
        <v>106721.863</v>
      </c>
      <c r="U97" s="621">
        <f>'Sales Forecast'!V44+'Sales Forecast'!V105</f>
        <v>116288.761</v>
      </c>
      <c r="V97" s="621">
        <f>'Sales Forecast'!W44+'Sales Forecast'!W105</f>
        <v>126055.901</v>
      </c>
      <c r="W97" s="621">
        <f>'Sales Forecast'!X44+'Sales Forecast'!X105</f>
        <v>123883.6093</v>
      </c>
      <c r="X97" s="621">
        <f>'Sales Forecast'!Y44+'Sales Forecast'!Y105</f>
        <v>141689.321</v>
      </c>
      <c r="Y97" s="621">
        <f>'Sales Forecast'!Z44+'Sales Forecast'!Z105</f>
        <v>154472.27299999999</v>
      </c>
      <c r="Z97" s="621">
        <f>'Sales Forecast'!AA44+'Sales Forecast'!AA105</f>
        <v>168606.33799999999</v>
      </c>
      <c r="AA97" s="621">
        <f>'Sales Forecast'!AB44+'Sales Forecast'!AB105</f>
        <v>167708.57020000002</v>
      </c>
      <c r="AB97" s="621">
        <f>'Sales Forecast'!AC44+'Sales Forecast'!AC105</f>
        <v>176477.42233999999</v>
      </c>
      <c r="AC97" s="621">
        <f>'Sales Forecast'!AD44+'Sales Forecast'!AD105</f>
        <v>195349.76968000003</v>
      </c>
      <c r="AD97" s="621">
        <f>'Sales Forecast'!AE44+'Sales Forecast'!AE105</f>
        <v>231871.66223999998</v>
      </c>
      <c r="AE97" s="621">
        <f>'Sales Forecast'!AF44+'Sales Forecast'!AF105</f>
        <v>237518.34768000001</v>
      </c>
      <c r="AF97" s="621">
        <f>'Sales Forecast'!AG44+'Sales Forecast'!AG105</f>
        <v>263951.85874</v>
      </c>
      <c r="AG97" s="621">
        <f>'Sales Forecast'!AH44+'Sales Forecast'!AH105</f>
        <v>311073.8677</v>
      </c>
      <c r="AH97" s="621">
        <f>'Sales Forecast'!AI44+'Sales Forecast'!AI105</f>
        <v>348289.17598</v>
      </c>
      <c r="AI97" s="621">
        <f>'Sales Forecast'!AJ44+'Sales Forecast'!AJ105</f>
        <v>358985.03423300001</v>
      </c>
      <c r="AJ97" s="621">
        <f>'Sales Forecast'!AK44+'Sales Forecast'!AK105</f>
        <v>350279.14913999999</v>
      </c>
      <c r="AK97" s="621">
        <f>'Sales Forecast'!AL44+'Sales Forecast'!AL105</f>
        <v>387615.98528000002</v>
      </c>
      <c r="AL97" s="621">
        <f>'Sales Forecast'!AM44+'Sales Forecast'!AM105</f>
        <v>411237.16217760002</v>
      </c>
      <c r="AM97" s="621">
        <f>'Sales Forecast'!AN44+'Sales Forecast'!AN105</f>
        <v>433323.83741700003</v>
      </c>
    </row>
    <row r="98" spans="1:39" s="625" customFormat="1">
      <c r="B98" s="626"/>
      <c r="D98" s="625">
        <f>D97/D95</f>
        <v>0.65179264317864349</v>
      </c>
      <c r="E98" s="625">
        <f t="shared" ref="E98:AM98" si="14">E97/E95</f>
        <v>0.6327221056905068</v>
      </c>
      <c r="F98" s="625">
        <f t="shared" si="14"/>
        <v>0.61092362834298308</v>
      </c>
      <c r="G98" s="625">
        <f t="shared" si="14"/>
        <v>0.62468294728015938</v>
      </c>
      <c r="H98" s="625">
        <f t="shared" si="14"/>
        <v>0.61103910614525137</v>
      </c>
      <c r="I98" s="625">
        <f t="shared" si="14"/>
        <v>0.60984882169853261</v>
      </c>
      <c r="J98" s="625">
        <f t="shared" si="14"/>
        <v>0.60893885087433475</v>
      </c>
      <c r="K98" s="625">
        <f t="shared" si="14"/>
        <v>0.59184048863466099</v>
      </c>
      <c r="L98" s="625">
        <f t="shared" si="14"/>
        <v>0.59080350279086868</v>
      </c>
      <c r="M98" s="625">
        <f t="shared" si="14"/>
        <v>0.59533539891556919</v>
      </c>
      <c r="N98" s="625">
        <f t="shared" si="14"/>
        <v>0.58646669690460496</v>
      </c>
      <c r="O98" s="627">
        <f t="shared" si="14"/>
        <v>0.58076645996717124</v>
      </c>
      <c r="P98" s="625">
        <f t="shared" si="14"/>
        <v>0.54467951887273458</v>
      </c>
      <c r="Q98" s="625">
        <f t="shared" si="14"/>
        <v>0.52390011361724587</v>
      </c>
      <c r="R98" s="625">
        <f t="shared" si="14"/>
        <v>0.50401845249189814</v>
      </c>
      <c r="S98" s="625">
        <f t="shared" si="14"/>
        <v>0.49460275140820004</v>
      </c>
      <c r="T98" s="625">
        <f t="shared" si="14"/>
        <v>0.49778102774688981</v>
      </c>
      <c r="U98" s="625">
        <f t="shared" si="14"/>
        <v>0.50186485195282271</v>
      </c>
      <c r="V98" s="625">
        <f t="shared" si="14"/>
        <v>0.5076647588010571</v>
      </c>
      <c r="W98" s="625">
        <f t="shared" si="14"/>
        <v>0.49704864619577077</v>
      </c>
      <c r="X98" s="625">
        <f t="shared" si="14"/>
        <v>0.51097625458272411</v>
      </c>
      <c r="Y98" s="625">
        <f t="shared" si="14"/>
        <v>0.51726717710623293</v>
      </c>
      <c r="Z98" s="625">
        <f t="shared" si="14"/>
        <v>0.52428387256462816</v>
      </c>
      <c r="AA98" s="627">
        <f t="shared" si="14"/>
        <v>0.52424278671598534</v>
      </c>
      <c r="AB98" s="625">
        <f t="shared" si="14"/>
        <v>0.52334069644829506</v>
      </c>
      <c r="AC98" s="625">
        <f t="shared" si="14"/>
        <v>0.53041899843133722</v>
      </c>
      <c r="AD98" s="625">
        <f t="shared" si="14"/>
        <v>0.54843359396423952</v>
      </c>
      <c r="AE98" s="625">
        <f t="shared" si="14"/>
        <v>0.54573429669310614</v>
      </c>
      <c r="AF98" s="625">
        <f t="shared" si="14"/>
        <v>0.5548005502388822</v>
      </c>
      <c r="AG98" s="625">
        <f t="shared" si="14"/>
        <v>0.57218915210619703</v>
      </c>
      <c r="AH98" s="625">
        <f t="shared" si="14"/>
        <v>0.58118429600373434</v>
      </c>
      <c r="AI98" s="625">
        <f t="shared" si="14"/>
        <v>0.58354407474295078</v>
      </c>
      <c r="AJ98" s="625">
        <f t="shared" si="14"/>
        <v>0.5769914806707731</v>
      </c>
      <c r="AK98" s="625">
        <f t="shared" si="14"/>
        <v>0.58767856091958282</v>
      </c>
      <c r="AL98" s="625">
        <f t="shared" si="14"/>
        <v>0.5921962499253598</v>
      </c>
      <c r="AM98" s="625">
        <f t="shared" si="14"/>
        <v>0.59306546038557895</v>
      </c>
    </row>
    <row r="99" spans="1:39" s="333" customFormat="1">
      <c r="B99" s="628" t="s">
        <v>248</v>
      </c>
      <c r="O99" s="597"/>
      <c r="P99" s="598"/>
      <c r="Q99" s="323"/>
      <c r="R99" s="323"/>
      <c r="S99" s="323"/>
      <c r="T99" s="323"/>
      <c r="U99" s="323"/>
      <c r="V99" s="323"/>
      <c r="W99" s="323"/>
      <c r="X99" s="323"/>
      <c r="Y99" s="323"/>
      <c r="Z99" s="323"/>
      <c r="AA99" s="599"/>
      <c r="AB99" s="598"/>
    </row>
    <row r="100" spans="1:39" s="333" customFormat="1">
      <c r="B100" s="624" t="str">
        <f>B9</f>
        <v>Salaries</v>
      </c>
      <c r="D100" s="333">
        <f t="shared" ref="D100:O100" si="15">-$G20/12</f>
        <v>-24768.333333333332</v>
      </c>
      <c r="E100" s="333">
        <f t="shared" si="15"/>
        <v>-24768.333333333332</v>
      </c>
      <c r="F100" s="333">
        <f t="shared" si="15"/>
        <v>-24768.333333333332</v>
      </c>
      <c r="G100" s="333">
        <f t="shared" si="15"/>
        <v>-24768.333333333332</v>
      </c>
      <c r="H100" s="333">
        <f t="shared" si="15"/>
        <v>-24768.333333333332</v>
      </c>
      <c r="I100" s="333">
        <f t="shared" si="15"/>
        <v>-24768.333333333332</v>
      </c>
      <c r="J100" s="333">
        <f t="shared" si="15"/>
        <v>-24768.333333333332</v>
      </c>
      <c r="K100" s="333">
        <f t="shared" si="15"/>
        <v>-24768.333333333332</v>
      </c>
      <c r="L100" s="333">
        <f t="shared" si="15"/>
        <v>-24768.333333333332</v>
      </c>
      <c r="M100" s="333">
        <f t="shared" si="15"/>
        <v>-24768.333333333332</v>
      </c>
      <c r="N100" s="333">
        <f t="shared" si="15"/>
        <v>-24768.333333333332</v>
      </c>
      <c r="O100" s="333">
        <f t="shared" si="15"/>
        <v>-24768.333333333332</v>
      </c>
      <c r="P100" s="333">
        <f t="shared" ref="P100:AA100" si="16">-$H20/12</f>
        <v>-27766.666666666668</v>
      </c>
      <c r="Q100" s="333">
        <f t="shared" si="16"/>
        <v>-27766.666666666668</v>
      </c>
      <c r="R100" s="333">
        <f t="shared" si="16"/>
        <v>-27766.666666666668</v>
      </c>
      <c r="S100" s="333">
        <f t="shared" si="16"/>
        <v>-27766.666666666668</v>
      </c>
      <c r="T100" s="333">
        <f t="shared" si="16"/>
        <v>-27766.666666666668</v>
      </c>
      <c r="U100" s="333">
        <f t="shared" si="16"/>
        <v>-27766.666666666668</v>
      </c>
      <c r="V100" s="333">
        <f t="shared" si="16"/>
        <v>-27766.666666666668</v>
      </c>
      <c r="W100" s="333">
        <f t="shared" si="16"/>
        <v>-27766.666666666668</v>
      </c>
      <c r="X100" s="333">
        <f t="shared" si="16"/>
        <v>-27766.666666666668</v>
      </c>
      <c r="Y100" s="333">
        <f t="shared" si="16"/>
        <v>-27766.666666666668</v>
      </c>
      <c r="Z100" s="333">
        <f t="shared" si="16"/>
        <v>-27766.666666666668</v>
      </c>
      <c r="AA100" s="333">
        <f t="shared" si="16"/>
        <v>-27766.666666666668</v>
      </c>
      <c r="AB100" s="333">
        <f t="shared" ref="AB100:AM100" si="17">-$I20/12</f>
        <v>-47803.333333333336</v>
      </c>
      <c r="AC100" s="333">
        <f t="shared" si="17"/>
        <v>-47803.333333333336</v>
      </c>
      <c r="AD100" s="333">
        <f t="shared" si="17"/>
        <v>-47803.333333333336</v>
      </c>
      <c r="AE100" s="333">
        <f t="shared" si="17"/>
        <v>-47803.333333333336</v>
      </c>
      <c r="AF100" s="333">
        <f t="shared" si="17"/>
        <v>-47803.333333333336</v>
      </c>
      <c r="AG100" s="333">
        <f t="shared" si="17"/>
        <v>-47803.333333333336</v>
      </c>
      <c r="AH100" s="333">
        <f t="shared" si="17"/>
        <v>-47803.333333333336</v>
      </c>
      <c r="AI100" s="333">
        <f t="shared" si="17"/>
        <v>-47803.333333333336</v>
      </c>
      <c r="AJ100" s="333">
        <f t="shared" si="17"/>
        <v>-47803.333333333336</v>
      </c>
      <c r="AK100" s="333">
        <f t="shared" si="17"/>
        <v>-47803.333333333336</v>
      </c>
      <c r="AL100" s="333">
        <f t="shared" si="17"/>
        <v>-47803.333333333336</v>
      </c>
      <c r="AM100" s="333">
        <f t="shared" si="17"/>
        <v>-47803.333333333336</v>
      </c>
    </row>
    <row r="101" spans="1:39" s="333" customFormat="1">
      <c r="B101" s="624" t="str">
        <f>G33</f>
        <v>Work Space Rent</v>
      </c>
      <c r="D101" s="333">
        <f t="shared" ref="D101:O101" si="18">-$H37/12</f>
        <v>-2500</v>
      </c>
      <c r="E101" s="333">
        <f t="shared" si="18"/>
        <v>-2500</v>
      </c>
      <c r="F101" s="333">
        <f t="shared" si="18"/>
        <v>-2500</v>
      </c>
      <c r="G101" s="333">
        <f t="shared" si="18"/>
        <v>-2500</v>
      </c>
      <c r="H101" s="333">
        <f t="shared" si="18"/>
        <v>-2500</v>
      </c>
      <c r="I101" s="333">
        <f t="shared" si="18"/>
        <v>-2500</v>
      </c>
      <c r="J101" s="333">
        <f t="shared" si="18"/>
        <v>-2500</v>
      </c>
      <c r="K101" s="333">
        <f t="shared" si="18"/>
        <v>-2500</v>
      </c>
      <c r="L101" s="333">
        <f t="shared" si="18"/>
        <v>-2500</v>
      </c>
      <c r="M101" s="333">
        <f t="shared" si="18"/>
        <v>-2500</v>
      </c>
      <c r="N101" s="333">
        <f t="shared" si="18"/>
        <v>-2500</v>
      </c>
      <c r="O101" s="333">
        <f t="shared" si="18"/>
        <v>-2500</v>
      </c>
      <c r="P101" s="333">
        <f t="shared" ref="P101:AA101" si="19">-$I37/12</f>
        <v>-2500</v>
      </c>
      <c r="Q101" s="333">
        <f t="shared" si="19"/>
        <v>-2500</v>
      </c>
      <c r="R101" s="333">
        <f t="shared" si="19"/>
        <v>-2500</v>
      </c>
      <c r="S101" s="333">
        <f t="shared" si="19"/>
        <v>-2500</v>
      </c>
      <c r="T101" s="333">
        <f t="shared" si="19"/>
        <v>-2500</v>
      </c>
      <c r="U101" s="333">
        <f t="shared" si="19"/>
        <v>-2500</v>
      </c>
      <c r="V101" s="333">
        <f t="shared" si="19"/>
        <v>-2500</v>
      </c>
      <c r="W101" s="333">
        <f t="shared" si="19"/>
        <v>-2500</v>
      </c>
      <c r="X101" s="333">
        <f t="shared" si="19"/>
        <v>-2500</v>
      </c>
      <c r="Y101" s="333">
        <f t="shared" si="19"/>
        <v>-2500</v>
      </c>
      <c r="Z101" s="333">
        <f t="shared" si="19"/>
        <v>-2500</v>
      </c>
      <c r="AA101" s="333">
        <f t="shared" si="19"/>
        <v>-2500</v>
      </c>
      <c r="AB101" s="333">
        <f t="shared" ref="AB101:AM101" si="20">-$J37/12</f>
        <v>-2500</v>
      </c>
      <c r="AC101" s="333">
        <f t="shared" si="20"/>
        <v>-2500</v>
      </c>
      <c r="AD101" s="333">
        <f t="shared" si="20"/>
        <v>-2500</v>
      </c>
      <c r="AE101" s="333">
        <f t="shared" si="20"/>
        <v>-2500</v>
      </c>
      <c r="AF101" s="333">
        <f t="shared" si="20"/>
        <v>-2500</v>
      </c>
      <c r="AG101" s="333">
        <f t="shared" si="20"/>
        <v>-2500</v>
      </c>
      <c r="AH101" s="333">
        <f t="shared" si="20"/>
        <v>-2500</v>
      </c>
      <c r="AI101" s="333">
        <f t="shared" si="20"/>
        <v>-2500</v>
      </c>
      <c r="AJ101" s="333">
        <f t="shared" si="20"/>
        <v>-2500</v>
      </c>
      <c r="AK101" s="333">
        <f t="shared" si="20"/>
        <v>-2500</v>
      </c>
      <c r="AL101" s="333">
        <f t="shared" si="20"/>
        <v>-2500</v>
      </c>
      <c r="AM101" s="333">
        <f t="shared" si="20"/>
        <v>-2500</v>
      </c>
    </row>
    <row r="102" spans="1:39" s="333" customFormat="1">
      <c r="B102" s="624" t="str">
        <f>B26</f>
        <v>Marketing</v>
      </c>
      <c r="D102" s="333">
        <f t="shared" ref="D102:O102" si="21">-$C31/12</f>
        <v>-191.66666666666666</v>
      </c>
      <c r="E102" s="333">
        <f t="shared" si="21"/>
        <v>-191.66666666666666</v>
      </c>
      <c r="F102" s="333">
        <f t="shared" si="21"/>
        <v>-191.66666666666666</v>
      </c>
      <c r="G102" s="333">
        <f t="shared" si="21"/>
        <v>-191.66666666666666</v>
      </c>
      <c r="H102" s="333">
        <f t="shared" si="21"/>
        <v>-191.66666666666666</v>
      </c>
      <c r="I102" s="333">
        <f t="shared" si="21"/>
        <v>-191.66666666666666</v>
      </c>
      <c r="J102" s="333">
        <f t="shared" si="21"/>
        <v>-191.66666666666666</v>
      </c>
      <c r="K102" s="333">
        <f t="shared" si="21"/>
        <v>-191.66666666666666</v>
      </c>
      <c r="L102" s="333">
        <f t="shared" si="21"/>
        <v>-191.66666666666666</v>
      </c>
      <c r="M102" s="333">
        <f t="shared" si="21"/>
        <v>-191.66666666666666</v>
      </c>
      <c r="N102" s="333">
        <f t="shared" si="21"/>
        <v>-191.66666666666666</v>
      </c>
      <c r="O102" s="333">
        <f t="shared" si="21"/>
        <v>-191.66666666666666</v>
      </c>
      <c r="P102" s="333">
        <f t="shared" ref="P102:AA102" si="22">-$D31/12</f>
        <v>-191.66666666666666</v>
      </c>
      <c r="Q102" s="333">
        <f t="shared" si="22"/>
        <v>-191.66666666666666</v>
      </c>
      <c r="R102" s="333">
        <f t="shared" si="22"/>
        <v>-191.66666666666666</v>
      </c>
      <c r="S102" s="333">
        <f t="shared" si="22"/>
        <v>-191.66666666666666</v>
      </c>
      <c r="T102" s="333">
        <f t="shared" si="22"/>
        <v>-191.66666666666666</v>
      </c>
      <c r="U102" s="333">
        <f t="shared" si="22"/>
        <v>-191.66666666666666</v>
      </c>
      <c r="V102" s="333">
        <f t="shared" si="22"/>
        <v>-191.66666666666666</v>
      </c>
      <c r="W102" s="333">
        <f t="shared" si="22"/>
        <v>-191.66666666666666</v>
      </c>
      <c r="X102" s="333">
        <f t="shared" si="22"/>
        <v>-191.66666666666666</v>
      </c>
      <c r="Y102" s="333">
        <f t="shared" si="22"/>
        <v>-191.66666666666666</v>
      </c>
      <c r="Z102" s="333">
        <f t="shared" si="22"/>
        <v>-191.66666666666666</v>
      </c>
      <c r="AA102" s="333">
        <f t="shared" si="22"/>
        <v>-191.66666666666666</v>
      </c>
      <c r="AB102" s="333">
        <f t="shared" ref="AB102:AM102" si="23">-$E31/12</f>
        <v>-191.66666666666666</v>
      </c>
      <c r="AC102" s="333">
        <f t="shared" si="23"/>
        <v>-191.66666666666666</v>
      </c>
      <c r="AD102" s="333">
        <f t="shared" si="23"/>
        <v>-191.66666666666666</v>
      </c>
      <c r="AE102" s="333">
        <f t="shared" si="23"/>
        <v>-191.66666666666666</v>
      </c>
      <c r="AF102" s="333">
        <f t="shared" si="23"/>
        <v>-191.66666666666666</v>
      </c>
      <c r="AG102" s="333">
        <f t="shared" si="23"/>
        <v>-191.66666666666666</v>
      </c>
      <c r="AH102" s="333">
        <f t="shared" si="23"/>
        <v>-191.66666666666666</v>
      </c>
      <c r="AI102" s="333">
        <f t="shared" si="23"/>
        <v>-191.66666666666666</v>
      </c>
      <c r="AJ102" s="333">
        <f t="shared" si="23"/>
        <v>-191.66666666666666</v>
      </c>
      <c r="AK102" s="333">
        <f t="shared" si="23"/>
        <v>-191.66666666666666</v>
      </c>
      <c r="AL102" s="333">
        <f t="shared" si="23"/>
        <v>-191.66666666666666</v>
      </c>
      <c r="AM102" s="333">
        <f t="shared" si="23"/>
        <v>-191.66666666666666</v>
      </c>
    </row>
    <row r="103" spans="1:39" s="333" customFormat="1">
      <c r="B103" s="624" t="str">
        <f>L37</f>
        <v xml:space="preserve">Utilities </v>
      </c>
      <c r="C103" s="629"/>
      <c r="D103" s="333">
        <f t="shared" ref="D103:O103" si="24">-$M$43/12</f>
        <v>-1508.3333333333333</v>
      </c>
      <c r="E103" s="333">
        <f t="shared" si="24"/>
        <v>-1508.3333333333333</v>
      </c>
      <c r="F103" s="333">
        <f t="shared" si="24"/>
        <v>-1508.3333333333333</v>
      </c>
      <c r="G103" s="333">
        <f t="shared" si="24"/>
        <v>-1508.3333333333333</v>
      </c>
      <c r="H103" s="333">
        <f t="shared" si="24"/>
        <v>-1508.3333333333333</v>
      </c>
      <c r="I103" s="333">
        <f t="shared" si="24"/>
        <v>-1508.3333333333333</v>
      </c>
      <c r="J103" s="333">
        <f t="shared" si="24"/>
        <v>-1508.3333333333333</v>
      </c>
      <c r="K103" s="333">
        <f t="shared" si="24"/>
        <v>-1508.3333333333333</v>
      </c>
      <c r="L103" s="333">
        <f t="shared" si="24"/>
        <v>-1508.3333333333333</v>
      </c>
      <c r="M103" s="333">
        <f t="shared" si="24"/>
        <v>-1508.3333333333333</v>
      </c>
      <c r="N103" s="333">
        <f t="shared" si="24"/>
        <v>-1508.3333333333333</v>
      </c>
      <c r="O103" s="333">
        <f t="shared" si="24"/>
        <v>-1508.3333333333333</v>
      </c>
      <c r="P103" s="333">
        <f t="shared" ref="P103:AA103" si="25">-$N43/12</f>
        <v>-1808.3333333333333</v>
      </c>
      <c r="Q103" s="333">
        <f t="shared" si="25"/>
        <v>-1808.3333333333333</v>
      </c>
      <c r="R103" s="333">
        <f t="shared" si="25"/>
        <v>-1808.3333333333333</v>
      </c>
      <c r="S103" s="333">
        <f t="shared" si="25"/>
        <v>-1808.3333333333333</v>
      </c>
      <c r="T103" s="333">
        <f t="shared" si="25"/>
        <v>-1808.3333333333333</v>
      </c>
      <c r="U103" s="333">
        <f t="shared" si="25"/>
        <v>-1808.3333333333333</v>
      </c>
      <c r="V103" s="333">
        <f t="shared" si="25"/>
        <v>-1808.3333333333333</v>
      </c>
      <c r="W103" s="333">
        <f t="shared" si="25"/>
        <v>-1808.3333333333333</v>
      </c>
      <c r="X103" s="333">
        <f t="shared" si="25"/>
        <v>-1808.3333333333333</v>
      </c>
      <c r="Y103" s="333">
        <f t="shared" si="25"/>
        <v>-1808.3333333333333</v>
      </c>
      <c r="Z103" s="333">
        <f t="shared" si="25"/>
        <v>-1808.3333333333333</v>
      </c>
      <c r="AA103" s="333">
        <f t="shared" si="25"/>
        <v>-1808.3333333333333</v>
      </c>
      <c r="AB103" s="333">
        <f t="shared" ref="AB103:AM103" si="26">-$O43/12</f>
        <v>-2168.3333333333335</v>
      </c>
      <c r="AC103" s="333">
        <f t="shared" si="26"/>
        <v>-2168.3333333333335</v>
      </c>
      <c r="AD103" s="333">
        <f t="shared" si="26"/>
        <v>-2168.3333333333335</v>
      </c>
      <c r="AE103" s="333">
        <f t="shared" si="26"/>
        <v>-2168.3333333333335</v>
      </c>
      <c r="AF103" s="333">
        <f t="shared" si="26"/>
        <v>-2168.3333333333335</v>
      </c>
      <c r="AG103" s="333">
        <f t="shared" si="26"/>
        <v>-2168.3333333333335</v>
      </c>
      <c r="AH103" s="333">
        <f t="shared" si="26"/>
        <v>-2168.3333333333335</v>
      </c>
      <c r="AI103" s="333">
        <f t="shared" si="26"/>
        <v>-2168.3333333333335</v>
      </c>
      <c r="AJ103" s="333">
        <f t="shared" si="26"/>
        <v>-2168.3333333333335</v>
      </c>
      <c r="AK103" s="333">
        <f t="shared" si="26"/>
        <v>-2168.3333333333335</v>
      </c>
      <c r="AL103" s="333">
        <f t="shared" si="26"/>
        <v>-2168.3333333333335</v>
      </c>
      <c r="AM103" s="333">
        <f t="shared" si="26"/>
        <v>-2168.3333333333335</v>
      </c>
    </row>
    <row r="104" spans="1:39" s="333" customFormat="1">
      <c r="B104" s="624" t="str">
        <f>L22</f>
        <v>Software Subscriptions</v>
      </c>
      <c r="D104" s="333">
        <f t="shared" ref="D104:O104" si="27">-$M33/12</f>
        <v>-262.5</v>
      </c>
      <c r="E104" s="333">
        <f t="shared" si="27"/>
        <v>-262.5</v>
      </c>
      <c r="F104" s="333">
        <f t="shared" si="27"/>
        <v>-262.5</v>
      </c>
      <c r="G104" s="333">
        <f t="shared" si="27"/>
        <v>-262.5</v>
      </c>
      <c r="H104" s="333">
        <f t="shared" si="27"/>
        <v>-262.5</v>
      </c>
      <c r="I104" s="333">
        <f t="shared" si="27"/>
        <v>-262.5</v>
      </c>
      <c r="J104" s="333">
        <f t="shared" si="27"/>
        <v>-262.5</v>
      </c>
      <c r="K104" s="333">
        <f t="shared" si="27"/>
        <v>-262.5</v>
      </c>
      <c r="L104" s="333">
        <f t="shared" si="27"/>
        <v>-262.5</v>
      </c>
      <c r="M104" s="333">
        <f t="shared" si="27"/>
        <v>-262.5</v>
      </c>
      <c r="N104" s="333">
        <f t="shared" si="27"/>
        <v>-262.5</v>
      </c>
      <c r="O104" s="333">
        <f t="shared" si="27"/>
        <v>-262.5</v>
      </c>
      <c r="P104" s="333">
        <f t="shared" ref="P104:AA104" si="28">-$N33/12</f>
        <v>-262.5</v>
      </c>
      <c r="Q104" s="333">
        <f t="shared" si="28"/>
        <v>-262.5</v>
      </c>
      <c r="R104" s="333">
        <f t="shared" si="28"/>
        <v>-262.5</v>
      </c>
      <c r="S104" s="333">
        <f t="shared" si="28"/>
        <v>-262.5</v>
      </c>
      <c r="T104" s="333">
        <f t="shared" si="28"/>
        <v>-262.5</v>
      </c>
      <c r="U104" s="333">
        <f t="shared" si="28"/>
        <v>-262.5</v>
      </c>
      <c r="V104" s="333">
        <f t="shared" si="28"/>
        <v>-262.5</v>
      </c>
      <c r="W104" s="333">
        <f t="shared" si="28"/>
        <v>-262.5</v>
      </c>
      <c r="X104" s="333">
        <f t="shared" si="28"/>
        <v>-262.5</v>
      </c>
      <c r="Y104" s="333">
        <f t="shared" si="28"/>
        <v>-262.5</v>
      </c>
      <c r="Z104" s="333">
        <f t="shared" si="28"/>
        <v>-262.5</v>
      </c>
      <c r="AA104" s="333">
        <f t="shared" si="28"/>
        <v>-262.5</v>
      </c>
      <c r="AB104" s="333">
        <f t="shared" ref="AB104:AM104" si="29">-$O33/12</f>
        <v>-262.5</v>
      </c>
      <c r="AC104" s="333">
        <f t="shared" si="29"/>
        <v>-262.5</v>
      </c>
      <c r="AD104" s="333">
        <f t="shared" si="29"/>
        <v>-262.5</v>
      </c>
      <c r="AE104" s="333">
        <f t="shared" si="29"/>
        <v>-262.5</v>
      </c>
      <c r="AF104" s="333">
        <f t="shared" si="29"/>
        <v>-262.5</v>
      </c>
      <c r="AG104" s="333">
        <f t="shared" si="29"/>
        <v>-262.5</v>
      </c>
      <c r="AH104" s="333">
        <f t="shared" si="29"/>
        <v>-262.5</v>
      </c>
      <c r="AI104" s="333">
        <f t="shared" si="29"/>
        <v>-262.5</v>
      </c>
      <c r="AJ104" s="333">
        <f t="shared" si="29"/>
        <v>-262.5</v>
      </c>
      <c r="AK104" s="333">
        <f t="shared" si="29"/>
        <v>-262.5</v>
      </c>
      <c r="AL104" s="333">
        <f t="shared" si="29"/>
        <v>-262.5</v>
      </c>
      <c r="AM104" s="333">
        <f t="shared" si="29"/>
        <v>-262.5</v>
      </c>
    </row>
    <row r="105" spans="1:39" s="333" customFormat="1">
      <c r="B105" s="624" t="str">
        <f>G24</f>
        <v xml:space="preserve">Research and Development </v>
      </c>
      <c r="D105" s="333">
        <f t="shared" ref="D105:O105" si="30">-$H31/12</f>
        <v>-716.66666666666663</v>
      </c>
      <c r="E105" s="333">
        <f t="shared" si="30"/>
        <v>-716.66666666666663</v>
      </c>
      <c r="F105" s="333">
        <f t="shared" si="30"/>
        <v>-716.66666666666663</v>
      </c>
      <c r="G105" s="333">
        <f t="shared" si="30"/>
        <v>-716.66666666666663</v>
      </c>
      <c r="H105" s="333">
        <f t="shared" si="30"/>
        <v>-716.66666666666663</v>
      </c>
      <c r="I105" s="333">
        <f t="shared" si="30"/>
        <v>-716.66666666666663</v>
      </c>
      <c r="J105" s="333">
        <f t="shared" si="30"/>
        <v>-716.66666666666663</v>
      </c>
      <c r="K105" s="333">
        <f t="shared" si="30"/>
        <v>-716.66666666666663</v>
      </c>
      <c r="L105" s="333">
        <f t="shared" si="30"/>
        <v>-716.66666666666663</v>
      </c>
      <c r="M105" s="333">
        <f t="shared" si="30"/>
        <v>-716.66666666666663</v>
      </c>
      <c r="N105" s="333">
        <f t="shared" si="30"/>
        <v>-716.66666666666663</v>
      </c>
      <c r="O105" s="333">
        <f t="shared" si="30"/>
        <v>-716.66666666666663</v>
      </c>
      <c r="P105" s="333">
        <f t="shared" ref="P105:AA105" si="31">-$I31/12</f>
        <v>-300</v>
      </c>
      <c r="Q105" s="333">
        <f t="shared" si="31"/>
        <v>-300</v>
      </c>
      <c r="R105" s="333">
        <f t="shared" si="31"/>
        <v>-300</v>
      </c>
      <c r="S105" s="333">
        <f t="shared" si="31"/>
        <v>-300</v>
      </c>
      <c r="T105" s="333">
        <f t="shared" si="31"/>
        <v>-300</v>
      </c>
      <c r="U105" s="333">
        <f t="shared" si="31"/>
        <v>-300</v>
      </c>
      <c r="V105" s="333">
        <f t="shared" si="31"/>
        <v>-300</v>
      </c>
      <c r="W105" s="333">
        <f t="shared" si="31"/>
        <v>-300</v>
      </c>
      <c r="X105" s="333">
        <f t="shared" si="31"/>
        <v>-300</v>
      </c>
      <c r="Y105" s="333">
        <f t="shared" si="31"/>
        <v>-300</v>
      </c>
      <c r="Z105" s="333">
        <f t="shared" si="31"/>
        <v>-300</v>
      </c>
      <c r="AA105" s="333">
        <f t="shared" si="31"/>
        <v>-300</v>
      </c>
      <c r="AB105" s="333">
        <f t="shared" ref="AB105:AM105" si="32">-$J31/12</f>
        <v>-300</v>
      </c>
      <c r="AC105" s="333">
        <f t="shared" si="32"/>
        <v>-300</v>
      </c>
      <c r="AD105" s="333">
        <f t="shared" si="32"/>
        <v>-300</v>
      </c>
      <c r="AE105" s="333">
        <f t="shared" si="32"/>
        <v>-300</v>
      </c>
      <c r="AF105" s="333">
        <f t="shared" si="32"/>
        <v>-300</v>
      </c>
      <c r="AG105" s="333">
        <f t="shared" si="32"/>
        <v>-300</v>
      </c>
      <c r="AH105" s="333">
        <f t="shared" si="32"/>
        <v>-300</v>
      </c>
      <c r="AI105" s="333">
        <f t="shared" si="32"/>
        <v>-300</v>
      </c>
      <c r="AJ105" s="333">
        <f t="shared" si="32"/>
        <v>-300</v>
      </c>
      <c r="AK105" s="333">
        <f t="shared" si="32"/>
        <v>-300</v>
      </c>
      <c r="AL105" s="333">
        <f t="shared" si="32"/>
        <v>-300</v>
      </c>
      <c r="AM105" s="333">
        <f t="shared" si="32"/>
        <v>-300</v>
      </c>
    </row>
    <row r="106" spans="1:39" s="333" customFormat="1">
      <c r="B106" s="624" t="str">
        <f>G39</f>
        <v>Insurance</v>
      </c>
      <c r="D106" s="333">
        <f t="shared" ref="D106:O106" si="33">-$H43/12</f>
        <v>-750</v>
      </c>
      <c r="E106" s="333">
        <f t="shared" si="33"/>
        <v>-750</v>
      </c>
      <c r="F106" s="333">
        <f t="shared" si="33"/>
        <v>-750</v>
      </c>
      <c r="G106" s="333">
        <f t="shared" si="33"/>
        <v>-750</v>
      </c>
      <c r="H106" s="333">
        <f t="shared" si="33"/>
        <v>-750</v>
      </c>
      <c r="I106" s="333">
        <f t="shared" si="33"/>
        <v>-750</v>
      </c>
      <c r="J106" s="333">
        <f t="shared" si="33"/>
        <v>-750</v>
      </c>
      <c r="K106" s="333">
        <f t="shared" si="33"/>
        <v>-750</v>
      </c>
      <c r="L106" s="333">
        <f t="shared" si="33"/>
        <v>-750</v>
      </c>
      <c r="M106" s="333">
        <f t="shared" si="33"/>
        <v>-750</v>
      </c>
      <c r="N106" s="333">
        <f t="shared" si="33"/>
        <v>-750</v>
      </c>
      <c r="O106" s="333">
        <f t="shared" si="33"/>
        <v>-750</v>
      </c>
      <c r="P106" s="333">
        <f t="shared" ref="P106:AA106" si="34">-$I43/12</f>
        <v>-750</v>
      </c>
      <c r="Q106" s="333">
        <f t="shared" si="34"/>
        <v>-750</v>
      </c>
      <c r="R106" s="333">
        <f t="shared" si="34"/>
        <v>-750</v>
      </c>
      <c r="S106" s="333">
        <f t="shared" si="34"/>
        <v>-750</v>
      </c>
      <c r="T106" s="333">
        <f t="shared" si="34"/>
        <v>-750</v>
      </c>
      <c r="U106" s="333">
        <f t="shared" si="34"/>
        <v>-750</v>
      </c>
      <c r="V106" s="333">
        <f t="shared" si="34"/>
        <v>-750</v>
      </c>
      <c r="W106" s="333">
        <f t="shared" si="34"/>
        <v>-750</v>
      </c>
      <c r="X106" s="333">
        <f t="shared" si="34"/>
        <v>-750</v>
      </c>
      <c r="Y106" s="333">
        <f t="shared" si="34"/>
        <v>-750</v>
      </c>
      <c r="Z106" s="333">
        <f t="shared" si="34"/>
        <v>-750</v>
      </c>
      <c r="AA106" s="333">
        <f t="shared" si="34"/>
        <v>-750</v>
      </c>
      <c r="AB106" s="333">
        <f t="shared" ref="AB106:AM106" si="35">-$J43/12</f>
        <v>-750</v>
      </c>
      <c r="AC106" s="333">
        <f t="shared" si="35"/>
        <v>-750</v>
      </c>
      <c r="AD106" s="333">
        <f t="shared" si="35"/>
        <v>-750</v>
      </c>
      <c r="AE106" s="333">
        <f t="shared" si="35"/>
        <v>-750</v>
      </c>
      <c r="AF106" s="333">
        <f t="shared" si="35"/>
        <v>-750</v>
      </c>
      <c r="AG106" s="333">
        <f t="shared" si="35"/>
        <v>-750</v>
      </c>
      <c r="AH106" s="333">
        <f t="shared" si="35"/>
        <v>-750</v>
      </c>
      <c r="AI106" s="333">
        <f t="shared" si="35"/>
        <v>-750</v>
      </c>
      <c r="AJ106" s="333">
        <f t="shared" si="35"/>
        <v>-750</v>
      </c>
      <c r="AK106" s="333">
        <f t="shared" si="35"/>
        <v>-750</v>
      </c>
      <c r="AL106" s="333">
        <f t="shared" si="35"/>
        <v>-750</v>
      </c>
      <c r="AM106" s="333">
        <f t="shared" si="35"/>
        <v>-750</v>
      </c>
    </row>
    <row r="107" spans="1:39" s="323" customFormat="1">
      <c r="A107" s="608"/>
      <c r="B107" s="624" t="str">
        <f>B38</f>
        <v>eCommerce</v>
      </c>
      <c r="D107" s="323">
        <f t="shared" ref="D107:O107" si="36">-$C$43/12</f>
        <v>-58.333333333333336</v>
      </c>
      <c r="E107" s="323">
        <f t="shared" si="36"/>
        <v>-58.333333333333336</v>
      </c>
      <c r="F107" s="323">
        <f t="shared" si="36"/>
        <v>-58.333333333333336</v>
      </c>
      <c r="G107" s="323">
        <f t="shared" si="36"/>
        <v>-58.333333333333336</v>
      </c>
      <c r="H107" s="323">
        <f t="shared" si="36"/>
        <v>-58.333333333333336</v>
      </c>
      <c r="I107" s="323">
        <f t="shared" si="36"/>
        <v>-58.333333333333336</v>
      </c>
      <c r="J107" s="323">
        <f t="shared" si="36"/>
        <v>-58.333333333333336</v>
      </c>
      <c r="K107" s="323">
        <f t="shared" si="36"/>
        <v>-58.333333333333336</v>
      </c>
      <c r="L107" s="323">
        <f t="shared" si="36"/>
        <v>-58.333333333333336</v>
      </c>
      <c r="M107" s="323">
        <f t="shared" si="36"/>
        <v>-58.333333333333336</v>
      </c>
      <c r="N107" s="323">
        <f t="shared" si="36"/>
        <v>-58.333333333333336</v>
      </c>
      <c r="O107" s="323">
        <f t="shared" si="36"/>
        <v>-58.333333333333336</v>
      </c>
      <c r="P107" s="323">
        <f t="shared" ref="P107:AA107" si="37">-$D$43/12</f>
        <v>-58.333333333333336</v>
      </c>
      <c r="Q107" s="323">
        <f t="shared" si="37"/>
        <v>-58.333333333333336</v>
      </c>
      <c r="R107" s="323">
        <f t="shared" si="37"/>
        <v>-58.333333333333336</v>
      </c>
      <c r="S107" s="323">
        <f t="shared" si="37"/>
        <v>-58.333333333333336</v>
      </c>
      <c r="T107" s="323">
        <f t="shared" si="37"/>
        <v>-58.333333333333336</v>
      </c>
      <c r="U107" s="323">
        <f t="shared" si="37"/>
        <v>-58.333333333333336</v>
      </c>
      <c r="V107" s="323">
        <f t="shared" si="37"/>
        <v>-58.333333333333336</v>
      </c>
      <c r="W107" s="323">
        <f t="shared" si="37"/>
        <v>-58.333333333333336</v>
      </c>
      <c r="X107" s="323">
        <f t="shared" si="37"/>
        <v>-58.333333333333336</v>
      </c>
      <c r="Y107" s="323">
        <f t="shared" si="37"/>
        <v>-58.333333333333336</v>
      </c>
      <c r="Z107" s="323">
        <f t="shared" si="37"/>
        <v>-58.333333333333336</v>
      </c>
      <c r="AA107" s="323">
        <f t="shared" si="37"/>
        <v>-58.333333333333336</v>
      </c>
      <c r="AB107" s="323">
        <f t="shared" ref="AB107:AM107" si="38">-$E$43/12</f>
        <v>-58.333333333333336</v>
      </c>
      <c r="AC107" s="323">
        <f t="shared" si="38"/>
        <v>-58.333333333333336</v>
      </c>
      <c r="AD107" s="323">
        <f t="shared" si="38"/>
        <v>-58.333333333333336</v>
      </c>
      <c r="AE107" s="323">
        <f t="shared" si="38"/>
        <v>-58.333333333333336</v>
      </c>
      <c r="AF107" s="323">
        <f t="shared" si="38"/>
        <v>-58.333333333333336</v>
      </c>
      <c r="AG107" s="323">
        <f t="shared" si="38"/>
        <v>-58.333333333333336</v>
      </c>
      <c r="AH107" s="323">
        <f t="shared" si="38"/>
        <v>-58.333333333333336</v>
      </c>
      <c r="AI107" s="323">
        <f t="shared" si="38"/>
        <v>-58.333333333333336</v>
      </c>
      <c r="AJ107" s="323">
        <f t="shared" si="38"/>
        <v>-58.333333333333336</v>
      </c>
      <c r="AK107" s="323">
        <f t="shared" si="38"/>
        <v>-58.333333333333336</v>
      </c>
      <c r="AL107" s="323">
        <f t="shared" si="38"/>
        <v>-58.333333333333336</v>
      </c>
      <c r="AM107" s="323">
        <f t="shared" si="38"/>
        <v>-58.333333333333336</v>
      </c>
    </row>
    <row r="108" spans="1:39" s="618" customFormat="1">
      <c r="A108" s="608"/>
      <c r="B108" s="628" t="s">
        <v>249</v>
      </c>
      <c r="D108" s="618">
        <f t="shared" ref="D108:AM108" si="39">SUM(D100:D107)</f>
        <v>-30755.833333333332</v>
      </c>
      <c r="E108" s="618">
        <f t="shared" si="39"/>
        <v>-30755.833333333332</v>
      </c>
      <c r="F108" s="618">
        <f t="shared" si="39"/>
        <v>-30755.833333333332</v>
      </c>
      <c r="G108" s="618">
        <f t="shared" si="39"/>
        <v>-30755.833333333332</v>
      </c>
      <c r="H108" s="618">
        <f t="shared" si="39"/>
        <v>-30755.833333333332</v>
      </c>
      <c r="I108" s="618">
        <f t="shared" si="39"/>
        <v>-30755.833333333332</v>
      </c>
      <c r="J108" s="618">
        <f t="shared" si="39"/>
        <v>-30755.833333333332</v>
      </c>
      <c r="K108" s="618">
        <f t="shared" si="39"/>
        <v>-30755.833333333332</v>
      </c>
      <c r="L108" s="618">
        <f t="shared" si="39"/>
        <v>-30755.833333333332</v>
      </c>
      <c r="M108" s="618">
        <f t="shared" si="39"/>
        <v>-30755.833333333332</v>
      </c>
      <c r="N108" s="618">
        <f t="shared" si="39"/>
        <v>-30755.833333333332</v>
      </c>
      <c r="O108" s="630">
        <f t="shared" si="39"/>
        <v>-30755.833333333332</v>
      </c>
      <c r="P108" s="618">
        <f t="shared" si="39"/>
        <v>-33637.500000000007</v>
      </c>
      <c r="Q108" s="618">
        <f t="shared" si="39"/>
        <v>-33637.500000000007</v>
      </c>
      <c r="R108" s="618">
        <f t="shared" si="39"/>
        <v>-33637.500000000007</v>
      </c>
      <c r="S108" s="618">
        <f t="shared" si="39"/>
        <v>-33637.500000000007</v>
      </c>
      <c r="T108" s="618">
        <f t="shared" si="39"/>
        <v>-33637.500000000007</v>
      </c>
      <c r="U108" s="618">
        <f t="shared" si="39"/>
        <v>-33637.500000000007</v>
      </c>
      <c r="V108" s="618">
        <f t="shared" si="39"/>
        <v>-33637.500000000007</v>
      </c>
      <c r="W108" s="618">
        <f t="shared" si="39"/>
        <v>-33637.500000000007</v>
      </c>
      <c r="X108" s="618">
        <f t="shared" si="39"/>
        <v>-33637.500000000007</v>
      </c>
      <c r="Y108" s="618">
        <f t="shared" si="39"/>
        <v>-33637.500000000007</v>
      </c>
      <c r="Z108" s="618">
        <f t="shared" si="39"/>
        <v>-33637.500000000007</v>
      </c>
      <c r="AA108" s="630">
        <f t="shared" si="39"/>
        <v>-33637.500000000007</v>
      </c>
      <c r="AB108" s="618">
        <f t="shared" si="39"/>
        <v>-54034.166666666672</v>
      </c>
      <c r="AC108" s="618">
        <f t="shared" si="39"/>
        <v>-54034.166666666672</v>
      </c>
      <c r="AD108" s="618">
        <f t="shared" si="39"/>
        <v>-54034.166666666672</v>
      </c>
      <c r="AE108" s="618">
        <f t="shared" si="39"/>
        <v>-54034.166666666672</v>
      </c>
      <c r="AF108" s="618">
        <f t="shared" si="39"/>
        <v>-54034.166666666672</v>
      </c>
      <c r="AG108" s="618">
        <f t="shared" si="39"/>
        <v>-54034.166666666672</v>
      </c>
      <c r="AH108" s="618">
        <f t="shared" si="39"/>
        <v>-54034.166666666672</v>
      </c>
      <c r="AI108" s="618">
        <f t="shared" si="39"/>
        <v>-54034.166666666672</v>
      </c>
      <c r="AJ108" s="618">
        <f t="shared" si="39"/>
        <v>-54034.166666666672</v>
      </c>
      <c r="AK108" s="618">
        <f t="shared" si="39"/>
        <v>-54034.166666666672</v>
      </c>
      <c r="AL108" s="618">
        <f t="shared" si="39"/>
        <v>-54034.166666666672</v>
      </c>
      <c r="AM108" s="618">
        <f t="shared" si="39"/>
        <v>-54034.166666666672</v>
      </c>
    </row>
    <row r="109" spans="1:39" s="333" customFormat="1">
      <c r="B109" s="624"/>
      <c r="O109" s="597"/>
      <c r="P109" s="598"/>
      <c r="Q109" s="323"/>
      <c r="R109" s="323"/>
      <c r="S109" s="323"/>
      <c r="T109" s="323"/>
      <c r="U109" s="323"/>
      <c r="V109" s="323"/>
      <c r="W109" s="323"/>
      <c r="X109" s="323"/>
      <c r="Y109" s="323"/>
      <c r="Z109" s="323"/>
      <c r="AA109" s="599"/>
      <c r="AB109" s="598"/>
    </row>
    <row r="110" spans="1:39" s="621" customFormat="1">
      <c r="B110" s="622" t="s">
        <v>66</v>
      </c>
      <c r="D110" s="621">
        <f t="shared" ref="D110:AM110" si="40">D97+D108</f>
        <v>-13957.833333333332</v>
      </c>
      <c r="E110" s="621">
        <f t="shared" si="40"/>
        <v>-12053.833333333332</v>
      </c>
      <c r="F110" s="621">
        <f t="shared" si="40"/>
        <v>-8597.633333333335</v>
      </c>
      <c r="G110" s="621">
        <f t="shared" si="40"/>
        <v>-6915.4333333333307</v>
      </c>
      <c r="H110" s="621">
        <f t="shared" si="40"/>
        <v>-3411.8333333333321</v>
      </c>
      <c r="I110" s="621">
        <f t="shared" si="40"/>
        <v>-581.73333333333358</v>
      </c>
      <c r="J110" s="621">
        <f t="shared" si="40"/>
        <v>2883.1666666666679</v>
      </c>
      <c r="K110" s="621">
        <f t="shared" si="40"/>
        <v>2818.9816666666702</v>
      </c>
      <c r="L110" s="621">
        <f t="shared" si="40"/>
        <v>4596.6666666666679</v>
      </c>
      <c r="M110" s="621">
        <f t="shared" si="40"/>
        <v>7673.0666666666621</v>
      </c>
      <c r="N110" s="621">
        <f t="shared" si="40"/>
        <v>10361.698666666667</v>
      </c>
      <c r="O110" s="623">
        <f t="shared" si="40"/>
        <v>13824.961666666666</v>
      </c>
      <c r="P110" s="631">
        <f t="shared" si="40"/>
        <v>22767.767999999989</v>
      </c>
      <c r="Q110" s="621">
        <f t="shared" si="40"/>
        <v>34560.620999999992</v>
      </c>
      <c r="R110" s="621">
        <f t="shared" si="40"/>
        <v>50190.344999999994</v>
      </c>
      <c r="S110" s="621">
        <f t="shared" si="40"/>
        <v>64610.439999999995</v>
      </c>
      <c r="T110" s="621">
        <f t="shared" si="40"/>
        <v>73084.362999999983</v>
      </c>
      <c r="U110" s="621">
        <f t="shared" si="40"/>
        <v>82651.260999999999</v>
      </c>
      <c r="V110" s="621">
        <f t="shared" si="40"/>
        <v>92418.400999999983</v>
      </c>
      <c r="W110" s="621">
        <f t="shared" si="40"/>
        <v>90246.109299999982</v>
      </c>
      <c r="X110" s="621">
        <f t="shared" si="40"/>
        <v>108051.821</v>
      </c>
      <c r="Y110" s="621">
        <f t="shared" si="40"/>
        <v>120834.77299999999</v>
      </c>
      <c r="Z110" s="621">
        <f t="shared" si="40"/>
        <v>134968.83799999999</v>
      </c>
      <c r="AA110" s="623">
        <f t="shared" si="40"/>
        <v>134071.07020000002</v>
      </c>
      <c r="AB110" s="631">
        <f t="shared" si="40"/>
        <v>122443.25567333332</v>
      </c>
      <c r="AC110" s="621">
        <f t="shared" si="40"/>
        <v>141315.60301333334</v>
      </c>
      <c r="AD110" s="621">
        <f t="shared" si="40"/>
        <v>177837.49557333329</v>
      </c>
      <c r="AE110" s="621">
        <f t="shared" si="40"/>
        <v>183484.18101333332</v>
      </c>
      <c r="AF110" s="621">
        <f t="shared" si="40"/>
        <v>209917.69207333331</v>
      </c>
      <c r="AG110" s="621">
        <f t="shared" si="40"/>
        <v>257039.70103333332</v>
      </c>
      <c r="AH110" s="621">
        <f t="shared" si="40"/>
        <v>294255.00931333331</v>
      </c>
      <c r="AI110" s="621">
        <f t="shared" si="40"/>
        <v>304950.86756633333</v>
      </c>
      <c r="AJ110" s="621">
        <f t="shared" si="40"/>
        <v>296244.98247333331</v>
      </c>
      <c r="AK110" s="621">
        <f t="shared" si="40"/>
        <v>333581.81861333334</v>
      </c>
      <c r="AL110" s="621">
        <f t="shared" si="40"/>
        <v>357202.99551093334</v>
      </c>
      <c r="AM110" s="621">
        <f t="shared" si="40"/>
        <v>379289.67075033335</v>
      </c>
    </row>
    <row r="111" spans="1:39" s="333" customFormat="1">
      <c r="B111" s="624"/>
      <c r="O111" s="597"/>
      <c r="P111" s="598"/>
      <c r="Q111" s="323"/>
      <c r="R111" s="323"/>
      <c r="S111" s="323"/>
      <c r="T111" s="323"/>
      <c r="U111" s="323"/>
      <c r="V111" s="323"/>
      <c r="W111" s="323"/>
      <c r="X111" s="323"/>
      <c r="Y111" s="323"/>
      <c r="Z111" s="323"/>
      <c r="AA111" s="599"/>
      <c r="AB111" s="598"/>
    </row>
    <row r="112" spans="1:39" s="333" customFormat="1">
      <c r="B112" s="624" t="s">
        <v>31</v>
      </c>
      <c r="D112" s="333">
        <f>D203</f>
        <v>-1353.7619047619048</v>
      </c>
      <c r="E112" s="333">
        <f t="shared" ref="E112:AM112" si="41">E203</f>
        <v>-1353.7619047619048</v>
      </c>
      <c r="F112" s="333">
        <f t="shared" si="41"/>
        <v>-1353.7619047619048</v>
      </c>
      <c r="G112" s="333">
        <f t="shared" si="41"/>
        <v>-1353.7619047619048</v>
      </c>
      <c r="H112" s="333">
        <f t="shared" si="41"/>
        <v>-1353.7619047619048</v>
      </c>
      <c r="I112" s="333">
        <f t="shared" si="41"/>
        <v>-1353.7619047619048</v>
      </c>
      <c r="J112" s="333">
        <f t="shared" si="41"/>
        <v>-1353.7619047619048</v>
      </c>
      <c r="K112" s="333">
        <f t="shared" si="41"/>
        <v>-1353.7619047619048</v>
      </c>
      <c r="L112" s="333">
        <f t="shared" si="41"/>
        <v>-1353.7619047619048</v>
      </c>
      <c r="M112" s="333">
        <f t="shared" si="41"/>
        <v>-1353.7619047619048</v>
      </c>
      <c r="N112" s="333">
        <f t="shared" si="41"/>
        <v>-1353.7619047619048</v>
      </c>
      <c r="O112" s="597">
        <f t="shared" si="41"/>
        <v>-1353.7619047619048</v>
      </c>
      <c r="P112" s="333">
        <f t="shared" si="41"/>
        <v>-2627.6309523809523</v>
      </c>
      <c r="Q112" s="333">
        <f t="shared" si="41"/>
        <v>-2627.6309523809523</v>
      </c>
      <c r="R112" s="333">
        <f t="shared" si="41"/>
        <v>-2627.6309523809523</v>
      </c>
      <c r="S112" s="333">
        <f t="shared" si="41"/>
        <v>-2627.6309523809523</v>
      </c>
      <c r="T112" s="333">
        <f t="shared" si="41"/>
        <v>-2627.6309523809523</v>
      </c>
      <c r="U112" s="333">
        <f t="shared" si="41"/>
        <v>-2627.6309523809523</v>
      </c>
      <c r="V112" s="333">
        <f t="shared" si="41"/>
        <v>-2627.6309523809523</v>
      </c>
      <c r="W112" s="333">
        <f t="shared" si="41"/>
        <v>-2627.6309523809523</v>
      </c>
      <c r="X112" s="333">
        <f t="shared" si="41"/>
        <v>-2627.6309523809523</v>
      </c>
      <c r="Y112" s="333">
        <f t="shared" si="41"/>
        <v>-2627.6309523809523</v>
      </c>
      <c r="Z112" s="333">
        <f t="shared" si="41"/>
        <v>-2627.6309523809523</v>
      </c>
      <c r="AA112" s="597">
        <f t="shared" si="41"/>
        <v>-2627.6309523809523</v>
      </c>
      <c r="AB112" s="333">
        <f>AB203</f>
        <v>-5088.4880952380954</v>
      </c>
      <c r="AC112" s="333">
        <f t="shared" si="41"/>
        <v>-5088.4880952380954</v>
      </c>
      <c r="AD112" s="333">
        <f t="shared" si="41"/>
        <v>-5088.4880952380954</v>
      </c>
      <c r="AE112" s="333">
        <f t="shared" si="41"/>
        <v>-5088.4880952380954</v>
      </c>
      <c r="AF112" s="333">
        <f t="shared" si="41"/>
        <v>-5088.4880952380954</v>
      </c>
      <c r="AG112" s="333">
        <f t="shared" si="41"/>
        <v>-5088.4880952380954</v>
      </c>
      <c r="AH112" s="333">
        <f t="shared" si="41"/>
        <v>-5088.4880952380954</v>
      </c>
      <c r="AI112" s="333">
        <f t="shared" si="41"/>
        <v>-5088.4880952380954</v>
      </c>
      <c r="AJ112" s="333">
        <f t="shared" si="41"/>
        <v>-5088.4880952380954</v>
      </c>
      <c r="AK112" s="333">
        <f t="shared" si="41"/>
        <v>-5088.4880952380954</v>
      </c>
      <c r="AL112" s="333">
        <f t="shared" si="41"/>
        <v>-5088.4880952380954</v>
      </c>
      <c r="AM112" s="333">
        <f t="shared" si="41"/>
        <v>-5088.4880952380954</v>
      </c>
    </row>
    <row r="113" spans="2:39" s="611" customFormat="1">
      <c r="B113" s="622" t="s">
        <v>24</v>
      </c>
      <c r="D113" s="611">
        <f>D112+D110</f>
        <v>-15311.595238095237</v>
      </c>
      <c r="E113" s="611">
        <f t="shared" ref="E113:AM113" si="42">E112+E110</f>
        <v>-13407.595238095237</v>
      </c>
      <c r="F113" s="611">
        <f t="shared" si="42"/>
        <v>-9951.3952380952396</v>
      </c>
      <c r="G113" s="611">
        <f t="shared" si="42"/>
        <v>-8269.1952380952353</v>
      </c>
      <c r="H113" s="611">
        <f t="shared" si="42"/>
        <v>-4765.5952380952367</v>
      </c>
      <c r="I113" s="611">
        <f t="shared" si="42"/>
        <v>-1935.4952380952384</v>
      </c>
      <c r="J113" s="611">
        <f t="shared" si="42"/>
        <v>1529.4047619047631</v>
      </c>
      <c r="K113" s="611">
        <f t="shared" si="42"/>
        <v>1465.2197619047654</v>
      </c>
      <c r="L113" s="611">
        <f t="shared" si="42"/>
        <v>3242.9047619047633</v>
      </c>
      <c r="M113" s="611">
        <f t="shared" si="42"/>
        <v>6319.3047619047575</v>
      </c>
      <c r="N113" s="611">
        <f t="shared" si="42"/>
        <v>9007.9367619047625</v>
      </c>
      <c r="O113" s="612">
        <f t="shared" si="42"/>
        <v>12471.199761904762</v>
      </c>
      <c r="P113" s="611">
        <f t="shared" si="42"/>
        <v>20140.137047619035</v>
      </c>
      <c r="Q113" s="611">
        <f t="shared" si="42"/>
        <v>31932.990047619038</v>
      </c>
      <c r="R113" s="611">
        <f t="shared" si="42"/>
        <v>47562.71404761904</v>
      </c>
      <c r="S113" s="611">
        <f t="shared" si="42"/>
        <v>61982.809047619041</v>
      </c>
      <c r="T113" s="611">
        <f t="shared" si="42"/>
        <v>70456.732047619036</v>
      </c>
      <c r="U113" s="611">
        <f t="shared" si="42"/>
        <v>80023.630047619052</v>
      </c>
      <c r="V113" s="611">
        <f t="shared" si="42"/>
        <v>89790.770047619037</v>
      </c>
      <c r="W113" s="611">
        <f t="shared" si="42"/>
        <v>87618.478347619035</v>
      </c>
      <c r="X113" s="611">
        <f t="shared" si="42"/>
        <v>105424.19004761905</v>
      </c>
      <c r="Y113" s="611">
        <f t="shared" si="42"/>
        <v>118207.14204761904</v>
      </c>
      <c r="Z113" s="611">
        <f t="shared" si="42"/>
        <v>132341.20704761904</v>
      </c>
      <c r="AA113" s="612">
        <f t="shared" si="42"/>
        <v>131443.43924761907</v>
      </c>
      <c r="AB113" s="611">
        <f t="shared" si="42"/>
        <v>117354.76757809523</v>
      </c>
      <c r="AC113" s="611">
        <f t="shared" si="42"/>
        <v>136227.11491809523</v>
      </c>
      <c r="AD113" s="611">
        <f t="shared" si="42"/>
        <v>172749.00747809518</v>
      </c>
      <c r="AE113" s="611">
        <f t="shared" si="42"/>
        <v>178395.69291809521</v>
      </c>
      <c r="AF113" s="611">
        <f t="shared" si="42"/>
        <v>204829.2039780952</v>
      </c>
      <c r="AG113" s="611">
        <f t="shared" si="42"/>
        <v>251951.21293809521</v>
      </c>
      <c r="AH113" s="611">
        <f t="shared" si="42"/>
        <v>289166.52121809521</v>
      </c>
      <c r="AI113" s="611">
        <f t="shared" si="42"/>
        <v>299862.37947109522</v>
      </c>
      <c r="AJ113" s="611">
        <f t="shared" si="42"/>
        <v>291156.4943780952</v>
      </c>
      <c r="AK113" s="611">
        <f t="shared" si="42"/>
        <v>328493.33051809523</v>
      </c>
      <c r="AL113" s="611">
        <f t="shared" si="42"/>
        <v>352114.50741569523</v>
      </c>
      <c r="AM113" s="611">
        <f t="shared" si="42"/>
        <v>374201.18265509524</v>
      </c>
    </row>
    <row r="114" spans="2:39" s="333" customFormat="1">
      <c r="B114" s="624"/>
      <c r="O114" s="597"/>
      <c r="P114" s="598"/>
      <c r="Q114" s="598"/>
      <c r="R114" s="598"/>
      <c r="S114" s="598"/>
      <c r="T114" s="598"/>
      <c r="U114" s="598"/>
      <c r="V114" s="598"/>
      <c r="W114" s="598"/>
      <c r="X114" s="598"/>
      <c r="Y114" s="598"/>
      <c r="Z114" s="598"/>
      <c r="AA114" s="599"/>
      <c r="AB114" s="598"/>
      <c r="AC114" s="598"/>
      <c r="AD114" s="598"/>
      <c r="AE114" s="598"/>
      <c r="AF114" s="598"/>
      <c r="AG114" s="598"/>
      <c r="AH114" s="598"/>
      <c r="AI114" s="598"/>
      <c r="AJ114" s="598"/>
      <c r="AK114" s="598"/>
      <c r="AL114" s="598"/>
      <c r="AM114" s="598"/>
    </row>
    <row r="115" spans="2:39" s="333" customFormat="1">
      <c r="B115" s="624" t="s">
        <v>30</v>
      </c>
      <c r="D115" s="333">
        <f t="shared" ref="D115:AM115" si="43">-IF(D92&gt;$D68,0,IPMT($D67/12,D92,$D68,-$D66))</f>
        <v>-2083.333333333333</v>
      </c>
      <c r="E115" s="333">
        <f t="shared" si="43"/>
        <v>-2052.6988187971992</v>
      </c>
      <c r="F115" s="333">
        <f t="shared" si="43"/>
        <v>-2021.9366604504983</v>
      </c>
      <c r="G115" s="333">
        <f t="shared" si="43"/>
        <v>-1991.0463264440191</v>
      </c>
      <c r="H115" s="333">
        <f t="shared" si="43"/>
        <v>-1960.0272827125132</v>
      </c>
      <c r="I115" s="333">
        <f t="shared" si="43"/>
        <v>-1928.8789929654588</v>
      </c>
      <c r="J115" s="333">
        <f t="shared" si="43"/>
        <v>-1897.6009186777922</v>
      </c>
      <c r="K115" s="333">
        <f t="shared" si="43"/>
        <v>-1866.1925190805937</v>
      </c>
      <c r="L115" s="333">
        <f t="shared" si="43"/>
        <v>-1834.6532511517401</v>
      </c>
      <c r="M115" s="333">
        <f t="shared" si="43"/>
        <v>-1802.9825696065161</v>
      </c>
      <c r="N115" s="333">
        <f t="shared" si="43"/>
        <v>-1771.1799268881875</v>
      </c>
      <c r="O115" s="597">
        <f t="shared" si="43"/>
        <v>-1739.2447731585316</v>
      </c>
      <c r="P115" s="333">
        <f t="shared" si="43"/>
        <v>-1707.1765562883363</v>
      </c>
      <c r="Q115" s="333">
        <f t="shared" si="43"/>
        <v>-1674.9747218478483</v>
      </c>
      <c r="R115" s="333">
        <f t="shared" si="43"/>
        <v>-1642.6387130971918</v>
      </c>
      <c r="S115" s="333">
        <f t="shared" si="43"/>
        <v>-1610.1679709767404</v>
      </c>
      <c r="T115" s="333">
        <f t="shared" si="43"/>
        <v>-1577.5619340974542</v>
      </c>
      <c r="U115" s="333">
        <f t="shared" si="43"/>
        <v>-1544.8200387311706</v>
      </c>
      <c r="V115" s="333">
        <f t="shared" si="43"/>
        <v>-1511.9417188008611</v>
      </c>
      <c r="W115" s="333">
        <f t="shared" si="43"/>
        <v>-1478.9264058708422</v>
      </c>
      <c r="X115" s="333">
        <f t="shared" si="43"/>
        <v>-1445.7735291369474</v>
      </c>
      <c r="Y115" s="333">
        <f t="shared" si="43"/>
        <v>-1412.4825154166622</v>
      </c>
      <c r="Z115" s="333">
        <f t="shared" si="43"/>
        <v>-1379.0527891392089</v>
      </c>
      <c r="AA115" s="597">
        <f t="shared" si="43"/>
        <v>-1345.4837723355995</v>
      </c>
      <c r="AB115" s="333">
        <f t="shared" si="43"/>
        <v>-1311.7748846286415</v>
      </c>
      <c r="AC115" s="333">
        <f t="shared" si="43"/>
        <v>-1277.9255432229049</v>
      </c>
      <c r="AD115" s="333">
        <f t="shared" si="43"/>
        <v>-1243.9351628946442</v>
      </c>
      <c r="AE115" s="333">
        <f t="shared" si="43"/>
        <v>-1209.8031559816823</v>
      </c>
      <c r="AF115" s="333">
        <f t="shared" si="43"/>
        <v>-1175.52893237325</v>
      </c>
      <c r="AG115" s="333">
        <f t="shared" si="43"/>
        <v>-1141.1118994997826</v>
      </c>
      <c r="AH115" s="333">
        <f t="shared" si="43"/>
        <v>-1106.5514623226754</v>
      </c>
      <c r="AI115" s="333">
        <f t="shared" si="43"/>
        <v>-1071.8470233239973</v>
      </c>
      <c r="AJ115" s="333">
        <f t="shared" si="43"/>
        <v>-1036.9979824961579</v>
      </c>
      <c r="AK115" s="333">
        <f t="shared" si="43"/>
        <v>-1002.0037373315357</v>
      </c>
      <c r="AL115" s="333">
        <f t="shared" si="43"/>
        <v>-966.8636828120608</v>
      </c>
      <c r="AM115" s="333">
        <f t="shared" si="43"/>
        <v>-931.57721139875525</v>
      </c>
    </row>
    <row r="116" spans="2:39" s="621" customFormat="1">
      <c r="B116" s="622" t="s">
        <v>105</v>
      </c>
      <c r="D116" s="621">
        <f t="shared" ref="D116:AM116" si="44">D113+D115</f>
        <v>-17394.928571428569</v>
      </c>
      <c r="E116" s="621">
        <f t="shared" si="44"/>
        <v>-15460.294056892435</v>
      </c>
      <c r="F116" s="621">
        <f t="shared" si="44"/>
        <v>-11973.331898545737</v>
      </c>
      <c r="G116" s="621">
        <f t="shared" si="44"/>
        <v>-10260.241564539254</v>
      </c>
      <c r="H116" s="621">
        <f t="shared" si="44"/>
        <v>-6725.6225208077503</v>
      </c>
      <c r="I116" s="621">
        <f t="shared" si="44"/>
        <v>-3864.3742310606972</v>
      </c>
      <c r="J116" s="621">
        <f t="shared" si="44"/>
        <v>-368.19615677302909</v>
      </c>
      <c r="K116" s="621">
        <f t="shared" si="44"/>
        <v>-400.97275717582829</v>
      </c>
      <c r="L116" s="621">
        <f t="shared" si="44"/>
        <v>1408.2515107530232</v>
      </c>
      <c r="M116" s="621">
        <f t="shared" si="44"/>
        <v>4516.3221922982411</v>
      </c>
      <c r="N116" s="621">
        <f t="shared" si="44"/>
        <v>7236.7568350165748</v>
      </c>
      <c r="O116" s="623">
        <f t="shared" si="44"/>
        <v>10731.954988746231</v>
      </c>
      <c r="P116" s="621">
        <f t="shared" si="44"/>
        <v>18432.960491330698</v>
      </c>
      <c r="Q116" s="621">
        <f t="shared" si="44"/>
        <v>30258.01532577119</v>
      </c>
      <c r="R116" s="621">
        <f t="shared" si="44"/>
        <v>45920.075334521847</v>
      </c>
      <c r="S116" s="621">
        <f t="shared" si="44"/>
        <v>60372.6410766423</v>
      </c>
      <c r="T116" s="621">
        <f t="shared" si="44"/>
        <v>68879.170113521584</v>
      </c>
      <c r="U116" s="621">
        <f t="shared" si="44"/>
        <v>78478.810008887885</v>
      </c>
      <c r="V116" s="621">
        <f t="shared" si="44"/>
        <v>88278.82832881817</v>
      </c>
      <c r="W116" s="621">
        <f t="shared" si="44"/>
        <v>86139.551941748199</v>
      </c>
      <c r="X116" s="621">
        <f t="shared" si="44"/>
        <v>103978.4165184821</v>
      </c>
      <c r="Y116" s="621">
        <f t="shared" si="44"/>
        <v>116794.65953220238</v>
      </c>
      <c r="Z116" s="621">
        <f t="shared" si="44"/>
        <v>130962.15425847983</v>
      </c>
      <c r="AA116" s="623">
        <f t="shared" si="44"/>
        <v>130097.95547528347</v>
      </c>
      <c r="AB116" s="621">
        <f t="shared" si="44"/>
        <v>116042.99269346659</v>
      </c>
      <c r="AC116" s="621">
        <f t="shared" si="44"/>
        <v>134949.18937487234</v>
      </c>
      <c r="AD116" s="621">
        <f t="shared" si="44"/>
        <v>171505.07231520055</v>
      </c>
      <c r="AE116" s="621">
        <f t="shared" si="44"/>
        <v>177185.88976211354</v>
      </c>
      <c r="AF116" s="621">
        <f t="shared" si="44"/>
        <v>203653.67504572196</v>
      </c>
      <c r="AG116" s="621">
        <f t="shared" si="44"/>
        <v>250810.10103859543</v>
      </c>
      <c r="AH116" s="621">
        <f t="shared" si="44"/>
        <v>288059.96975577256</v>
      </c>
      <c r="AI116" s="621">
        <f t="shared" si="44"/>
        <v>298790.53244777123</v>
      </c>
      <c r="AJ116" s="621">
        <f t="shared" si="44"/>
        <v>290119.49639559904</v>
      </c>
      <c r="AK116" s="621">
        <f t="shared" si="44"/>
        <v>327491.32678076369</v>
      </c>
      <c r="AL116" s="621">
        <f t="shared" si="44"/>
        <v>351147.64373288315</v>
      </c>
      <c r="AM116" s="621">
        <f t="shared" si="44"/>
        <v>373269.60544369649</v>
      </c>
    </row>
    <row r="117" spans="2:39" s="618" customFormat="1">
      <c r="B117" s="628"/>
      <c r="C117" s="632"/>
      <c r="O117" s="630"/>
      <c r="P117" s="633"/>
      <c r="AA117" s="630"/>
      <c r="AB117" s="633"/>
    </row>
    <row r="118" spans="2:39" s="618" customFormat="1">
      <c r="B118" s="624" t="s">
        <v>4</v>
      </c>
      <c r="C118" s="634"/>
      <c r="D118" s="635">
        <f>-D214</f>
        <v>0</v>
      </c>
      <c r="E118" s="635">
        <f t="shared" ref="E118:AM118" si="45">-E214</f>
        <v>0</v>
      </c>
      <c r="F118" s="635">
        <f t="shared" si="45"/>
        <v>0</v>
      </c>
      <c r="G118" s="635">
        <f t="shared" si="45"/>
        <v>0</v>
      </c>
      <c r="H118" s="635">
        <f t="shared" si="45"/>
        <v>0</v>
      </c>
      <c r="I118" s="635">
        <f t="shared" si="45"/>
        <v>0</v>
      </c>
      <c r="J118" s="635">
        <f t="shared" si="45"/>
        <v>0</v>
      </c>
      <c r="K118" s="635">
        <f t="shared" si="45"/>
        <v>0</v>
      </c>
      <c r="L118" s="635">
        <f t="shared" si="45"/>
        <v>0</v>
      </c>
      <c r="M118" s="635">
        <f t="shared" si="45"/>
        <v>0</v>
      </c>
      <c r="N118" s="635">
        <f t="shared" si="45"/>
        <v>0</v>
      </c>
      <c r="O118" s="636">
        <f t="shared" si="45"/>
        <v>0</v>
      </c>
      <c r="P118" s="635">
        <f t="shared" si="45"/>
        <v>0</v>
      </c>
      <c r="Q118" s="635">
        <f t="shared" si="45"/>
        <v>0</v>
      </c>
      <c r="R118" s="635">
        <f t="shared" si="45"/>
        <v>0</v>
      </c>
      <c r="S118" s="635">
        <f t="shared" si="45"/>
        <v>-11251.170666130871</v>
      </c>
      <c r="T118" s="635">
        <f t="shared" si="45"/>
        <v>-17876.700266475633</v>
      </c>
      <c r="U118" s="635">
        <f t="shared" si="45"/>
        <v>-20276.610240317208</v>
      </c>
      <c r="V118" s="635">
        <f t="shared" si="45"/>
        <v>-22726.614820299779</v>
      </c>
      <c r="W118" s="635">
        <f t="shared" si="45"/>
        <v>-22191.795723532287</v>
      </c>
      <c r="X118" s="635">
        <f t="shared" si="45"/>
        <v>-26651.511867715762</v>
      </c>
      <c r="Y118" s="635">
        <f t="shared" si="45"/>
        <v>-29855.572621145831</v>
      </c>
      <c r="Z118" s="635">
        <f t="shared" si="45"/>
        <v>-33397.446302715194</v>
      </c>
      <c r="AA118" s="636">
        <f t="shared" si="45"/>
        <v>-33181.396606916103</v>
      </c>
      <c r="AB118" s="635">
        <f t="shared" si="45"/>
        <v>-9662.8701971761693</v>
      </c>
      <c r="AC118" s="635">
        <f t="shared" si="45"/>
        <v>-35009.419367527611</v>
      </c>
      <c r="AD118" s="635">
        <f t="shared" si="45"/>
        <v>-44148.390102609665</v>
      </c>
      <c r="AE118" s="635">
        <f t="shared" si="45"/>
        <v>-45568.594464337912</v>
      </c>
      <c r="AF118" s="635">
        <f t="shared" si="45"/>
        <v>-52185.540785240017</v>
      </c>
      <c r="AG118" s="635">
        <f t="shared" si="45"/>
        <v>-63974.647283458384</v>
      </c>
      <c r="AH118" s="635">
        <f t="shared" si="45"/>
        <v>-73287.114462752666</v>
      </c>
      <c r="AI118" s="635">
        <f t="shared" si="45"/>
        <v>-75969.755135752333</v>
      </c>
      <c r="AJ118" s="635">
        <f t="shared" si="45"/>
        <v>-73801.996122709286</v>
      </c>
      <c r="AK118" s="635">
        <f t="shared" si="45"/>
        <v>-83144.953719000448</v>
      </c>
      <c r="AL118" s="635">
        <f t="shared" si="45"/>
        <v>-89059.032957030315</v>
      </c>
      <c r="AM118" s="635">
        <f t="shared" si="45"/>
        <v>-94589.523384733649</v>
      </c>
    </row>
    <row r="119" spans="2:39" s="621" customFormat="1">
      <c r="B119" s="637" t="s">
        <v>106</v>
      </c>
      <c r="D119" s="621">
        <f t="shared" ref="D119:AM119" si="46">D116+D118</f>
        <v>-17394.928571428569</v>
      </c>
      <c r="E119" s="621">
        <f t="shared" si="46"/>
        <v>-15460.294056892435</v>
      </c>
      <c r="F119" s="621">
        <f t="shared" si="46"/>
        <v>-11973.331898545737</v>
      </c>
      <c r="G119" s="621">
        <f t="shared" si="46"/>
        <v>-10260.241564539254</v>
      </c>
      <c r="H119" s="621">
        <f t="shared" si="46"/>
        <v>-6725.6225208077503</v>
      </c>
      <c r="I119" s="621">
        <f t="shared" si="46"/>
        <v>-3864.3742310606972</v>
      </c>
      <c r="J119" s="621">
        <f t="shared" si="46"/>
        <v>-368.19615677302909</v>
      </c>
      <c r="K119" s="621">
        <f t="shared" si="46"/>
        <v>-400.97275717582829</v>
      </c>
      <c r="L119" s="621">
        <f t="shared" si="46"/>
        <v>1408.2515107530232</v>
      </c>
      <c r="M119" s="621">
        <f t="shared" si="46"/>
        <v>4516.3221922982411</v>
      </c>
      <c r="N119" s="621">
        <f t="shared" si="46"/>
        <v>7236.7568350165748</v>
      </c>
      <c r="O119" s="623">
        <f t="shared" si="46"/>
        <v>10731.954988746231</v>
      </c>
      <c r="P119" s="631">
        <f>P116+P118</f>
        <v>18432.960491330698</v>
      </c>
      <c r="Q119" s="621">
        <f t="shared" si="46"/>
        <v>30258.01532577119</v>
      </c>
      <c r="R119" s="621">
        <f t="shared" si="46"/>
        <v>45920.075334521847</v>
      </c>
      <c r="S119" s="621">
        <f t="shared" si="46"/>
        <v>49121.470410511429</v>
      </c>
      <c r="T119" s="621">
        <f t="shared" si="46"/>
        <v>51002.469847045955</v>
      </c>
      <c r="U119" s="621">
        <f t="shared" si="46"/>
        <v>58202.199768570674</v>
      </c>
      <c r="V119" s="621">
        <f t="shared" si="46"/>
        <v>65552.213508518384</v>
      </c>
      <c r="W119" s="621">
        <f t="shared" si="46"/>
        <v>63947.756218215916</v>
      </c>
      <c r="X119" s="621">
        <f t="shared" si="46"/>
        <v>77326.904650766344</v>
      </c>
      <c r="Y119" s="621">
        <f t="shared" si="46"/>
        <v>86939.08691105654</v>
      </c>
      <c r="Z119" s="621">
        <f t="shared" si="46"/>
        <v>97564.707955764636</v>
      </c>
      <c r="AA119" s="623">
        <f t="shared" si="46"/>
        <v>96916.55886836737</v>
      </c>
      <c r="AB119" s="631">
        <f t="shared" si="46"/>
        <v>106380.12249629042</v>
      </c>
      <c r="AC119" s="621">
        <f t="shared" si="46"/>
        <v>99939.770007344719</v>
      </c>
      <c r="AD119" s="621">
        <f t="shared" si="46"/>
        <v>127356.68221259088</v>
      </c>
      <c r="AE119" s="621">
        <f t="shared" si="46"/>
        <v>131617.29529777562</v>
      </c>
      <c r="AF119" s="621">
        <f t="shared" si="46"/>
        <v>151468.13426048195</v>
      </c>
      <c r="AG119" s="621">
        <f t="shared" si="46"/>
        <v>186835.45375513704</v>
      </c>
      <c r="AH119" s="621">
        <f t="shared" si="46"/>
        <v>214772.85529301991</v>
      </c>
      <c r="AI119" s="621">
        <f t="shared" si="46"/>
        <v>222820.77731201891</v>
      </c>
      <c r="AJ119" s="621">
        <f t="shared" si="46"/>
        <v>216317.50027288974</v>
      </c>
      <c r="AK119" s="621">
        <f t="shared" si="46"/>
        <v>244346.37306176324</v>
      </c>
      <c r="AL119" s="621">
        <f t="shared" si="46"/>
        <v>262088.61077585284</v>
      </c>
      <c r="AM119" s="621">
        <f t="shared" si="46"/>
        <v>278680.08205896284</v>
      </c>
    </row>
    <row r="120" spans="2:39" s="618" customFormat="1">
      <c r="B120" s="305"/>
      <c r="O120" s="630"/>
      <c r="P120" s="633"/>
      <c r="AA120" s="630"/>
      <c r="AB120" s="633"/>
    </row>
    <row r="121" spans="2:39" s="618" customFormat="1">
      <c r="B121" s="305"/>
      <c r="O121" s="630"/>
      <c r="P121" s="633"/>
      <c r="AA121" s="630"/>
      <c r="AB121" s="633"/>
    </row>
    <row r="122" spans="2:39" s="621" customFormat="1">
      <c r="B122" s="637" t="s">
        <v>89</v>
      </c>
      <c r="D122" s="621">
        <f t="shared" ref="D122:AM122" si="47">-(D108+D112+D115)/D98</f>
        <v>52459.825880632052</v>
      </c>
      <c r="E122" s="621">
        <f t="shared" si="47"/>
        <v>53992.572330960684</v>
      </c>
      <c r="F122" s="621">
        <f t="shared" si="47"/>
        <v>55868.737621298387</v>
      </c>
      <c r="G122" s="621">
        <f t="shared" si="47"/>
        <v>54588.718505942685</v>
      </c>
      <c r="H122" s="621">
        <f t="shared" si="47"/>
        <v>55756.861022752593</v>
      </c>
      <c r="I122" s="621">
        <f t="shared" si="47"/>
        <v>55814.61014593381</v>
      </c>
      <c r="J122" s="621">
        <f t="shared" si="47"/>
        <v>55846.652102989261</v>
      </c>
      <c r="K122" s="621">
        <f t="shared" si="47"/>
        <v>57407.001395858955</v>
      </c>
      <c r="L122" s="621">
        <f t="shared" si="47"/>
        <v>57454.379212207365</v>
      </c>
      <c r="M122" s="621">
        <f t="shared" si="47"/>
        <v>56963.818831326127</v>
      </c>
      <c r="N122" s="621">
        <f t="shared" si="47"/>
        <v>57771.012989838178</v>
      </c>
      <c r="O122" s="623">
        <f t="shared" si="47"/>
        <v>58283.048943919952</v>
      </c>
      <c r="P122" s="621">
        <f t="shared" si="47"/>
        <v>69714.953826897254</v>
      </c>
      <c r="Q122" s="621">
        <f t="shared" si="47"/>
        <v>72418.58645968404</v>
      </c>
      <c r="R122" s="621">
        <f t="shared" si="47"/>
        <v>75211.075066914345</v>
      </c>
      <c r="S122" s="621">
        <f t="shared" si="47"/>
        <v>76577.210327928158</v>
      </c>
      <c r="T122" s="621">
        <f t="shared" si="47"/>
        <v>76022.770610133724</v>
      </c>
      <c r="U122" s="621">
        <f t="shared" si="47"/>
        <v>75338.910154772937</v>
      </c>
      <c r="V122" s="621">
        <f t="shared" si="47"/>
        <v>74413.423457636221</v>
      </c>
      <c r="W122" s="621">
        <f t="shared" si="47"/>
        <v>75936.344756456063</v>
      </c>
      <c r="X122" s="621">
        <f t="shared" si="47"/>
        <v>73801.676972863585</v>
      </c>
      <c r="Y122" s="621">
        <f t="shared" si="47"/>
        <v>72839.753101248178</v>
      </c>
      <c r="Z122" s="621">
        <f t="shared" si="47"/>
        <v>71801.147644265555</v>
      </c>
      <c r="AA122" s="623">
        <f t="shared" si="47"/>
        <v>71742.741488768545</v>
      </c>
      <c r="AB122" s="621">
        <f t="shared" si="47"/>
        <v>115478.17713523487</v>
      </c>
      <c r="AC122" s="621">
        <f t="shared" si="47"/>
        <v>113873.33501204997</v>
      </c>
      <c r="AD122" s="621">
        <f t="shared" si="47"/>
        <v>110070.91941332755</v>
      </c>
      <c r="AE122" s="621">
        <f t="shared" si="47"/>
        <v>110552.80616130018</v>
      </c>
      <c r="AF122" s="621">
        <f t="shared" si="47"/>
        <v>108684.43383539407</v>
      </c>
      <c r="AG122" s="621">
        <f t="shared" si="47"/>
        <v>105321.4071598123</v>
      </c>
      <c r="AH122" s="621">
        <f t="shared" si="47"/>
        <v>103631.85419559314</v>
      </c>
      <c r="AI122" s="621">
        <f t="shared" si="47"/>
        <v>103153.30819140653</v>
      </c>
      <c r="AJ122" s="621">
        <f t="shared" si="47"/>
        <v>104264.36916271829</v>
      </c>
      <c r="AK122" s="621">
        <f t="shared" si="47"/>
        <v>102308.74919982607</v>
      </c>
      <c r="AL122" s="621">
        <f t="shared" si="47"/>
        <v>101468.92766087338</v>
      </c>
      <c r="AM122" s="621">
        <f t="shared" si="47"/>
        <v>101260.71400998386</v>
      </c>
    </row>
    <row r="123" spans="2:39" s="333" customFormat="1" ht="27.45" customHeight="1">
      <c r="B123" s="593"/>
      <c r="C123" s="323"/>
      <c r="O123" s="597"/>
      <c r="P123" s="598"/>
      <c r="Q123" s="323"/>
      <c r="R123" s="323"/>
      <c r="S123" s="323"/>
      <c r="T123" s="323"/>
      <c r="U123" s="323"/>
      <c r="V123" s="323"/>
      <c r="W123" s="323"/>
      <c r="X123" s="323"/>
      <c r="Y123" s="323"/>
      <c r="Z123" s="323"/>
      <c r="AA123" s="599"/>
      <c r="AB123" s="598"/>
    </row>
    <row r="124" spans="2:39" s="971" customFormat="1" ht="33.450000000000003" customHeight="1">
      <c r="B124" s="645" t="s">
        <v>61</v>
      </c>
      <c r="C124" s="970"/>
      <c r="D124" s="970"/>
      <c r="O124" s="972"/>
      <c r="P124" s="973"/>
      <c r="AA124" s="972"/>
      <c r="AB124" s="973"/>
    </row>
    <row r="125" spans="2:39" s="333" customFormat="1" ht="26.55" customHeight="1">
      <c r="B125" s="593"/>
      <c r="D125" s="1217"/>
      <c r="E125" s="1217"/>
      <c r="F125" s="1217"/>
      <c r="G125" s="1217"/>
      <c r="H125" s="1217"/>
      <c r="I125" s="1217"/>
      <c r="J125" s="1217"/>
      <c r="K125" s="1217"/>
      <c r="L125" s="1217"/>
      <c r="M125" s="1217"/>
      <c r="N125" s="1217"/>
      <c r="O125" s="1229"/>
      <c r="P125" s="1217"/>
      <c r="Q125" s="1217"/>
      <c r="R125" s="1217"/>
      <c r="S125" s="1217"/>
      <c r="T125" s="1217"/>
      <c r="U125" s="1217"/>
      <c r="V125" s="1217"/>
      <c r="W125" s="1217"/>
      <c r="X125" s="1217"/>
      <c r="Y125" s="1217"/>
      <c r="Z125" s="1217"/>
      <c r="AA125" s="1229"/>
      <c r="AB125" s="1217"/>
      <c r="AC125" s="1217"/>
      <c r="AD125" s="1217"/>
      <c r="AE125" s="1217"/>
      <c r="AF125" s="1217"/>
      <c r="AG125" s="1217"/>
      <c r="AH125" s="1217"/>
      <c r="AI125" s="1217"/>
      <c r="AJ125" s="1217"/>
      <c r="AK125" s="1217"/>
      <c r="AL125" s="1217"/>
      <c r="AM125" s="1229"/>
    </row>
    <row r="126" spans="2:39" s="300" customFormat="1" ht="18.45" customHeight="1">
      <c r="C126" s="300" t="str">
        <f t="shared" ref="C126:AM126" si="48">C91</f>
        <v>Month:</v>
      </c>
      <c r="D126" s="615">
        <f t="shared" si="48"/>
        <v>45292</v>
      </c>
      <c r="E126" s="615">
        <f t="shared" si="48"/>
        <v>45323</v>
      </c>
      <c r="F126" s="615">
        <f t="shared" si="48"/>
        <v>45352</v>
      </c>
      <c r="G126" s="615">
        <f t="shared" si="48"/>
        <v>45383</v>
      </c>
      <c r="H126" s="615">
        <f t="shared" si="48"/>
        <v>45413</v>
      </c>
      <c r="I126" s="615">
        <f t="shared" si="48"/>
        <v>45444</v>
      </c>
      <c r="J126" s="615">
        <f t="shared" si="48"/>
        <v>45474</v>
      </c>
      <c r="K126" s="615">
        <f t="shared" si="48"/>
        <v>45505</v>
      </c>
      <c r="L126" s="615">
        <f t="shared" si="48"/>
        <v>45536</v>
      </c>
      <c r="M126" s="615">
        <f t="shared" si="48"/>
        <v>45566</v>
      </c>
      <c r="N126" s="615">
        <f t="shared" si="48"/>
        <v>45597</v>
      </c>
      <c r="O126" s="616">
        <f t="shared" si="48"/>
        <v>45627</v>
      </c>
      <c r="P126" s="615">
        <f t="shared" si="48"/>
        <v>45658</v>
      </c>
      <c r="Q126" s="615">
        <f t="shared" si="48"/>
        <v>45689</v>
      </c>
      <c r="R126" s="615">
        <f t="shared" si="48"/>
        <v>45717</v>
      </c>
      <c r="S126" s="615">
        <f t="shared" si="48"/>
        <v>45748</v>
      </c>
      <c r="T126" s="615">
        <f t="shared" si="48"/>
        <v>45778</v>
      </c>
      <c r="U126" s="615">
        <f t="shared" si="48"/>
        <v>45809</v>
      </c>
      <c r="V126" s="615">
        <f t="shared" si="48"/>
        <v>45839</v>
      </c>
      <c r="W126" s="615">
        <f t="shared" si="48"/>
        <v>45870</v>
      </c>
      <c r="X126" s="615">
        <f t="shared" si="48"/>
        <v>45901</v>
      </c>
      <c r="Y126" s="615">
        <f t="shared" si="48"/>
        <v>45931</v>
      </c>
      <c r="Z126" s="615">
        <f t="shared" si="48"/>
        <v>45962</v>
      </c>
      <c r="AA126" s="616">
        <f t="shared" si="48"/>
        <v>45992</v>
      </c>
      <c r="AB126" s="615">
        <f t="shared" si="48"/>
        <v>46023</v>
      </c>
      <c r="AC126" s="615">
        <f t="shared" si="48"/>
        <v>46054</v>
      </c>
      <c r="AD126" s="615">
        <f t="shared" si="48"/>
        <v>46082</v>
      </c>
      <c r="AE126" s="615">
        <f t="shared" si="48"/>
        <v>46113</v>
      </c>
      <c r="AF126" s="615">
        <f t="shared" si="48"/>
        <v>46143</v>
      </c>
      <c r="AG126" s="615">
        <f t="shared" si="48"/>
        <v>46174</v>
      </c>
      <c r="AH126" s="615">
        <f t="shared" si="48"/>
        <v>46204</v>
      </c>
      <c r="AI126" s="615">
        <f t="shared" si="48"/>
        <v>46235</v>
      </c>
      <c r="AJ126" s="615">
        <f t="shared" si="48"/>
        <v>46266</v>
      </c>
      <c r="AK126" s="615">
        <f t="shared" si="48"/>
        <v>46296</v>
      </c>
      <c r="AL126" s="615">
        <f t="shared" si="48"/>
        <v>46327</v>
      </c>
      <c r="AM126" s="615">
        <f t="shared" si="48"/>
        <v>46357</v>
      </c>
    </row>
    <row r="127" spans="2:39" s="300" customFormat="1" ht="5.55" customHeight="1">
      <c r="D127" s="615"/>
      <c r="E127" s="615"/>
      <c r="F127" s="615"/>
      <c r="G127" s="615"/>
      <c r="H127" s="615"/>
      <c r="I127" s="615"/>
      <c r="J127" s="615"/>
      <c r="K127" s="615"/>
      <c r="L127" s="615"/>
      <c r="M127" s="615"/>
      <c r="N127" s="615"/>
      <c r="O127" s="616"/>
      <c r="P127" s="615"/>
      <c r="Q127" s="615"/>
      <c r="R127" s="615"/>
      <c r="S127" s="615"/>
      <c r="T127" s="615"/>
      <c r="U127" s="615"/>
      <c r="V127" s="615"/>
      <c r="W127" s="615"/>
      <c r="X127" s="615"/>
      <c r="Y127" s="615"/>
      <c r="Z127" s="615"/>
      <c r="AA127" s="616"/>
      <c r="AB127" s="615"/>
      <c r="AC127" s="615"/>
      <c r="AD127" s="615"/>
      <c r="AE127" s="615"/>
      <c r="AF127" s="615"/>
      <c r="AG127" s="615"/>
      <c r="AH127" s="615"/>
      <c r="AI127" s="615"/>
      <c r="AJ127" s="615"/>
      <c r="AK127" s="615"/>
      <c r="AL127" s="615"/>
      <c r="AM127" s="615"/>
    </row>
    <row r="128" spans="2:39" s="300" customFormat="1" ht="6.45" customHeight="1">
      <c r="D128" s="615"/>
      <c r="E128" s="615"/>
      <c r="F128" s="615"/>
      <c r="G128" s="615"/>
      <c r="H128" s="615"/>
      <c r="I128" s="615"/>
      <c r="J128" s="615"/>
      <c r="K128" s="615"/>
      <c r="L128" s="615"/>
      <c r="M128" s="615"/>
      <c r="N128" s="615"/>
      <c r="O128" s="616"/>
      <c r="P128" s="615"/>
      <c r="Q128" s="615"/>
      <c r="R128" s="615"/>
      <c r="S128" s="615"/>
      <c r="T128" s="615"/>
      <c r="U128" s="615"/>
      <c r="V128" s="615"/>
      <c r="W128" s="615"/>
      <c r="X128" s="615"/>
      <c r="Y128" s="615"/>
      <c r="Z128" s="615"/>
      <c r="AA128" s="616"/>
      <c r="AB128" s="615"/>
      <c r="AC128" s="615"/>
      <c r="AD128" s="615"/>
      <c r="AE128" s="615"/>
      <c r="AF128" s="615"/>
      <c r="AG128" s="615"/>
      <c r="AH128" s="615"/>
      <c r="AI128" s="615"/>
      <c r="AJ128" s="615"/>
      <c r="AK128" s="615"/>
      <c r="AL128" s="615"/>
      <c r="AM128" s="615"/>
    </row>
    <row r="129" spans="2:60" ht="18">
      <c r="B129" s="968" t="s">
        <v>253</v>
      </c>
      <c r="D129" s="323"/>
      <c r="E129" s="323"/>
      <c r="F129" s="323"/>
      <c r="G129" s="323"/>
      <c r="H129" s="323"/>
      <c r="I129" s="323"/>
      <c r="J129" s="323"/>
      <c r="K129" s="323"/>
      <c r="L129" s="323"/>
      <c r="M129" s="323"/>
      <c r="N129" s="323"/>
      <c r="O129" s="599"/>
      <c r="P129" s="323"/>
      <c r="Q129" s="323"/>
      <c r="R129" s="323"/>
      <c r="S129" s="323"/>
      <c r="T129" s="323"/>
      <c r="U129" s="323"/>
      <c r="V129" s="323"/>
      <c r="W129" s="323"/>
      <c r="X129" s="323"/>
      <c r="Y129" s="323"/>
      <c r="Z129" s="323"/>
      <c r="AA129" s="599"/>
      <c r="AB129" s="323"/>
      <c r="AC129" s="323"/>
      <c r="AD129" s="323"/>
      <c r="AE129" s="323"/>
      <c r="AF129" s="323"/>
      <c r="AG129" s="323"/>
      <c r="AH129" s="323"/>
      <c r="AI129" s="323"/>
      <c r="AJ129" s="323"/>
      <c r="AK129" s="323"/>
      <c r="AL129" s="323"/>
      <c r="AM129" s="323"/>
      <c r="AN129" s="323"/>
      <c r="AO129" s="323"/>
      <c r="AP129" s="323"/>
      <c r="AQ129" s="323"/>
      <c r="AR129" s="323"/>
      <c r="AS129" s="323"/>
      <c r="AT129" s="323"/>
      <c r="AU129" s="323"/>
      <c r="AV129" s="323"/>
      <c r="AW129" s="323"/>
      <c r="AX129" s="323"/>
      <c r="AY129" s="323"/>
      <c r="AZ129" s="323"/>
      <c r="BA129" s="323"/>
      <c r="BB129" s="323"/>
      <c r="BC129" s="323"/>
      <c r="BD129" s="323"/>
      <c r="BE129" s="323"/>
      <c r="BF129" s="323"/>
      <c r="BG129" s="323"/>
      <c r="BH129" s="323"/>
    </row>
    <row r="130" spans="2:60">
      <c r="B130" s="593" t="s">
        <v>254</v>
      </c>
      <c r="D130" s="953">
        <f t="shared" ref="D130:AM130" si="49">$D$79</f>
        <v>0</v>
      </c>
      <c r="E130" s="953">
        <f t="shared" si="49"/>
        <v>0</v>
      </c>
      <c r="F130" s="953">
        <f t="shared" si="49"/>
        <v>0</v>
      </c>
      <c r="G130" s="953">
        <f t="shared" si="49"/>
        <v>0</v>
      </c>
      <c r="H130" s="953">
        <f t="shared" si="49"/>
        <v>0</v>
      </c>
      <c r="I130" s="953">
        <f t="shared" si="49"/>
        <v>0</v>
      </c>
      <c r="J130" s="953">
        <f t="shared" si="49"/>
        <v>0</v>
      </c>
      <c r="K130" s="953">
        <f t="shared" si="49"/>
        <v>0</v>
      </c>
      <c r="L130" s="953">
        <f t="shared" si="49"/>
        <v>0</v>
      </c>
      <c r="M130" s="953">
        <f t="shared" si="49"/>
        <v>0</v>
      </c>
      <c r="N130" s="953">
        <f t="shared" si="49"/>
        <v>0</v>
      </c>
      <c r="O130" s="954">
        <f t="shared" si="49"/>
        <v>0</v>
      </c>
      <c r="P130" s="953">
        <f t="shared" si="49"/>
        <v>0</v>
      </c>
      <c r="Q130" s="953">
        <f t="shared" si="49"/>
        <v>0</v>
      </c>
      <c r="R130" s="953">
        <f t="shared" si="49"/>
        <v>0</v>
      </c>
      <c r="S130" s="953">
        <f t="shared" si="49"/>
        <v>0</v>
      </c>
      <c r="T130" s="953">
        <f t="shared" si="49"/>
        <v>0</v>
      </c>
      <c r="U130" s="953">
        <f t="shared" si="49"/>
        <v>0</v>
      </c>
      <c r="V130" s="953">
        <f t="shared" si="49"/>
        <v>0</v>
      </c>
      <c r="W130" s="953">
        <f t="shared" si="49"/>
        <v>0</v>
      </c>
      <c r="X130" s="953">
        <f t="shared" si="49"/>
        <v>0</v>
      </c>
      <c r="Y130" s="953">
        <f t="shared" si="49"/>
        <v>0</v>
      </c>
      <c r="Z130" s="953">
        <f t="shared" si="49"/>
        <v>0</v>
      </c>
      <c r="AA130" s="954">
        <f t="shared" si="49"/>
        <v>0</v>
      </c>
      <c r="AB130" s="953">
        <f t="shared" si="49"/>
        <v>0</v>
      </c>
      <c r="AC130" s="953">
        <f t="shared" si="49"/>
        <v>0</v>
      </c>
      <c r="AD130" s="953">
        <f t="shared" si="49"/>
        <v>0</v>
      </c>
      <c r="AE130" s="953">
        <f t="shared" si="49"/>
        <v>0</v>
      </c>
      <c r="AF130" s="953">
        <f t="shared" si="49"/>
        <v>0</v>
      </c>
      <c r="AG130" s="953">
        <f t="shared" si="49"/>
        <v>0</v>
      </c>
      <c r="AH130" s="953">
        <f t="shared" si="49"/>
        <v>0</v>
      </c>
      <c r="AI130" s="953">
        <f t="shared" si="49"/>
        <v>0</v>
      </c>
      <c r="AJ130" s="953">
        <f t="shared" si="49"/>
        <v>0</v>
      </c>
      <c r="AK130" s="953">
        <f t="shared" si="49"/>
        <v>0</v>
      </c>
      <c r="AL130" s="953">
        <f t="shared" si="49"/>
        <v>0</v>
      </c>
      <c r="AM130" s="953">
        <f t="shared" si="49"/>
        <v>0</v>
      </c>
      <c r="AN130" s="323"/>
      <c r="AO130" s="323"/>
      <c r="AP130" s="323"/>
      <c r="AQ130" s="323"/>
      <c r="AR130" s="323"/>
      <c r="AS130" s="323"/>
      <c r="AT130" s="323"/>
      <c r="AU130" s="323"/>
      <c r="AV130" s="323"/>
      <c r="AW130" s="323"/>
      <c r="AX130" s="323"/>
      <c r="AY130" s="323"/>
      <c r="AZ130" s="323"/>
      <c r="BA130" s="323"/>
      <c r="BB130" s="323"/>
      <c r="BC130" s="323"/>
      <c r="BD130" s="323"/>
      <c r="BE130" s="323"/>
      <c r="BF130" s="323"/>
      <c r="BG130" s="323"/>
      <c r="BH130" s="323"/>
    </row>
    <row r="131" spans="2:60" ht="16.2" thickBot="1">
      <c r="D131" s="610"/>
      <c r="E131" s="323"/>
      <c r="F131" s="323"/>
      <c r="G131" s="323"/>
      <c r="H131" s="323"/>
      <c r="I131" s="323"/>
      <c r="J131" s="323"/>
      <c r="K131" s="323"/>
      <c r="L131" s="323"/>
      <c r="M131" s="323"/>
      <c r="N131" s="323"/>
      <c r="O131" s="599"/>
      <c r="P131" s="323"/>
      <c r="Q131" s="323"/>
      <c r="R131" s="323"/>
      <c r="S131" s="323"/>
      <c r="T131" s="323"/>
      <c r="U131" s="323"/>
      <c r="V131" s="323"/>
      <c r="W131" s="323"/>
      <c r="X131" s="323"/>
      <c r="Y131" s="323"/>
      <c r="Z131" s="323"/>
      <c r="AA131" s="599"/>
      <c r="AB131" s="323"/>
      <c r="AC131" s="323"/>
      <c r="AD131" s="323"/>
      <c r="AE131" s="323"/>
      <c r="AF131" s="323"/>
      <c r="AG131" s="323"/>
      <c r="AH131" s="323"/>
      <c r="AI131" s="323"/>
      <c r="AJ131" s="323"/>
      <c r="AK131" s="323"/>
      <c r="AL131" s="323"/>
      <c r="AM131" s="323"/>
      <c r="AN131" s="323"/>
      <c r="AO131" s="323"/>
      <c r="AP131" s="323"/>
      <c r="AQ131" s="323"/>
      <c r="AR131" s="323"/>
      <c r="AS131" s="323"/>
      <c r="AT131" s="323"/>
      <c r="AU131" s="323"/>
      <c r="AV131" s="323"/>
      <c r="AW131" s="323"/>
      <c r="AX131" s="323"/>
      <c r="AY131" s="323"/>
      <c r="AZ131" s="323"/>
      <c r="BA131" s="323"/>
      <c r="BB131" s="323"/>
      <c r="BC131" s="323"/>
      <c r="BD131" s="323"/>
      <c r="BE131" s="323"/>
      <c r="BF131" s="323"/>
      <c r="BG131" s="323"/>
      <c r="BH131" s="323"/>
    </row>
    <row r="132" spans="2:60" ht="16.2" thickTop="1">
      <c r="B132" s="974" t="str">
        <f>B50</f>
        <v xml:space="preserve">Computers </v>
      </c>
      <c r="C132" s="975"/>
      <c r="D132" s="323"/>
      <c r="E132" s="323"/>
      <c r="F132" s="323"/>
      <c r="G132" s="323"/>
      <c r="H132" s="323"/>
      <c r="I132" s="323"/>
      <c r="J132" s="323"/>
      <c r="K132" s="323"/>
      <c r="L132" s="323"/>
      <c r="M132" s="323"/>
      <c r="N132" s="323"/>
      <c r="O132" s="599"/>
      <c r="P132" s="323"/>
      <c r="Q132" s="323"/>
      <c r="R132" s="323"/>
      <c r="S132" s="323"/>
      <c r="T132" s="323"/>
      <c r="U132" s="323"/>
      <c r="V132" s="323"/>
      <c r="W132" s="323"/>
      <c r="X132" s="323"/>
      <c r="Y132" s="323"/>
      <c r="Z132" s="323"/>
      <c r="AA132" s="599"/>
      <c r="AB132" s="323"/>
      <c r="AC132" s="323"/>
      <c r="AD132" s="323"/>
      <c r="AE132" s="323"/>
      <c r="AF132" s="323"/>
      <c r="AG132" s="323"/>
      <c r="AH132" s="323"/>
      <c r="AI132" s="323"/>
      <c r="AJ132" s="323"/>
      <c r="AK132" s="323"/>
      <c r="AL132" s="323"/>
      <c r="AM132" s="323"/>
      <c r="AN132" s="323"/>
      <c r="AO132" s="323"/>
      <c r="AP132" s="323"/>
      <c r="AQ132" s="323"/>
      <c r="AR132" s="323"/>
      <c r="AS132" s="323"/>
      <c r="AT132" s="323"/>
      <c r="AU132" s="323"/>
      <c r="AV132" s="323"/>
      <c r="AW132" s="323"/>
      <c r="AX132" s="323"/>
      <c r="AY132" s="323"/>
      <c r="AZ132" s="323"/>
      <c r="BA132" s="323"/>
      <c r="BB132" s="323"/>
      <c r="BC132" s="323"/>
      <c r="BD132" s="323"/>
      <c r="BE132" s="323"/>
      <c r="BF132" s="323"/>
      <c r="BG132" s="323"/>
      <c r="BH132" s="323"/>
    </row>
    <row r="133" spans="2:60" ht="15" customHeight="1">
      <c r="B133" s="976" t="s">
        <v>112</v>
      </c>
      <c r="C133" s="977"/>
      <c r="D133" s="953">
        <v>0</v>
      </c>
      <c r="E133" s="956">
        <f>D137</f>
        <v>9400</v>
      </c>
      <c r="F133" s="956">
        <f t="shared" ref="F133:AM133" si="50">E137</f>
        <v>9200</v>
      </c>
      <c r="G133" s="956">
        <f t="shared" si="50"/>
        <v>9000</v>
      </c>
      <c r="H133" s="956">
        <f t="shared" si="50"/>
        <v>8800</v>
      </c>
      <c r="I133" s="956">
        <f t="shared" si="50"/>
        <v>8600</v>
      </c>
      <c r="J133" s="956">
        <f t="shared" si="50"/>
        <v>8400</v>
      </c>
      <c r="K133" s="956">
        <f t="shared" si="50"/>
        <v>8200</v>
      </c>
      <c r="L133" s="956">
        <f t="shared" si="50"/>
        <v>8000</v>
      </c>
      <c r="M133" s="956">
        <f t="shared" si="50"/>
        <v>7800</v>
      </c>
      <c r="N133" s="956">
        <f t="shared" si="50"/>
        <v>7600</v>
      </c>
      <c r="O133" s="957">
        <f t="shared" si="50"/>
        <v>7400</v>
      </c>
      <c r="P133" s="956">
        <f t="shared" si="50"/>
        <v>7200</v>
      </c>
      <c r="Q133" s="956">
        <f t="shared" si="50"/>
        <v>17183.333333333332</v>
      </c>
      <c r="R133" s="956">
        <f t="shared" si="50"/>
        <v>16766.666666666664</v>
      </c>
      <c r="S133" s="956">
        <f t="shared" si="50"/>
        <v>16349.999999999998</v>
      </c>
      <c r="T133" s="956">
        <f t="shared" si="50"/>
        <v>15933.333333333332</v>
      </c>
      <c r="U133" s="956">
        <f t="shared" si="50"/>
        <v>15516.666666666666</v>
      </c>
      <c r="V133" s="956">
        <f t="shared" si="50"/>
        <v>15100</v>
      </c>
      <c r="W133" s="956">
        <f t="shared" si="50"/>
        <v>14683.333333333334</v>
      </c>
      <c r="X133" s="956">
        <f t="shared" si="50"/>
        <v>14266.666666666668</v>
      </c>
      <c r="Y133" s="956">
        <f t="shared" si="50"/>
        <v>13850.000000000002</v>
      </c>
      <c r="Z133" s="956">
        <f t="shared" si="50"/>
        <v>13433.333333333336</v>
      </c>
      <c r="AA133" s="957">
        <f t="shared" si="50"/>
        <v>13016.66666666667</v>
      </c>
      <c r="AB133" s="956">
        <f t="shared" si="50"/>
        <v>12600.000000000004</v>
      </c>
      <c r="AC133" s="956">
        <f t="shared" si="50"/>
        <v>29416.666666666672</v>
      </c>
      <c r="AD133" s="956">
        <f t="shared" si="50"/>
        <v>28633.333333333339</v>
      </c>
      <c r="AE133" s="956">
        <f t="shared" si="50"/>
        <v>27850.000000000007</v>
      </c>
      <c r="AF133" s="956">
        <f t="shared" si="50"/>
        <v>27066.666666666675</v>
      </c>
      <c r="AG133" s="956">
        <f t="shared" si="50"/>
        <v>26283.333333333343</v>
      </c>
      <c r="AH133" s="956">
        <f t="shared" si="50"/>
        <v>25500.000000000011</v>
      </c>
      <c r="AI133" s="956">
        <f t="shared" si="50"/>
        <v>24716.666666666679</v>
      </c>
      <c r="AJ133" s="956">
        <f t="shared" si="50"/>
        <v>23933.333333333347</v>
      </c>
      <c r="AK133" s="956">
        <f t="shared" si="50"/>
        <v>23150.000000000015</v>
      </c>
      <c r="AL133" s="956">
        <f t="shared" si="50"/>
        <v>22366.666666666682</v>
      </c>
      <c r="AM133" s="956">
        <f t="shared" si="50"/>
        <v>21583.33333333335</v>
      </c>
      <c r="AN133" s="323"/>
      <c r="AO133" s="323"/>
      <c r="AP133" s="323"/>
      <c r="AQ133" s="323"/>
      <c r="AR133" s="323"/>
      <c r="AS133" s="323"/>
      <c r="AT133" s="323"/>
      <c r="AU133" s="323"/>
      <c r="AV133" s="323"/>
      <c r="AW133" s="323"/>
      <c r="AX133" s="323"/>
      <c r="AY133" s="323"/>
      <c r="AZ133" s="323"/>
      <c r="BA133" s="323"/>
      <c r="BB133" s="323"/>
      <c r="BC133" s="323"/>
      <c r="BD133" s="323"/>
      <c r="BE133" s="323"/>
      <c r="BF133" s="323"/>
      <c r="BG133" s="323"/>
      <c r="BH133" s="323"/>
    </row>
    <row r="134" spans="2:60" ht="15" customHeight="1">
      <c r="B134" s="976" t="s">
        <v>265</v>
      </c>
      <c r="C134" s="977"/>
      <c r="D134" s="956">
        <f>G50</f>
        <v>9600</v>
      </c>
      <c r="E134" s="956"/>
      <c r="F134" s="956"/>
      <c r="G134" s="956"/>
      <c r="H134" s="956"/>
      <c r="I134" s="956"/>
      <c r="J134" s="956"/>
      <c r="K134" s="956"/>
      <c r="L134" s="956"/>
      <c r="M134" s="956"/>
      <c r="N134" s="956"/>
      <c r="O134" s="957"/>
      <c r="P134" s="956">
        <f>H50</f>
        <v>10400</v>
      </c>
      <c r="Q134" s="956"/>
      <c r="R134" s="956"/>
      <c r="S134" s="956"/>
      <c r="T134" s="956"/>
      <c r="U134" s="956"/>
      <c r="V134" s="956"/>
      <c r="W134" s="956"/>
      <c r="X134" s="956"/>
      <c r="Y134" s="956"/>
      <c r="Z134" s="956"/>
      <c r="AA134" s="957"/>
      <c r="AB134" s="956">
        <f>I50</f>
        <v>17600</v>
      </c>
      <c r="AC134" s="956"/>
      <c r="AD134" s="956"/>
      <c r="AE134" s="956"/>
      <c r="AF134" s="956"/>
      <c r="AG134" s="956"/>
      <c r="AH134" s="956"/>
      <c r="AI134" s="956"/>
      <c r="AJ134" s="956"/>
      <c r="AK134" s="956"/>
      <c r="AL134" s="956"/>
      <c r="AM134" s="956"/>
      <c r="AN134" s="323"/>
      <c r="AO134" s="323"/>
      <c r="AP134" s="323"/>
      <c r="AQ134" s="323"/>
      <c r="AR134" s="323"/>
      <c r="AS134" s="323"/>
      <c r="AT134" s="323"/>
      <c r="AU134" s="323"/>
      <c r="AV134" s="323"/>
      <c r="AW134" s="323"/>
      <c r="AX134" s="323"/>
      <c r="AY134" s="323"/>
      <c r="AZ134" s="323"/>
      <c r="BA134" s="323"/>
      <c r="BB134" s="323"/>
      <c r="BC134" s="323"/>
      <c r="BD134" s="323"/>
      <c r="BE134" s="323"/>
      <c r="BF134" s="323"/>
      <c r="BG134" s="323"/>
      <c r="BH134" s="323"/>
    </row>
    <row r="135" spans="2:60" ht="15" customHeight="1">
      <c r="B135" s="976" t="s">
        <v>110</v>
      </c>
      <c r="C135" s="977"/>
      <c r="D135" s="956">
        <f>SUM(D133:D134)</f>
        <v>9600</v>
      </c>
      <c r="E135" s="956">
        <f>SUM(E133:E134)</f>
        <v>9400</v>
      </c>
      <c r="F135" s="956">
        <f t="shared" ref="F135:AM135" si="51">SUM(F133:F134)</f>
        <v>9200</v>
      </c>
      <c r="G135" s="956">
        <f t="shared" si="51"/>
        <v>9000</v>
      </c>
      <c r="H135" s="956">
        <f t="shared" si="51"/>
        <v>8800</v>
      </c>
      <c r="I135" s="956">
        <f t="shared" si="51"/>
        <v>8600</v>
      </c>
      <c r="J135" s="956">
        <f t="shared" si="51"/>
        <v>8400</v>
      </c>
      <c r="K135" s="956">
        <f t="shared" si="51"/>
        <v>8200</v>
      </c>
      <c r="L135" s="956">
        <f t="shared" si="51"/>
        <v>8000</v>
      </c>
      <c r="M135" s="956">
        <f t="shared" si="51"/>
        <v>7800</v>
      </c>
      <c r="N135" s="956">
        <f t="shared" si="51"/>
        <v>7600</v>
      </c>
      <c r="O135" s="957">
        <f t="shared" si="51"/>
        <v>7400</v>
      </c>
      <c r="P135" s="956">
        <f>SUM(P133:P134)</f>
        <v>17600</v>
      </c>
      <c r="Q135" s="956">
        <f t="shared" si="51"/>
        <v>17183.333333333332</v>
      </c>
      <c r="R135" s="956">
        <f t="shared" si="51"/>
        <v>16766.666666666664</v>
      </c>
      <c r="S135" s="956">
        <f t="shared" si="51"/>
        <v>16349.999999999998</v>
      </c>
      <c r="T135" s="956">
        <f t="shared" si="51"/>
        <v>15933.333333333332</v>
      </c>
      <c r="U135" s="956">
        <f t="shared" si="51"/>
        <v>15516.666666666666</v>
      </c>
      <c r="V135" s="956">
        <f t="shared" si="51"/>
        <v>15100</v>
      </c>
      <c r="W135" s="956">
        <f t="shared" si="51"/>
        <v>14683.333333333334</v>
      </c>
      <c r="X135" s="956">
        <f t="shared" si="51"/>
        <v>14266.666666666668</v>
      </c>
      <c r="Y135" s="956">
        <f t="shared" si="51"/>
        <v>13850.000000000002</v>
      </c>
      <c r="Z135" s="956">
        <f t="shared" si="51"/>
        <v>13433.333333333336</v>
      </c>
      <c r="AA135" s="957">
        <f t="shared" si="51"/>
        <v>13016.66666666667</v>
      </c>
      <c r="AB135" s="956">
        <f>SUM(AB133:AB134)</f>
        <v>30200.000000000004</v>
      </c>
      <c r="AC135" s="956">
        <f t="shared" si="51"/>
        <v>29416.666666666672</v>
      </c>
      <c r="AD135" s="956">
        <f t="shared" si="51"/>
        <v>28633.333333333339</v>
      </c>
      <c r="AE135" s="956">
        <f t="shared" si="51"/>
        <v>27850.000000000007</v>
      </c>
      <c r="AF135" s="956">
        <f t="shared" si="51"/>
        <v>27066.666666666675</v>
      </c>
      <c r="AG135" s="956">
        <f t="shared" si="51"/>
        <v>26283.333333333343</v>
      </c>
      <c r="AH135" s="956">
        <f t="shared" si="51"/>
        <v>25500.000000000011</v>
      </c>
      <c r="AI135" s="956">
        <f t="shared" si="51"/>
        <v>24716.666666666679</v>
      </c>
      <c r="AJ135" s="956">
        <f t="shared" si="51"/>
        <v>23933.333333333347</v>
      </c>
      <c r="AK135" s="956">
        <f t="shared" si="51"/>
        <v>23150.000000000015</v>
      </c>
      <c r="AL135" s="956">
        <f t="shared" si="51"/>
        <v>22366.666666666682</v>
      </c>
      <c r="AM135" s="956">
        <f t="shared" si="51"/>
        <v>21583.33333333335</v>
      </c>
      <c r="AN135" s="323"/>
      <c r="AO135" s="323"/>
      <c r="AP135" s="323"/>
      <c r="AQ135" s="323"/>
      <c r="AR135" s="323"/>
      <c r="AS135" s="323"/>
      <c r="AT135" s="323"/>
      <c r="AU135" s="323"/>
      <c r="AV135" s="323"/>
      <c r="AW135" s="323"/>
      <c r="AX135" s="323"/>
      <c r="AY135" s="323"/>
      <c r="AZ135" s="323"/>
      <c r="BA135" s="323"/>
      <c r="BB135" s="323"/>
      <c r="BC135" s="323"/>
      <c r="BD135" s="323"/>
      <c r="BE135" s="323"/>
      <c r="BF135" s="323"/>
      <c r="BG135" s="323"/>
      <c r="BH135" s="323"/>
    </row>
    <row r="136" spans="2:60" ht="15" customHeight="1">
      <c r="B136" s="976" t="s">
        <v>57</v>
      </c>
      <c r="C136" s="977"/>
      <c r="D136" s="956">
        <f t="shared" ref="D136:O136" si="52">-$D$134/$J$50/12</f>
        <v>-200</v>
      </c>
      <c r="E136" s="956">
        <f t="shared" si="52"/>
        <v>-200</v>
      </c>
      <c r="F136" s="956">
        <f t="shared" si="52"/>
        <v>-200</v>
      </c>
      <c r="G136" s="956">
        <f t="shared" si="52"/>
        <v>-200</v>
      </c>
      <c r="H136" s="956">
        <f t="shared" si="52"/>
        <v>-200</v>
      </c>
      <c r="I136" s="956">
        <f t="shared" si="52"/>
        <v>-200</v>
      </c>
      <c r="J136" s="956">
        <f t="shared" si="52"/>
        <v>-200</v>
      </c>
      <c r="K136" s="956">
        <f t="shared" si="52"/>
        <v>-200</v>
      </c>
      <c r="L136" s="956">
        <f t="shared" si="52"/>
        <v>-200</v>
      </c>
      <c r="M136" s="956">
        <f t="shared" si="52"/>
        <v>-200</v>
      </c>
      <c r="N136" s="956">
        <f t="shared" si="52"/>
        <v>-200</v>
      </c>
      <c r="O136" s="956">
        <f t="shared" si="52"/>
        <v>-200</v>
      </c>
      <c r="P136" s="956">
        <f t="shared" ref="P136:AA136" si="53">(-$D$134/$J$50/12)-($H$50/$J$50/12)</f>
        <v>-416.66666666666663</v>
      </c>
      <c r="Q136" s="956">
        <f t="shared" si="53"/>
        <v>-416.66666666666663</v>
      </c>
      <c r="R136" s="956">
        <f t="shared" si="53"/>
        <v>-416.66666666666663</v>
      </c>
      <c r="S136" s="956">
        <f t="shared" si="53"/>
        <v>-416.66666666666663</v>
      </c>
      <c r="T136" s="956">
        <f t="shared" si="53"/>
        <v>-416.66666666666663</v>
      </c>
      <c r="U136" s="956">
        <f t="shared" si="53"/>
        <v>-416.66666666666663</v>
      </c>
      <c r="V136" s="956">
        <f t="shared" si="53"/>
        <v>-416.66666666666663</v>
      </c>
      <c r="W136" s="956">
        <f t="shared" si="53"/>
        <v>-416.66666666666663</v>
      </c>
      <c r="X136" s="956">
        <f t="shared" si="53"/>
        <v>-416.66666666666663</v>
      </c>
      <c r="Y136" s="956">
        <f t="shared" si="53"/>
        <v>-416.66666666666663</v>
      </c>
      <c r="Z136" s="956">
        <f t="shared" si="53"/>
        <v>-416.66666666666663</v>
      </c>
      <c r="AA136" s="956">
        <f t="shared" si="53"/>
        <v>-416.66666666666663</v>
      </c>
      <c r="AB136" s="956">
        <f t="shared" ref="AB136:AM136" si="54">(-$D$134/$J$50/12)-($H$50/$J$50/12)-($I$50/$J$50/12)</f>
        <v>-783.33333333333326</v>
      </c>
      <c r="AC136" s="956">
        <f t="shared" si="54"/>
        <v>-783.33333333333326</v>
      </c>
      <c r="AD136" s="956">
        <f t="shared" si="54"/>
        <v>-783.33333333333326</v>
      </c>
      <c r="AE136" s="956">
        <f t="shared" si="54"/>
        <v>-783.33333333333326</v>
      </c>
      <c r="AF136" s="956">
        <f t="shared" si="54"/>
        <v>-783.33333333333326</v>
      </c>
      <c r="AG136" s="956">
        <f t="shared" si="54"/>
        <v>-783.33333333333326</v>
      </c>
      <c r="AH136" s="956">
        <f t="shared" si="54"/>
        <v>-783.33333333333326</v>
      </c>
      <c r="AI136" s="956">
        <f t="shared" si="54"/>
        <v>-783.33333333333326</v>
      </c>
      <c r="AJ136" s="956">
        <f t="shared" si="54"/>
        <v>-783.33333333333326</v>
      </c>
      <c r="AK136" s="956">
        <f t="shared" si="54"/>
        <v>-783.33333333333326</v>
      </c>
      <c r="AL136" s="956">
        <f t="shared" si="54"/>
        <v>-783.33333333333326</v>
      </c>
      <c r="AM136" s="956">
        <f t="shared" si="54"/>
        <v>-783.33333333333326</v>
      </c>
      <c r="AN136" s="323"/>
      <c r="AO136" s="323"/>
      <c r="AP136" s="323"/>
      <c r="AQ136" s="323"/>
      <c r="AR136" s="323"/>
      <c r="AS136" s="323"/>
      <c r="AT136" s="323"/>
      <c r="AU136" s="323"/>
      <c r="AV136" s="323"/>
      <c r="AW136" s="323"/>
      <c r="AX136" s="323"/>
      <c r="AY136" s="323"/>
      <c r="AZ136" s="323"/>
      <c r="BA136" s="323"/>
      <c r="BB136" s="323"/>
      <c r="BC136" s="323"/>
      <c r="BD136" s="323"/>
      <c r="BE136" s="323"/>
      <c r="BF136" s="323"/>
      <c r="BG136" s="323"/>
      <c r="BH136" s="323"/>
    </row>
    <row r="137" spans="2:60" s="305" customFormat="1" ht="15" customHeight="1">
      <c r="B137" s="978" t="s">
        <v>435</v>
      </c>
      <c r="C137" s="979"/>
      <c r="D137" s="956">
        <f>SUM(D135:D136)</f>
        <v>9400</v>
      </c>
      <c r="E137" s="956">
        <f t="shared" ref="E137:AM137" si="55">SUM(E135:E136)</f>
        <v>9200</v>
      </c>
      <c r="F137" s="956">
        <f t="shared" si="55"/>
        <v>9000</v>
      </c>
      <c r="G137" s="956">
        <f t="shared" si="55"/>
        <v>8800</v>
      </c>
      <c r="H137" s="956">
        <f t="shared" si="55"/>
        <v>8600</v>
      </c>
      <c r="I137" s="956">
        <f t="shared" si="55"/>
        <v>8400</v>
      </c>
      <c r="J137" s="956">
        <f t="shared" si="55"/>
        <v>8200</v>
      </c>
      <c r="K137" s="956">
        <f t="shared" si="55"/>
        <v>8000</v>
      </c>
      <c r="L137" s="956">
        <f t="shared" si="55"/>
        <v>7800</v>
      </c>
      <c r="M137" s="956">
        <f t="shared" si="55"/>
        <v>7600</v>
      </c>
      <c r="N137" s="956">
        <f t="shared" si="55"/>
        <v>7400</v>
      </c>
      <c r="O137" s="957">
        <f t="shared" si="55"/>
        <v>7200</v>
      </c>
      <c r="P137" s="956">
        <f>SUM(P135:P136)</f>
        <v>17183.333333333332</v>
      </c>
      <c r="Q137" s="956">
        <f t="shared" si="55"/>
        <v>16766.666666666664</v>
      </c>
      <c r="R137" s="956">
        <f t="shared" si="55"/>
        <v>16349.999999999998</v>
      </c>
      <c r="S137" s="956">
        <f t="shared" si="55"/>
        <v>15933.333333333332</v>
      </c>
      <c r="T137" s="956">
        <f t="shared" si="55"/>
        <v>15516.666666666666</v>
      </c>
      <c r="U137" s="956">
        <f t="shared" si="55"/>
        <v>15100</v>
      </c>
      <c r="V137" s="956">
        <f t="shared" si="55"/>
        <v>14683.333333333334</v>
      </c>
      <c r="W137" s="956">
        <f t="shared" si="55"/>
        <v>14266.666666666668</v>
      </c>
      <c r="X137" s="956">
        <f t="shared" si="55"/>
        <v>13850.000000000002</v>
      </c>
      <c r="Y137" s="956">
        <f t="shared" si="55"/>
        <v>13433.333333333336</v>
      </c>
      <c r="Z137" s="956">
        <f t="shared" si="55"/>
        <v>13016.66666666667</v>
      </c>
      <c r="AA137" s="957">
        <f t="shared" si="55"/>
        <v>12600.000000000004</v>
      </c>
      <c r="AB137" s="956">
        <f>SUM(AB135:AB136)</f>
        <v>29416.666666666672</v>
      </c>
      <c r="AC137" s="956">
        <f t="shared" si="55"/>
        <v>28633.333333333339</v>
      </c>
      <c r="AD137" s="956">
        <f t="shared" si="55"/>
        <v>27850.000000000007</v>
      </c>
      <c r="AE137" s="956">
        <f t="shared" si="55"/>
        <v>27066.666666666675</v>
      </c>
      <c r="AF137" s="956">
        <f t="shared" si="55"/>
        <v>26283.333333333343</v>
      </c>
      <c r="AG137" s="956">
        <f t="shared" si="55"/>
        <v>25500.000000000011</v>
      </c>
      <c r="AH137" s="956">
        <f t="shared" si="55"/>
        <v>24716.666666666679</v>
      </c>
      <c r="AI137" s="956">
        <f t="shared" si="55"/>
        <v>23933.333333333347</v>
      </c>
      <c r="AJ137" s="956">
        <f t="shared" si="55"/>
        <v>23150.000000000015</v>
      </c>
      <c r="AK137" s="956">
        <f t="shared" si="55"/>
        <v>22366.666666666682</v>
      </c>
      <c r="AL137" s="956">
        <f t="shared" si="55"/>
        <v>21583.33333333335</v>
      </c>
      <c r="AM137" s="956">
        <f t="shared" si="55"/>
        <v>20800.000000000018</v>
      </c>
      <c r="AN137" s="345"/>
      <c r="AO137" s="345"/>
      <c r="AP137" s="345"/>
      <c r="AQ137" s="345"/>
      <c r="AR137" s="345"/>
      <c r="AS137" s="345"/>
      <c r="AT137" s="345"/>
      <c r="AU137" s="345"/>
      <c r="AV137" s="345"/>
      <c r="AW137" s="345"/>
      <c r="AX137" s="345"/>
      <c r="AY137" s="345"/>
      <c r="AZ137" s="345"/>
      <c r="BA137" s="345"/>
      <c r="BB137" s="345"/>
      <c r="BC137" s="345"/>
      <c r="BD137" s="345"/>
      <c r="BE137" s="345"/>
      <c r="BF137" s="345"/>
      <c r="BG137" s="345"/>
      <c r="BH137" s="345"/>
    </row>
    <row r="138" spans="2:60" ht="15" customHeight="1" thickBot="1">
      <c r="B138" s="980"/>
      <c r="C138" s="981"/>
      <c r="E138" s="323"/>
      <c r="F138" s="323"/>
      <c r="G138" s="323"/>
      <c r="H138" s="323"/>
      <c r="I138" s="323"/>
      <c r="J138" s="323"/>
      <c r="K138" s="323"/>
      <c r="L138" s="323"/>
      <c r="M138" s="323"/>
      <c r="N138" s="323"/>
      <c r="O138" s="599"/>
      <c r="P138" s="323"/>
      <c r="Q138" s="323"/>
      <c r="R138" s="323"/>
      <c r="S138" s="323"/>
      <c r="T138" s="323"/>
      <c r="U138" s="323"/>
      <c r="V138" s="323"/>
      <c r="W138" s="323"/>
      <c r="X138" s="323"/>
      <c r="Y138" s="323"/>
      <c r="Z138" s="323"/>
      <c r="AA138" s="599"/>
      <c r="AB138" s="323"/>
      <c r="AC138" s="323"/>
      <c r="AD138" s="323"/>
      <c r="AE138" s="323"/>
      <c r="AF138" s="323"/>
      <c r="AG138" s="323"/>
      <c r="AH138" s="323"/>
      <c r="AI138" s="323"/>
      <c r="AJ138" s="323"/>
      <c r="AK138" s="323"/>
      <c r="AL138" s="323"/>
      <c r="AM138" s="323"/>
      <c r="AN138" s="323"/>
      <c r="AO138" s="323"/>
      <c r="AP138" s="323"/>
      <c r="AQ138" s="323"/>
      <c r="AR138" s="323"/>
      <c r="AS138" s="323"/>
      <c r="AT138" s="323"/>
      <c r="AU138" s="323"/>
      <c r="AV138" s="323"/>
      <c r="AW138" s="323"/>
      <c r="AX138" s="323"/>
      <c r="AY138" s="323"/>
      <c r="AZ138" s="323"/>
      <c r="BA138" s="323"/>
      <c r="BB138" s="323"/>
      <c r="BC138" s="323"/>
      <c r="BD138" s="323"/>
      <c r="BE138" s="323"/>
      <c r="BF138" s="323"/>
      <c r="BG138" s="323"/>
      <c r="BH138" s="323"/>
    </row>
    <row r="139" spans="2:60" ht="15" customHeight="1" thickTop="1">
      <c r="B139" s="974" t="str">
        <f>B51</f>
        <v>Camera</v>
      </c>
      <c r="C139" s="975"/>
      <c r="D139" s="323"/>
      <c r="E139" s="323"/>
      <c r="F139" s="323"/>
      <c r="G139" s="323"/>
      <c r="H139" s="323"/>
      <c r="I139" s="323"/>
      <c r="J139" s="323"/>
      <c r="K139" s="323"/>
      <c r="L139" s="323"/>
      <c r="M139" s="323"/>
      <c r="N139" s="323"/>
      <c r="O139" s="599"/>
      <c r="P139" s="323"/>
      <c r="Q139" s="323"/>
      <c r="R139" s="323"/>
      <c r="S139" s="323"/>
      <c r="T139" s="323"/>
      <c r="U139" s="323"/>
      <c r="V139" s="323"/>
      <c r="W139" s="323"/>
      <c r="X139" s="323"/>
      <c r="Y139" s="323"/>
      <c r="Z139" s="323"/>
      <c r="AA139" s="599"/>
      <c r="AB139" s="323"/>
      <c r="AC139" s="323"/>
      <c r="AD139" s="323"/>
      <c r="AE139" s="323"/>
      <c r="AF139" s="323"/>
      <c r="AG139" s="323"/>
      <c r="AH139" s="323"/>
      <c r="AI139" s="323"/>
      <c r="AJ139" s="323"/>
      <c r="AK139" s="323"/>
      <c r="AL139" s="323"/>
      <c r="AM139" s="323"/>
      <c r="AN139" s="323"/>
      <c r="AO139" s="323"/>
      <c r="AP139" s="323"/>
      <c r="AQ139" s="323"/>
      <c r="AR139" s="323"/>
      <c r="AS139" s="323"/>
      <c r="AT139" s="323"/>
      <c r="AU139" s="323"/>
      <c r="AV139" s="323"/>
      <c r="AW139" s="323"/>
      <c r="AX139" s="323"/>
      <c r="AY139" s="323"/>
      <c r="AZ139" s="323"/>
      <c r="BA139" s="323"/>
      <c r="BB139" s="323"/>
      <c r="BC139" s="323"/>
      <c r="BD139" s="323"/>
      <c r="BE139" s="323"/>
      <c r="BF139" s="323"/>
      <c r="BG139" s="323"/>
      <c r="BH139" s="323"/>
    </row>
    <row r="140" spans="2:60" ht="15" customHeight="1">
      <c r="B140" s="976" t="s">
        <v>112</v>
      </c>
      <c r="C140" s="977"/>
      <c r="D140" s="953">
        <v>0</v>
      </c>
      <c r="E140" s="956">
        <f>D144</f>
        <v>1180</v>
      </c>
      <c r="F140" s="956">
        <f t="shared" ref="F140" si="56">E144</f>
        <v>1160</v>
      </c>
      <c r="G140" s="956">
        <f t="shared" ref="G140" si="57">F144</f>
        <v>1140</v>
      </c>
      <c r="H140" s="956">
        <f t="shared" ref="H140" si="58">G144</f>
        <v>1120</v>
      </c>
      <c r="I140" s="956">
        <f t="shared" ref="I140" si="59">H144</f>
        <v>1100</v>
      </c>
      <c r="J140" s="956">
        <f t="shared" ref="J140" si="60">I144</f>
        <v>1080</v>
      </c>
      <c r="K140" s="956">
        <f t="shared" ref="K140" si="61">J144</f>
        <v>1060</v>
      </c>
      <c r="L140" s="956">
        <f t="shared" ref="L140" si="62">K144</f>
        <v>1040</v>
      </c>
      <c r="M140" s="956">
        <f t="shared" ref="M140" si="63">L144</f>
        <v>1020</v>
      </c>
      <c r="N140" s="956">
        <f t="shared" ref="N140" si="64">M144</f>
        <v>1000</v>
      </c>
      <c r="O140" s="957">
        <f t="shared" ref="O140" si="65">N144</f>
        <v>980</v>
      </c>
      <c r="P140" s="956">
        <f t="shared" ref="P140" si="66">O144</f>
        <v>960</v>
      </c>
      <c r="Q140" s="956">
        <f t="shared" ref="Q140" si="67">P144</f>
        <v>940</v>
      </c>
      <c r="R140" s="956">
        <f t="shared" ref="R140" si="68">Q144</f>
        <v>920</v>
      </c>
      <c r="S140" s="956">
        <f t="shared" ref="S140" si="69">R144</f>
        <v>900</v>
      </c>
      <c r="T140" s="956">
        <f t="shared" ref="T140" si="70">S144</f>
        <v>880</v>
      </c>
      <c r="U140" s="956">
        <f t="shared" ref="U140" si="71">T144</f>
        <v>860</v>
      </c>
      <c r="V140" s="956">
        <f t="shared" ref="V140" si="72">U144</f>
        <v>840</v>
      </c>
      <c r="W140" s="956">
        <f t="shared" ref="W140" si="73">V144</f>
        <v>820</v>
      </c>
      <c r="X140" s="956">
        <f t="shared" ref="X140" si="74">W144</f>
        <v>800</v>
      </c>
      <c r="Y140" s="956">
        <f t="shared" ref="Y140" si="75">X144</f>
        <v>780</v>
      </c>
      <c r="Z140" s="956">
        <f t="shared" ref="Z140" si="76">Y144</f>
        <v>760</v>
      </c>
      <c r="AA140" s="957">
        <f t="shared" ref="AA140" si="77">Z144</f>
        <v>740</v>
      </c>
      <c r="AB140" s="956">
        <f t="shared" ref="AB140" si="78">AA144</f>
        <v>720</v>
      </c>
      <c r="AC140" s="956">
        <f t="shared" ref="AC140" si="79">AB144</f>
        <v>700</v>
      </c>
      <c r="AD140" s="956">
        <f t="shared" ref="AD140" si="80">AC144</f>
        <v>680</v>
      </c>
      <c r="AE140" s="956">
        <f t="shared" ref="AE140" si="81">AD144</f>
        <v>660</v>
      </c>
      <c r="AF140" s="956">
        <f t="shared" ref="AF140" si="82">AE144</f>
        <v>640</v>
      </c>
      <c r="AG140" s="956">
        <f t="shared" ref="AG140" si="83">AF144</f>
        <v>620</v>
      </c>
      <c r="AH140" s="956">
        <f t="shared" ref="AH140" si="84">AG144</f>
        <v>600</v>
      </c>
      <c r="AI140" s="956">
        <f t="shared" ref="AI140" si="85">AH144</f>
        <v>580</v>
      </c>
      <c r="AJ140" s="956">
        <f t="shared" ref="AJ140" si="86">AI144</f>
        <v>560</v>
      </c>
      <c r="AK140" s="956">
        <f t="shared" ref="AK140" si="87">AJ144</f>
        <v>540</v>
      </c>
      <c r="AL140" s="956">
        <f t="shared" ref="AL140" si="88">AK144</f>
        <v>520</v>
      </c>
      <c r="AM140" s="956">
        <f t="shared" ref="AM140" si="89">AL144</f>
        <v>500</v>
      </c>
      <c r="AN140" s="323"/>
      <c r="AO140" s="323"/>
      <c r="AP140" s="323"/>
      <c r="AQ140" s="323"/>
      <c r="AR140" s="323"/>
      <c r="AS140" s="323"/>
      <c r="AT140" s="323"/>
      <c r="AU140" s="323"/>
      <c r="AV140" s="323"/>
      <c r="AW140" s="323"/>
      <c r="AX140" s="323"/>
      <c r="AY140" s="323"/>
      <c r="AZ140" s="323"/>
      <c r="BA140" s="323"/>
      <c r="BB140" s="323"/>
      <c r="BC140" s="323"/>
      <c r="BD140" s="323"/>
      <c r="BE140" s="323"/>
      <c r="BF140" s="323"/>
      <c r="BG140" s="323"/>
      <c r="BH140" s="323"/>
    </row>
    <row r="141" spans="2:60" ht="15" customHeight="1">
      <c r="B141" s="976" t="s">
        <v>265</v>
      </c>
      <c r="C141" s="977"/>
      <c r="D141" s="956">
        <f>G51</f>
        <v>1200</v>
      </c>
      <c r="E141" s="956"/>
      <c r="F141" s="956"/>
      <c r="G141" s="956"/>
      <c r="H141" s="956"/>
      <c r="I141" s="956"/>
      <c r="J141" s="956"/>
      <c r="K141" s="956"/>
      <c r="L141" s="956"/>
      <c r="M141" s="956"/>
      <c r="N141" s="956"/>
      <c r="O141" s="957"/>
      <c r="P141" s="956"/>
      <c r="Q141" s="956"/>
      <c r="R141" s="956"/>
      <c r="S141" s="956"/>
      <c r="T141" s="956"/>
      <c r="U141" s="956"/>
      <c r="V141" s="956"/>
      <c r="W141" s="956"/>
      <c r="X141" s="956"/>
      <c r="Y141" s="956"/>
      <c r="Z141" s="956"/>
      <c r="AA141" s="957"/>
      <c r="AB141" s="956"/>
      <c r="AC141" s="956"/>
      <c r="AD141" s="956"/>
      <c r="AE141" s="956"/>
      <c r="AF141" s="956"/>
      <c r="AG141" s="956"/>
      <c r="AH141" s="956"/>
      <c r="AI141" s="956"/>
      <c r="AJ141" s="956"/>
      <c r="AK141" s="956"/>
      <c r="AL141" s="956"/>
      <c r="AM141" s="956"/>
      <c r="AN141" s="323"/>
      <c r="AO141" s="323"/>
      <c r="AP141" s="323"/>
      <c r="AQ141" s="323"/>
      <c r="AR141" s="323"/>
      <c r="AS141" s="323"/>
      <c r="AT141" s="323"/>
      <c r="AU141" s="323"/>
      <c r="AV141" s="323"/>
      <c r="AW141" s="323"/>
      <c r="AX141" s="323"/>
      <c r="AY141" s="323"/>
      <c r="AZ141" s="323"/>
      <c r="BA141" s="323"/>
      <c r="BB141" s="323"/>
      <c r="BC141" s="323"/>
      <c r="BD141" s="323"/>
      <c r="BE141" s="323"/>
      <c r="BF141" s="323"/>
      <c r="BG141" s="323"/>
      <c r="BH141" s="323"/>
    </row>
    <row r="142" spans="2:60" ht="15" customHeight="1">
      <c r="B142" s="976" t="s">
        <v>110</v>
      </c>
      <c r="C142" s="977"/>
      <c r="D142" s="956">
        <f>SUM(D140:D141)</f>
        <v>1200</v>
      </c>
      <c r="E142" s="956">
        <f t="shared" ref="E142" si="90">SUM(E140:E141)</f>
        <v>1180</v>
      </c>
      <c r="F142" s="956">
        <f t="shared" ref="F142" si="91">SUM(F140:F141)</f>
        <v>1160</v>
      </c>
      <c r="G142" s="956">
        <f t="shared" ref="G142" si="92">SUM(G140:G141)</f>
        <v>1140</v>
      </c>
      <c r="H142" s="956">
        <f t="shared" ref="H142" si="93">SUM(H140:H141)</f>
        <v>1120</v>
      </c>
      <c r="I142" s="956">
        <f t="shared" ref="I142" si="94">SUM(I140:I141)</f>
        <v>1100</v>
      </c>
      <c r="J142" s="956">
        <f t="shared" ref="J142" si="95">SUM(J140:J141)</f>
        <v>1080</v>
      </c>
      <c r="K142" s="956">
        <f t="shared" ref="K142" si="96">SUM(K140:K141)</f>
        <v>1060</v>
      </c>
      <c r="L142" s="956">
        <f t="shared" ref="L142" si="97">SUM(L140:L141)</f>
        <v>1040</v>
      </c>
      <c r="M142" s="956">
        <f t="shared" ref="M142" si="98">SUM(M140:M141)</f>
        <v>1020</v>
      </c>
      <c r="N142" s="956">
        <f t="shared" ref="N142" si="99">SUM(N140:N141)</f>
        <v>1000</v>
      </c>
      <c r="O142" s="957">
        <f t="shared" ref="O142" si="100">SUM(O140:O141)</f>
        <v>980</v>
      </c>
      <c r="P142" s="956">
        <f t="shared" ref="P142" si="101">SUM(P140:P141)</f>
        <v>960</v>
      </c>
      <c r="Q142" s="956">
        <f t="shared" ref="Q142" si="102">SUM(Q140:Q141)</f>
        <v>940</v>
      </c>
      <c r="R142" s="956">
        <f t="shared" ref="R142" si="103">SUM(R140:R141)</f>
        <v>920</v>
      </c>
      <c r="S142" s="956">
        <f t="shared" ref="S142" si="104">SUM(S140:S141)</f>
        <v>900</v>
      </c>
      <c r="T142" s="956">
        <f t="shared" ref="T142" si="105">SUM(T140:T141)</f>
        <v>880</v>
      </c>
      <c r="U142" s="956">
        <f t="shared" ref="U142" si="106">SUM(U140:U141)</f>
        <v>860</v>
      </c>
      <c r="V142" s="956">
        <f t="shared" ref="V142" si="107">SUM(V140:V141)</f>
        <v>840</v>
      </c>
      <c r="W142" s="956">
        <f t="shared" ref="W142" si="108">SUM(W140:W141)</f>
        <v>820</v>
      </c>
      <c r="X142" s="956">
        <f t="shared" ref="X142" si="109">SUM(X140:X141)</f>
        <v>800</v>
      </c>
      <c r="Y142" s="956">
        <f t="shared" ref="Y142" si="110">SUM(Y140:Y141)</f>
        <v>780</v>
      </c>
      <c r="Z142" s="956">
        <f t="shared" ref="Z142" si="111">SUM(Z140:Z141)</f>
        <v>760</v>
      </c>
      <c r="AA142" s="957">
        <f t="shared" ref="AA142" si="112">SUM(AA140:AA141)</f>
        <v>740</v>
      </c>
      <c r="AB142" s="956">
        <f t="shared" ref="AB142" si="113">SUM(AB140:AB141)</f>
        <v>720</v>
      </c>
      <c r="AC142" s="956">
        <f t="shared" ref="AC142" si="114">SUM(AC140:AC141)</f>
        <v>700</v>
      </c>
      <c r="AD142" s="956">
        <f t="shared" ref="AD142" si="115">SUM(AD140:AD141)</f>
        <v>680</v>
      </c>
      <c r="AE142" s="956">
        <f t="shared" ref="AE142" si="116">SUM(AE140:AE141)</f>
        <v>660</v>
      </c>
      <c r="AF142" s="956">
        <f t="shared" ref="AF142" si="117">SUM(AF140:AF141)</f>
        <v>640</v>
      </c>
      <c r="AG142" s="956">
        <f t="shared" ref="AG142" si="118">SUM(AG140:AG141)</f>
        <v>620</v>
      </c>
      <c r="AH142" s="956">
        <f t="shared" ref="AH142" si="119">SUM(AH140:AH141)</f>
        <v>600</v>
      </c>
      <c r="AI142" s="956">
        <f t="shared" ref="AI142" si="120">SUM(AI140:AI141)</f>
        <v>580</v>
      </c>
      <c r="AJ142" s="956">
        <f t="shared" ref="AJ142" si="121">SUM(AJ140:AJ141)</f>
        <v>560</v>
      </c>
      <c r="AK142" s="956">
        <f t="shared" ref="AK142" si="122">SUM(AK140:AK141)</f>
        <v>540</v>
      </c>
      <c r="AL142" s="956">
        <f t="shared" ref="AL142" si="123">SUM(AL140:AL141)</f>
        <v>520</v>
      </c>
      <c r="AM142" s="956">
        <f t="shared" ref="AM142" si="124">SUM(AM140:AM141)</f>
        <v>500</v>
      </c>
      <c r="AN142" s="323"/>
      <c r="AO142" s="323"/>
      <c r="AP142" s="323"/>
      <c r="AQ142" s="323"/>
      <c r="AR142" s="323"/>
      <c r="AS142" s="323"/>
      <c r="AT142" s="323"/>
      <c r="AU142" s="323"/>
      <c r="AV142" s="323"/>
      <c r="AW142" s="323"/>
      <c r="AX142" s="323"/>
      <c r="AY142" s="323"/>
      <c r="AZ142" s="323"/>
      <c r="BA142" s="323"/>
      <c r="BB142" s="323"/>
      <c r="BC142" s="323"/>
      <c r="BD142" s="323"/>
      <c r="BE142" s="323"/>
      <c r="BF142" s="323"/>
      <c r="BG142" s="323"/>
      <c r="BH142" s="323"/>
    </row>
    <row r="143" spans="2:60" ht="15" customHeight="1">
      <c r="B143" s="976" t="s">
        <v>57</v>
      </c>
      <c r="C143" s="977"/>
      <c r="D143" s="956">
        <f t="shared" ref="D143:AM143" si="125">-$D$141/$J$51/12</f>
        <v>-20</v>
      </c>
      <c r="E143" s="956">
        <f t="shared" si="125"/>
        <v>-20</v>
      </c>
      <c r="F143" s="956">
        <f t="shared" si="125"/>
        <v>-20</v>
      </c>
      <c r="G143" s="956">
        <f t="shared" si="125"/>
        <v>-20</v>
      </c>
      <c r="H143" s="956">
        <f t="shared" si="125"/>
        <v>-20</v>
      </c>
      <c r="I143" s="956">
        <f t="shared" si="125"/>
        <v>-20</v>
      </c>
      <c r="J143" s="956">
        <f t="shared" si="125"/>
        <v>-20</v>
      </c>
      <c r="K143" s="956">
        <f t="shared" si="125"/>
        <v>-20</v>
      </c>
      <c r="L143" s="956">
        <f t="shared" si="125"/>
        <v>-20</v>
      </c>
      <c r="M143" s="956">
        <f t="shared" si="125"/>
        <v>-20</v>
      </c>
      <c r="N143" s="956">
        <f t="shared" si="125"/>
        <v>-20</v>
      </c>
      <c r="O143" s="956">
        <f t="shared" si="125"/>
        <v>-20</v>
      </c>
      <c r="P143" s="956">
        <f t="shared" si="125"/>
        <v>-20</v>
      </c>
      <c r="Q143" s="956">
        <f t="shared" si="125"/>
        <v>-20</v>
      </c>
      <c r="R143" s="956">
        <f t="shared" si="125"/>
        <v>-20</v>
      </c>
      <c r="S143" s="956">
        <f t="shared" si="125"/>
        <v>-20</v>
      </c>
      <c r="T143" s="956">
        <f t="shared" si="125"/>
        <v>-20</v>
      </c>
      <c r="U143" s="956">
        <f t="shared" si="125"/>
        <v>-20</v>
      </c>
      <c r="V143" s="956">
        <f t="shared" si="125"/>
        <v>-20</v>
      </c>
      <c r="W143" s="956">
        <f t="shared" si="125"/>
        <v>-20</v>
      </c>
      <c r="X143" s="956">
        <f t="shared" si="125"/>
        <v>-20</v>
      </c>
      <c r="Y143" s="956">
        <f t="shared" si="125"/>
        <v>-20</v>
      </c>
      <c r="Z143" s="956">
        <f t="shared" si="125"/>
        <v>-20</v>
      </c>
      <c r="AA143" s="956">
        <f t="shared" si="125"/>
        <v>-20</v>
      </c>
      <c r="AB143" s="956">
        <f t="shared" si="125"/>
        <v>-20</v>
      </c>
      <c r="AC143" s="956">
        <f t="shared" si="125"/>
        <v>-20</v>
      </c>
      <c r="AD143" s="956">
        <f t="shared" si="125"/>
        <v>-20</v>
      </c>
      <c r="AE143" s="956">
        <f t="shared" si="125"/>
        <v>-20</v>
      </c>
      <c r="AF143" s="956">
        <f t="shared" si="125"/>
        <v>-20</v>
      </c>
      <c r="AG143" s="956">
        <f t="shared" si="125"/>
        <v>-20</v>
      </c>
      <c r="AH143" s="956">
        <f t="shared" si="125"/>
        <v>-20</v>
      </c>
      <c r="AI143" s="956">
        <f t="shared" si="125"/>
        <v>-20</v>
      </c>
      <c r="AJ143" s="956">
        <f t="shared" si="125"/>
        <v>-20</v>
      </c>
      <c r="AK143" s="956">
        <f t="shared" si="125"/>
        <v>-20</v>
      </c>
      <c r="AL143" s="956">
        <f t="shared" si="125"/>
        <v>-20</v>
      </c>
      <c r="AM143" s="956">
        <f t="shared" si="125"/>
        <v>-20</v>
      </c>
      <c r="AN143" s="323"/>
      <c r="AO143" s="323"/>
      <c r="AP143" s="323"/>
      <c r="AQ143" s="323"/>
      <c r="AR143" s="323"/>
      <c r="AS143" s="323"/>
      <c r="AT143" s="323"/>
      <c r="AU143" s="323"/>
      <c r="AV143" s="323"/>
      <c r="AW143" s="323"/>
      <c r="AX143" s="323"/>
      <c r="AY143" s="323"/>
      <c r="AZ143" s="323"/>
      <c r="BA143" s="323"/>
      <c r="BB143" s="323"/>
      <c r="BC143" s="323"/>
      <c r="BD143" s="323"/>
      <c r="BE143" s="323"/>
      <c r="BF143" s="323"/>
      <c r="BG143" s="323"/>
      <c r="BH143" s="323"/>
    </row>
    <row r="144" spans="2:60" s="305" customFormat="1" ht="15" customHeight="1" thickBot="1">
      <c r="B144" s="982" t="s">
        <v>255</v>
      </c>
      <c r="C144" s="983"/>
      <c r="D144" s="956">
        <f>SUM(D142:D143)</f>
        <v>1180</v>
      </c>
      <c r="E144" s="956">
        <f t="shared" ref="E144" si="126">SUM(E142:E143)</f>
        <v>1160</v>
      </c>
      <c r="F144" s="956">
        <f t="shared" ref="F144" si="127">SUM(F142:F143)</f>
        <v>1140</v>
      </c>
      <c r="G144" s="956">
        <f t="shared" ref="G144" si="128">SUM(G142:G143)</f>
        <v>1120</v>
      </c>
      <c r="H144" s="956">
        <f t="shared" ref="H144" si="129">SUM(H142:H143)</f>
        <v>1100</v>
      </c>
      <c r="I144" s="956">
        <f t="shared" ref="I144" si="130">SUM(I142:I143)</f>
        <v>1080</v>
      </c>
      <c r="J144" s="956">
        <f t="shared" ref="J144" si="131">SUM(J142:J143)</f>
        <v>1060</v>
      </c>
      <c r="K144" s="956">
        <f t="shared" ref="K144" si="132">SUM(K142:K143)</f>
        <v>1040</v>
      </c>
      <c r="L144" s="956">
        <f t="shared" ref="L144" si="133">SUM(L142:L143)</f>
        <v>1020</v>
      </c>
      <c r="M144" s="956">
        <f t="shared" ref="M144" si="134">SUM(M142:M143)</f>
        <v>1000</v>
      </c>
      <c r="N144" s="956">
        <f t="shared" ref="N144" si="135">SUM(N142:N143)</f>
        <v>980</v>
      </c>
      <c r="O144" s="957">
        <f t="shared" ref="O144" si="136">SUM(O142:O143)</f>
        <v>960</v>
      </c>
      <c r="P144" s="956">
        <f t="shared" ref="P144" si="137">SUM(P142:P143)</f>
        <v>940</v>
      </c>
      <c r="Q144" s="956">
        <f t="shared" ref="Q144" si="138">SUM(Q142:Q143)</f>
        <v>920</v>
      </c>
      <c r="R144" s="956">
        <f t="shared" ref="R144" si="139">SUM(R142:R143)</f>
        <v>900</v>
      </c>
      <c r="S144" s="956">
        <f t="shared" ref="S144" si="140">SUM(S142:S143)</f>
        <v>880</v>
      </c>
      <c r="T144" s="956">
        <f t="shared" ref="T144" si="141">SUM(T142:T143)</f>
        <v>860</v>
      </c>
      <c r="U144" s="956">
        <f t="shared" ref="U144" si="142">SUM(U142:U143)</f>
        <v>840</v>
      </c>
      <c r="V144" s="956">
        <f t="shared" ref="V144" si="143">SUM(V142:V143)</f>
        <v>820</v>
      </c>
      <c r="W144" s="956">
        <f t="shared" ref="W144" si="144">SUM(W142:W143)</f>
        <v>800</v>
      </c>
      <c r="X144" s="956">
        <f t="shared" ref="X144" si="145">SUM(X142:X143)</f>
        <v>780</v>
      </c>
      <c r="Y144" s="956">
        <f t="shared" ref="Y144" si="146">SUM(Y142:Y143)</f>
        <v>760</v>
      </c>
      <c r="Z144" s="956">
        <f t="shared" ref="Z144" si="147">SUM(Z142:Z143)</f>
        <v>740</v>
      </c>
      <c r="AA144" s="957">
        <f t="shared" ref="AA144" si="148">SUM(AA142:AA143)</f>
        <v>720</v>
      </c>
      <c r="AB144" s="956">
        <f t="shared" ref="AB144" si="149">SUM(AB142:AB143)</f>
        <v>700</v>
      </c>
      <c r="AC144" s="956">
        <f t="shared" ref="AC144" si="150">SUM(AC142:AC143)</f>
        <v>680</v>
      </c>
      <c r="AD144" s="956">
        <f t="shared" ref="AD144" si="151">SUM(AD142:AD143)</f>
        <v>660</v>
      </c>
      <c r="AE144" s="956">
        <f t="shared" ref="AE144" si="152">SUM(AE142:AE143)</f>
        <v>640</v>
      </c>
      <c r="AF144" s="956">
        <f t="shared" ref="AF144" si="153">SUM(AF142:AF143)</f>
        <v>620</v>
      </c>
      <c r="AG144" s="956">
        <f t="shared" ref="AG144" si="154">SUM(AG142:AG143)</f>
        <v>600</v>
      </c>
      <c r="AH144" s="956">
        <f t="shared" ref="AH144" si="155">SUM(AH142:AH143)</f>
        <v>580</v>
      </c>
      <c r="AI144" s="956">
        <f t="shared" ref="AI144" si="156">SUM(AI142:AI143)</f>
        <v>560</v>
      </c>
      <c r="AJ144" s="956">
        <f t="shared" ref="AJ144" si="157">SUM(AJ142:AJ143)</f>
        <v>540</v>
      </c>
      <c r="AK144" s="956">
        <f t="shared" ref="AK144" si="158">SUM(AK142:AK143)</f>
        <v>520</v>
      </c>
      <c r="AL144" s="956">
        <f t="shared" ref="AL144" si="159">SUM(AL142:AL143)</f>
        <v>500</v>
      </c>
      <c r="AM144" s="956">
        <f t="shared" ref="AM144" si="160">SUM(AM142:AM143)</f>
        <v>480</v>
      </c>
      <c r="AN144" s="345"/>
      <c r="AO144" s="345"/>
      <c r="AP144" s="345"/>
      <c r="AQ144" s="345"/>
      <c r="AR144" s="345"/>
      <c r="AS144" s="345"/>
      <c r="AT144" s="345"/>
      <c r="AU144" s="345"/>
      <c r="AV144" s="345"/>
      <c r="AW144" s="345"/>
      <c r="AX144" s="345"/>
      <c r="AY144" s="345"/>
      <c r="AZ144" s="345"/>
      <c r="BA144" s="345"/>
      <c r="BB144" s="345"/>
      <c r="BC144" s="345"/>
      <c r="BD144" s="345"/>
      <c r="BE144" s="345"/>
      <c r="BF144" s="345"/>
      <c r="BG144" s="345"/>
      <c r="BH144" s="345"/>
    </row>
    <row r="145" spans="2:60" s="305" customFormat="1" ht="16.8" thickTop="1" thickBot="1">
      <c r="D145" s="345"/>
      <c r="E145" s="345"/>
      <c r="F145" s="345"/>
      <c r="G145" s="345"/>
      <c r="H145" s="345"/>
      <c r="I145" s="345"/>
      <c r="J145" s="345"/>
      <c r="K145" s="345"/>
      <c r="L145" s="345"/>
      <c r="M145" s="345"/>
      <c r="N145" s="345"/>
      <c r="O145" s="638"/>
      <c r="P145" s="345"/>
      <c r="Q145" s="345"/>
      <c r="R145" s="345"/>
      <c r="S145" s="345"/>
      <c r="T145" s="345"/>
      <c r="U145" s="345"/>
      <c r="V145" s="345"/>
      <c r="W145" s="345"/>
      <c r="X145" s="345"/>
      <c r="Y145" s="345"/>
      <c r="Z145" s="345"/>
      <c r="AA145" s="638"/>
      <c r="AB145" s="345"/>
      <c r="AC145" s="345"/>
      <c r="AD145" s="345"/>
      <c r="AE145" s="345"/>
      <c r="AF145" s="345"/>
      <c r="AG145" s="345"/>
      <c r="AH145" s="345"/>
      <c r="AI145" s="345"/>
      <c r="AJ145" s="345"/>
      <c r="AK145" s="345"/>
      <c r="AL145" s="345"/>
      <c r="AM145" s="345"/>
      <c r="AN145" s="345"/>
      <c r="AO145" s="345"/>
      <c r="AP145" s="345"/>
      <c r="AQ145" s="345"/>
      <c r="AR145" s="345"/>
      <c r="AS145" s="345"/>
      <c r="AT145" s="345"/>
      <c r="AU145" s="345"/>
      <c r="AV145" s="345"/>
      <c r="AW145" s="345"/>
      <c r="AX145" s="345"/>
      <c r="AY145" s="345"/>
      <c r="AZ145" s="345"/>
      <c r="BA145" s="345"/>
      <c r="BB145" s="345"/>
      <c r="BC145" s="345"/>
      <c r="BD145" s="345"/>
      <c r="BE145" s="345"/>
      <c r="BF145" s="345"/>
      <c r="BG145" s="345"/>
      <c r="BH145" s="345"/>
    </row>
    <row r="146" spans="2:60" s="305" customFormat="1" ht="16.2" thickTop="1">
      <c r="B146" s="974" t="str">
        <f>B52</f>
        <v>Printer</v>
      </c>
      <c r="C146" s="975"/>
      <c r="D146" s="323"/>
      <c r="E146" s="323"/>
      <c r="F146" s="323"/>
      <c r="G146" s="323"/>
      <c r="H146" s="323"/>
      <c r="I146" s="323"/>
      <c r="J146" s="323"/>
      <c r="K146" s="323"/>
      <c r="L146" s="323"/>
      <c r="M146" s="323"/>
      <c r="N146" s="323"/>
      <c r="O146" s="599"/>
      <c r="P146" s="323"/>
      <c r="Q146" s="323"/>
      <c r="R146" s="323"/>
      <c r="S146" s="323"/>
      <c r="T146" s="323"/>
      <c r="U146" s="323"/>
      <c r="V146" s="323"/>
      <c r="W146" s="323"/>
      <c r="X146" s="323"/>
      <c r="Y146" s="323"/>
      <c r="Z146" s="323"/>
      <c r="AA146" s="599"/>
      <c r="AB146" s="323"/>
      <c r="AC146" s="323"/>
      <c r="AD146" s="323"/>
      <c r="AE146" s="323"/>
      <c r="AF146" s="323"/>
      <c r="AG146" s="323"/>
      <c r="AH146" s="323"/>
      <c r="AI146" s="323"/>
      <c r="AJ146" s="323"/>
      <c r="AK146" s="323"/>
      <c r="AL146" s="323"/>
      <c r="AM146" s="323"/>
      <c r="AN146" s="345"/>
      <c r="AO146" s="345"/>
      <c r="AP146" s="345"/>
      <c r="AQ146" s="345"/>
      <c r="AR146" s="345"/>
      <c r="AS146" s="345"/>
      <c r="AT146" s="345"/>
      <c r="AU146" s="345"/>
      <c r="AV146" s="345"/>
      <c r="AW146" s="345"/>
      <c r="AX146" s="345"/>
      <c r="AY146" s="345"/>
      <c r="AZ146" s="345"/>
      <c r="BA146" s="345"/>
      <c r="BB146" s="345"/>
      <c r="BC146" s="345"/>
      <c r="BD146" s="345"/>
      <c r="BE146" s="345"/>
      <c r="BF146" s="345"/>
      <c r="BG146" s="345"/>
      <c r="BH146" s="345"/>
    </row>
    <row r="147" spans="2:60" s="305" customFormat="1">
      <c r="B147" s="976" t="s">
        <v>112</v>
      </c>
      <c r="C147" s="977"/>
      <c r="D147" s="953">
        <v>0</v>
      </c>
      <c r="E147" s="956">
        <f>D151</f>
        <v>236</v>
      </c>
      <c r="F147" s="956">
        <f t="shared" ref="F147" si="161">E151</f>
        <v>232</v>
      </c>
      <c r="G147" s="956">
        <f t="shared" ref="G147" si="162">F151</f>
        <v>228</v>
      </c>
      <c r="H147" s="956">
        <f t="shared" ref="H147" si="163">G151</f>
        <v>224</v>
      </c>
      <c r="I147" s="956">
        <f t="shared" ref="I147" si="164">H151</f>
        <v>220</v>
      </c>
      <c r="J147" s="956">
        <f t="shared" ref="J147" si="165">I151</f>
        <v>216</v>
      </c>
      <c r="K147" s="956">
        <f t="shared" ref="K147" si="166">J151</f>
        <v>212</v>
      </c>
      <c r="L147" s="956">
        <f t="shared" ref="L147" si="167">K151</f>
        <v>208</v>
      </c>
      <c r="M147" s="956">
        <f t="shared" ref="M147" si="168">L151</f>
        <v>204</v>
      </c>
      <c r="N147" s="956">
        <f t="shared" ref="N147" si="169">M151</f>
        <v>200</v>
      </c>
      <c r="O147" s="957">
        <f t="shared" ref="O147" si="170">N151</f>
        <v>196</v>
      </c>
      <c r="P147" s="956">
        <f t="shared" ref="P147" si="171">O151</f>
        <v>192</v>
      </c>
      <c r="Q147" s="956">
        <f t="shared" ref="Q147" si="172">P151</f>
        <v>188</v>
      </c>
      <c r="R147" s="956">
        <f t="shared" ref="R147" si="173">Q151</f>
        <v>184</v>
      </c>
      <c r="S147" s="956">
        <f t="shared" ref="S147" si="174">R151</f>
        <v>180</v>
      </c>
      <c r="T147" s="956">
        <f t="shared" ref="T147" si="175">S151</f>
        <v>176</v>
      </c>
      <c r="U147" s="956">
        <f t="shared" ref="U147" si="176">T151</f>
        <v>172</v>
      </c>
      <c r="V147" s="956">
        <f t="shared" ref="V147" si="177">U151</f>
        <v>168</v>
      </c>
      <c r="W147" s="956">
        <f t="shared" ref="W147" si="178">V151</f>
        <v>164</v>
      </c>
      <c r="X147" s="956">
        <f t="shared" ref="X147" si="179">W151</f>
        <v>160</v>
      </c>
      <c r="Y147" s="956">
        <f t="shared" ref="Y147" si="180">X151</f>
        <v>156</v>
      </c>
      <c r="Z147" s="956">
        <f t="shared" ref="Z147" si="181">Y151</f>
        <v>152</v>
      </c>
      <c r="AA147" s="957">
        <f t="shared" ref="AA147" si="182">Z151</f>
        <v>148</v>
      </c>
      <c r="AB147" s="956">
        <f t="shared" ref="AB147" si="183">AA151</f>
        <v>144</v>
      </c>
      <c r="AC147" s="956">
        <f t="shared" ref="AC147" si="184">AB151</f>
        <v>218.66666666666666</v>
      </c>
      <c r="AD147" s="956">
        <f t="shared" ref="AD147" si="185">AC151</f>
        <v>213.33333333333331</v>
      </c>
      <c r="AE147" s="956">
        <f t="shared" ref="AE147" si="186">AD151</f>
        <v>207.99999999999997</v>
      </c>
      <c r="AF147" s="956">
        <f t="shared" ref="AF147" si="187">AE151</f>
        <v>202.66666666666663</v>
      </c>
      <c r="AG147" s="956">
        <f t="shared" ref="AG147" si="188">AF151</f>
        <v>197.33333333333329</v>
      </c>
      <c r="AH147" s="956">
        <f t="shared" ref="AH147" si="189">AG151</f>
        <v>191.99999999999994</v>
      </c>
      <c r="AI147" s="956">
        <f t="shared" ref="AI147" si="190">AH151</f>
        <v>186.6666666666666</v>
      </c>
      <c r="AJ147" s="956">
        <f t="shared" ref="AJ147" si="191">AI151</f>
        <v>181.33333333333326</v>
      </c>
      <c r="AK147" s="956">
        <f t="shared" ref="AK147" si="192">AJ151</f>
        <v>175.99999999999991</v>
      </c>
      <c r="AL147" s="956">
        <f t="shared" ref="AL147" si="193">AK151</f>
        <v>170.66666666666657</v>
      </c>
      <c r="AM147" s="956">
        <f t="shared" ref="AM147" si="194">AL151</f>
        <v>165.33333333333323</v>
      </c>
      <c r="AN147" s="345"/>
      <c r="AO147" s="345"/>
      <c r="AP147" s="345"/>
      <c r="AQ147" s="345"/>
      <c r="AR147" s="345"/>
      <c r="AS147" s="345"/>
      <c r="AT147" s="345"/>
      <c r="AU147" s="345"/>
      <c r="AV147" s="345"/>
      <c r="AW147" s="345"/>
      <c r="AX147" s="345"/>
      <c r="AY147" s="345"/>
      <c r="AZ147" s="345"/>
      <c r="BA147" s="345"/>
      <c r="BB147" s="345"/>
      <c r="BC147" s="345"/>
      <c r="BD147" s="345"/>
      <c r="BE147" s="345"/>
      <c r="BF147" s="345"/>
      <c r="BG147" s="345"/>
      <c r="BH147" s="345"/>
    </row>
    <row r="148" spans="2:60" s="305" customFormat="1">
      <c r="B148" s="976" t="s">
        <v>265</v>
      </c>
      <c r="C148" s="977"/>
      <c r="D148" s="956">
        <f>G52</f>
        <v>240</v>
      </c>
      <c r="E148" s="956"/>
      <c r="F148" s="956"/>
      <c r="G148" s="956"/>
      <c r="H148" s="956"/>
      <c r="I148" s="956"/>
      <c r="J148" s="956"/>
      <c r="K148" s="956"/>
      <c r="L148" s="956"/>
      <c r="M148" s="956"/>
      <c r="N148" s="956"/>
      <c r="O148" s="957"/>
      <c r="P148" s="956">
        <f>H52</f>
        <v>0</v>
      </c>
      <c r="Q148" s="956"/>
      <c r="R148" s="956"/>
      <c r="S148" s="956"/>
      <c r="T148" s="956"/>
      <c r="U148" s="956"/>
      <c r="V148" s="956"/>
      <c r="W148" s="956"/>
      <c r="X148" s="956"/>
      <c r="Y148" s="956"/>
      <c r="Z148" s="956"/>
      <c r="AA148" s="957"/>
      <c r="AB148" s="956">
        <f>$I$52</f>
        <v>80</v>
      </c>
      <c r="AC148" s="956"/>
      <c r="AD148" s="956"/>
      <c r="AE148" s="956"/>
      <c r="AF148" s="956"/>
      <c r="AG148" s="956"/>
      <c r="AH148" s="956"/>
      <c r="AI148" s="956"/>
      <c r="AJ148" s="956"/>
      <c r="AK148" s="956"/>
      <c r="AL148" s="956"/>
      <c r="AM148" s="956"/>
      <c r="AN148" s="345"/>
      <c r="AO148" s="345"/>
      <c r="AP148" s="345"/>
      <c r="AQ148" s="345"/>
      <c r="AR148" s="345"/>
      <c r="AS148" s="345"/>
      <c r="AT148" s="345"/>
      <c r="AU148" s="345"/>
      <c r="AV148" s="345"/>
      <c r="AW148" s="345"/>
      <c r="AX148" s="345"/>
      <c r="AY148" s="345"/>
      <c r="AZ148" s="345"/>
      <c r="BA148" s="345"/>
      <c r="BB148" s="345"/>
      <c r="BC148" s="345"/>
      <c r="BD148" s="345"/>
      <c r="BE148" s="345"/>
      <c r="BF148" s="345"/>
      <c r="BG148" s="345"/>
      <c r="BH148" s="345"/>
    </row>
    <row r="149" spans="2:60">
      <c r="B149" s="976" t="s">
        <v>110</v>
      </c>
      <c r="C149" s="977"/>
      <c r="D149" s="956">
        <f>SUM(D147:D148)</f>
        <v>240</v>
      </c>
      <c r="E149" s="956">
        <f t="shared" ref="E149:AM149" si="195">SUM(E147:E148)</f>
        <v>236</v>
      </c>
      <c r="F149" s="956">
        <f t="shared" si="195"/>
        <v>232</v>
      </c>
      <c r="G149" s="956">
        <f t="shared" si="195"/>
        <v>228</v>
      </c>
      <c r="H149" s="956">
        <f t="shared" si="195"/>
        <v>224</v>
      </c>
      <c r="I149" s="956">
        <f t="shared" si="195"/>
        <v>220</v>
      </c>
      <c r="J149" s="956">
        <f t="shared" si="195"/>
        <v>216</v>
      </c>
      <c r="K149" s="956">
        <f t="shared" si="195"/>
        <v>212</v>
      </c>
      <c r="L149" s="956">
        <f t="shared" si="195"/>
        <v>208</v>
      </c>
      <c r="M149" s="956">
        <f t="shared" si="195"/>
        <v>204</v>
      </c>
      <c r="N149" s="956">
        <f t="shared" si="195"/>
        <v>200</v>
      </c>
      <c r="O149" s="957">
        <f t="shared" si="195"/>
        <v>196</v>
      </c>
      <c r="P149" s="956">
        <f t="shared" si="195"/>
        <v>192</v>
      </c>
      <c r="Q149" s="956">
        <f t="shared" si="195"/>
        <v>188</v>
      </c>
      <c r="R149" s="956">
        <f t="shared" si="195"/>
        <v>184</v>
      </c>
      <c r="S149" s="956">
        <f t="shared" si="195"/>
        <v>180</v>
      </c>
      <c r="T149" s="956">
        <f t="shared" si="195"/>
        <v>176</v>
      </c>
      <c r="U149" s="956">
        <f t="shared" si="195"/>
        <v>172</v>
      </c>
      <c r="V149" s="956">
        <f t="shared" si="195"/>
        <v>168</v>
      </c>
      <c r="W149" s="956">
        <f t="shared" si="195"/>
        <v>164</v>
      </c>
      <c r="X149" s="956">
        <f t="shared" si="195"/>
        <v>160</v>
      </c>
      <c r="Y149" s="956">
        <f t="shared" si="195"/>
        <v>156</v>
      </c>
      <c r="Z149" s="956">
        <f t="shared" si="195"/>
        <v>152</v>
      </c>
      <c r="AA149" s="957">
        <f t="shared" si="195"/>
        <v>148</v>
      </c>
      <c r="AB149" s="956">
        <f t="shared" si="195"/>
        <v>224</v>
      </c>
      <c r="AC149" s="956">
        <f t="shared" si="195"/>
        <v>218.66666666666666</v>
      </c>
      <c r="AD149" s="956">
        <f t="shared" si="195"/>
        <v>213.33333333333331</v>
      </c>
      <c r="AE149" s="956">
        <f t="shared" si="195"/>
        <v>207.99999999999997</v>
      </c>
      <c r="AF149" s="956">
        <f t="shared" si="195"/>
        <v>202.66666666666663</v>
      </c>
      <c r="AG149" s="956">
        <f t="shared" si="195"/>
        <v>197.33333333333329</v>
      </c>
      <c r="AH149" s="956">
        <f t="shared" si="195"/>
        <v>191.99999999999994</v>
      </c>
      <c r="AI149" s="956">
        <f t="shared" si="195"/>
        <v>186.6666666666666</v>
      </c>
      <c r="AJ149" s="956">
        <f t="shared" si="195"/>
        <v>181.33333333333326</v>
      </c>
      <c r="AK149" s="956">
        <f t="shared" si="195"/>
        <v>175.99999999999991</v>
      </c>
      <c r="AL149" s="956">
        <f t="shared" si="195"/>
        <v>170.66666666666657</v>
      </c>
      <c r="AM149" s="956">
        <f t="shared" si="195"/>
        <v>165.33333333333323</v>
      </c>
      <c r="AN149" s="323"/>
      <c r="AO149" s="323"/>
      <c r="AP149" s="323"/>
      <c r="AQ149" s="323"/>
      <c r="AR149" s="323"/>
      <c r="AS149" s="323"/>
      <c r="AT149" s="323"/>
      <c r="AU149" s="323"/>
      <c r="AV149" s="323"/>
      <c r="AW149" s="323"/>
      <c r="AX149" s="323"/>
      <c r="AY149" s="323"/>
      <c r="AZ149" s="323"/>
      <c r="BA149" s="323"/>
      <c r="BB149" s="323"/>
      <c r="BC149" s="323"/>
      <c r="BD149" s="323"/>
      <c r="BE149" s="323"/>
      <c r="BF149" s="323"/>
      <c r="BG149" s="323"/>
      <c r="BH149" s="323"/>
    </row>
    <row r="150" spans="2:60">
      <c r="B150" s="976" t="s">
        <v>57</v>
      </c>
      <c r="C150" s="977"/>
      <c r="D150" s="956">
        <f t="shared" ref="D150:O150" si="196">-$D$148/$J$52/12</f>
        <v>-4</v>
      </c>
      <c r="E150" s="956">
        <f t="shared" si="196"/>
        <v>-4</v>
      </c>
      <c r="F150" s="956">
        <f t="shared" si="196"/>
        <v>-4</v>
      </c>
      <c r="G150" s="956">
        <f t="shared" si="196"/>
        <v>-4</v>
      </c>
      <c r="H150" s="956">
        <f t="shared" si="196"/>
        <v>-4</v>
      </c>
      <c r="I150" s="956">
        <f t="shared" si="196"/>
        <v>-4</v>
      </c>
      <c r="J150" s="956">
        <f t="shared" si="196"/>
        <v>-4</v>
      </c>
      <c r="K150" s="956">
        <f t="shared" si="196"/>
        <v>-4</v>
      </c>
      <c r="L150" s="956">
        <f t="shared" si="196"/>
        <v>-4</v>
      </c>
      <c r="M150" s="956">
        <f t="shared" si="196"/>
        <v>-4</v>
      </c>
      <c r="N150" s="956">
        <f t="shared" si="196"/>
        <v>-4</v>
      </c>
      <c r="O150" s="956">
        <f t="shared" si="196"/>
        <v>-4</v>
      </c>
      <c r="P150" s="956">
        <f t="shared" ref="P150:AA150" si="197">(-$D$148/$J$52/12)-($H$52/$J$52/12)</f>
        <v>-4</v>
      </c>
      <c r="Q150" s="956">
        <f t="shared" si="197"/>
        <v>-4</v>
      </c>
      <c r="R150" s="956">
        <f t="shared" si="197"/>
        <v>-4</v>
      </c>
      <c r="S150" s="956">
        <f t="shared" si="197"/>
        <v>-4</v>
      </c>
      <c r="T150" s="956">
        <f t="shared" si="197"/>
        <v>-4</v>
      </c>
      <c r="U150" s="956">
        <f t="shared" si="197"/>
        <v>-4</v>
      </c>
      <c r="V150" s="956">
        <f t="shared" si="197"/>
        <v>-4</v>
      </c>
      <c r="W150" s="956">
        <f t="shared" si="197"/>
        <v>-4</v>
      </c>
      <c r="X150" s="956">
        <f t="shared" si="197"/>
        <v>-4</v>
      </c>
      <c r="Y150" s="956">
        <f t="shared" si="197"/>
        <v>-4</v>
      </c>
      <c r="Z150" s="956">
        <f t="shared" si="197"/>
        <v>-4</v>
      </c>
      <c r="AA150" s="956">
        <f t="shared" si="197"/>
        <v>-4</v>
      </c>
      <c r="AB150" s="956">
        <f t="shared" ref="AB150:AM150" si="198">(-$D$148/$J$52/12)-($H$52/$J$52/12)-($I$52/$J$52/12)</f>
        <v>-5.333333333333333</v>
      </c>
      <c r="AC150" s="956">
        <f t="shared" si="198"/>
        <v>-5.333333333333333</v>
      </c>
      <c r="AD150" s="956">
        <f t="shared" si="198"/>
        <v>-5.333333333333333</v>
      </c>
      <c r="AE150" s="956">
        <f t="shared" si="198"/>
        <v>-5.333333333333333</v>
      </c>
      <c r="AF150" s="956">
        <f t="shared" si="198"/>
        <v>-5.333333333333333</v>
      </c>
      <c r="AG150" s="956">
        <f t="shared" si="198"/>
        <v>-5.333333333333333</v>
      </c>
      <c r="AH150" s="956">
        <f t="shared" si="198"/>
        <v>-5.333333333333333</v>
      </c>
      <c r="AI150" s="956">
        <f t="shared" si="198"/>
        <v>-5.333333333333333</v>
      </c>
      <c r="AJ150" s="956">
        <f t="shared" si="198"/>
        <v>-5.333333333333333</v>
      </c>
      <c r="AK150" s="956">
        <f t="shared" si="198"/>
        <v>-5.333333333333333</v>
      </c>
      <c r="AL150" s="956">
        <f t="shared" si="198"/>
        <v>-5.333333333333333</v>
      </c>
      <c r="AM150" s="956">
        <f t="shared" si="198"/>
        <v>-5.333333333333333</v>
      </c>
      <c r="AN150" s="323"/>
      <c r="AO150" s="323"/>
      <c r="AP150" s="323"/>
      <c r="AQ150" s="323"/>
      <c r="AR150" s="323"/>
      <c r="AS150" s="323"/>
      <c r="AT150" s="323"/>
      <c r="AU150" s="323"/>
      <c r="AV150" s="323"/>
      <c r="AW150" s="323"/>
      <c r="AX150" s="323"/>
      <c r="AY150" s="323"/>
      <c r="AZ150" s="323"/>
      <c r="BA150" s="323"/>
      <c r="BB150" s="323"/>
      <c r="BC150" s="323"/>
      <c r="BD150" s="323"/>
      <c r="BE150" s="323"/>
      <c r="BF150" s="323"/>
      <c r="BG150" s="323"/>
      <c r="BH150" s="323"/>
    </row>
    <row r="151" spans="2:60" ht="16.2" thickBot="1">
      <c r="B151" s="982" t="s">
        <v>255</v>
      </c>
      <c r="C151" s="983"/>
      <c r="D151" s="956">
        <f>SUM(D149:D150)</f>
        <v>236</v>
      </c>
      <c r="E151" s="956">
        <f t="shared" ref="E151:AM151" si="199">SUM(E149:E150)</f>
        <v>232</v>
      </c>
      <c r="F151" s="956">
        <f t="shared" si="199"/>
        <v>228</v>
      </c>
      <c r="G151" s="956">
        <f t="shared" si="199"/>
        <v>224</v>
      </c>
      <c r="H151" s="956">
        <f t="shared" si="199"/>
        <v>220</v>
      </c>
      <c r="I151" s="956">
        <f t="shared" si="199"/>
        <v>216</v>
      </c>
      <c r="J151" s="956">
        <f t="shared" si="199"/>
        <v>212</v>
      </c>
      <c r="K151" s="956">
        <f t="shared" si="199"/>
        <v>208</v>
      </c>
      <c r="L151" s="956">
        <f t="shared" si="199"/>
        <v>204</v>
      </c>
      <c r="M151" s="956">
        <f t="shared" si="199"/>
        <v>200</v>
      </c>
      <c r="N151" s="956">
        <f t="shared" si="199"/>
        <v>196</v>
      </c>
      <c r="O151" s="957">
        <f t="shared" si="199"/>
        <v>192</v>
      </c>
      <c r="P151" s="956">
        <f t="shared" si="199"/>
        <v>188</v>
      </c>
      <c r="Q151" s="956">
        <f t="shared" si="199"/>
        <v>184</v>
      </c>
      <c r="R151" s="956">
        <f t="shared" si="199"/>
        <v>180</v>
      </c>
      <c r="S151" s="956">
        <f t="shared" si="199"/>
        <v>176</v>
      </c>
      <c r="T151" s="956">
        <f t="shared" si="199"/>
        <v>172</v>
      </c>
      <c r="U151" s="956">
        <f t="shared" si="199"/>
        <v>168</v>
      </c>
      <c r="V151" s="956">
        <f t="shared" si="199"/>
        <v>164</v>
      </c>
      <c r="W151" s="956">
        <f t="shared" si="199"/>
        <v>160</v>
      </c>
      <c r="X151" s="956">
        <f t="shared" si="199"/>
        <v>156</v>
      </c>
      <c r="Y151" s="956">
        <f t="shared" si="199"/>
        <v>152</v>
      </c>
      <c r="Z151" s="956">
        <f t="shared" si="199"/>
        <v>148</v>
      </c>
      <c r="AA151" s="957">
        <f t="shared" si="199"/>
        <v>144</v>
      </c>
      <c r="AB151" s="956">
        <f t="shared" si="199"/>
        <v>218.66666666666666</v>
      </c>
      <c r="AC151" s="956">
        <f t="shared" si="199"/>
        <v>213.33333333333331</v>
      </c>
      <c r="AD151" s="956">
        <f t="shared" si="199"/>
        <v>207.99999999999997</v>
      </c>
      <c r="AE151" s="956">
        <f t="shared" si="199"/>
        <v>202.66666666666663</v>
      </c>
      <c r="AF151" s="956">
        <f t="shared" si="199"/>
        <v>197.33333333333329</v>
      </c>
      <c r="AG151" s="956">
        <f t="shared" si="199"/>
        <v>191.99999999999994</v>
      </c>
      <c r="AH151" s="956">
        <f t="shared" si="199"/>
        <v>186.6666666666666</v>
      </c>
      <c r="AI151" s="956">
        <f t="shared" si="199"/>
        <v>181.33333333333326</v>
      </c>
      <c r="AJ151" s="956">
        <f t="shared" si="199"/>
        <v>175.99999999999991</v>
      </c>
      <c r="AK151" s="956">
        <f t="shared" si="199"/>
        <v>170.66666666666657</v>
      </c>
      <c r="AL151" s="956">
        <f t="shared" si="199"/>
        <v>165.33333333333323</v>
      </c>
      <c r="AM151" s="956">
        <f t="shared" si="199"/>
        <v>159.99999999999989</v>
      </c>
      <c r="AN151" s="323"/>
      <c r="AO151" s="323"/>
      <c r="AP151" s="323"/>
      <c r="AQ151" s="323"/>
      <c r="AR151" s="323"/>
      <c r="AS151" s="323"/>
      <c r="AT151" s="323"/>
      <c r="AU151" s="323"/>
      <c r="AV151" s="323"/>
      <c r="AW151" s="323"/>
      <c r="AX151" s="323"/>
      <c r="AY151" s="323"/>
      <c r="AZ151" s="323"/>
      <c r="BA151" s="323"/>
      <c r="BB151" s="323"/>
      <c r="BC151" s="323"/>
      <c r="BD151" s="323"/>
      <c r="BE151" s="323"/>
      <c r="BF151" s="323"/>
      <c r="BG151" s="323"/>
      <c r="BH151" s="323"/>
    </row>
    <row r="152" spans="2:60" ht="16.8" thickTop="1" thickBot="1">
      <c r="B152" s="639"/>
      <c r="D152" s="323"/>
      <c r="E152" s="323"/>
      <c r="F152" s="323"/>
      <c r="G152" s="323"/>
      <c r="H152" s="323"/>
      <c r="I152" s="323"/>
      <c r="J152" s="323"/>
      <c r="K152" s="323"/>
      <c r="L152" s="323"/>
      <c r="M152" s="323"/>
      <c r="N152" s="323"/>
      <c r="O152" s="599"/>
      <c r="P152" s="323"/>
      <c r="Q152" s="323"/>
      <c r="R152" s="323"/>
      <c r="S152" s="323"/>
      <c r="T152" s="323"/>
      <c r="U152" s="323"/>
      <c r="V152" s="323"/>
      <c r="W152" s="323"/>
      <c r="X152" s="323"/>
      <c r="Y152" s="323"/>
      <c r="Z152" s="323"/>
      <c r="AA152" s="599"/>
      <c r="AB152" s="323"/>
      <c r="AC152" s="323"/>
      <c r="AD152" s="323"/>
      <c r="AE152" s="323"/>
      <c r="AF152" s="323"/>
      <c r="AG152" s="323"/>
      <c r="AH152" s="323"/>
      <c r="AI152" s="323"/>
      <c r="AJ152" s="323"/>
      <c r="AK152" s="323"/>
      <c r="AL152" s="323"/>
      <c r="AM152" s="323"/>
      <c r="AN152" s="323"/>
      <c r="AO152" s="323"/>
      <c r="AP152" s="323"/>
      <c r="AQ152" s="323"/>
      <c r="AR152" s="323"/>
      <c r="AS152" s="323"/>
      <c r="AT152" s="323"/>
      <c r="AU152" s="323"/>
      <c r="AV152" s="323"/>
      <c r="AW152" s="323"/>
      <c r="AX152" s="323"/>
      <c r="AY152" s="323"/>
      <c r="AZ152" s="323"/>
      <c r="BA152" s="323"/>
      <c r="BB152" s="323"/>
      <c r="BC152" s="323"/>
      <c r="BD152" s="323"/>
      <c r="BE152" s="323"/>
      <c r="BF152" s="323"/>
      <c r="BG152" s="323"/>
      <c r="BH152" s="323"/>
    </row>
    <row r="153" spans="2:60" ht="16.2" thickTop="1">
      <c r="B153" s="974" t="str">
        <f>B53</f>
        <v>Inventory Scanner</v>
      </c>
      <c r="C153" s="975"/>
      <c r="D153" s="323"/>
      <c r="E153" s="323"/>
      <c r="F153" s="323"/>
      <c r="G153" s="323"/>
      <c r="H153" s="323"/>
      <c r="I153" s="323"/>
      <c r="J153" s="323"/>
      <c r="K153" s="323"/>
      <c r="L153" s="323"/>
      <c r="M153" s="323"/>
      <c r="N153" s="323"/>
      <c r="O153" s="599"/>
      <c r="P153" s="323"/>
      <c r="Q153" s="323"/>
      <c r="R153" s="323"/>
      <c r="S153" s="323"/>
      <c r="T153" s="323"/>
      <c r="U153" s="323"/>
      <c r="V153" s="323"/>
      <c r="W153" s="323"/>
      <c r="X153" s="323"/>
      <c r="Y153" s="323"/>
      <c r="Z153" s="323"/>
      <c r="AA153" s="599"/>
      <c r="AB153" s="323"/>
      <c r="AC153" s="323"/>
      <c r="AD153" s="323"/>
      <c r="AE153" s="323"/>
      <c r="AF153" s="323"/>
      <c r="AG153" s="323"/>
      <c r="AH153" s="323"/>
      <c r="AI153" s="323"/>
      <c r="AJ153" s="323"/>
      <c r="AK153" s="323"/>
      <c r="AL153" s="323"/>
      <c r="AM153" s="323"/>
      <c r="AN153" s="323"/>
      <c r="AO153" s="323"/>
      <c r="AP153" s="323"/>
      <c r="AQ153" s="323"/>
      <c r="AR153" s="323"/>
      <c r="AS153" s="323"/>
      <c r="AT153" s="323"/>
      <c r="AU153" s="323"/>
      <c r="AV153" s="323"/>
      <c r="AW153" s="323"/>
      <c r="AX153" s="323"/>
      <c r="AY153" s="323"/>
      <c r="AZ153" s="323"/>
      <c r="BA153" s="323"/>
      <c r="BB153" s="323"/>
      <c r="BC153" s="323"/>
      <c r="BD153" s="323"/>
      <c r="BE153" s="323"/>
      <c r="BF153" s="323"/>
      <c r="BG153" s="323"/>
      <c r="BH153" s="323"/>
    </row>
    <row r="154" spans="2:60">
      <c r="B154" s="976" t="s">
        <v>112</v>
      </c>
      <c r="C154" s="977"/>
      <c r="D154" s="953">
        <v>0</v>
      </c>
      <c r="E154" s="956">
        <f>D158</f>
        <v>587.5</v>
      </c>
      <c r="F154" s="956">
        <f t="shared" ref="F154" si="200">E158</f>
        <v>575</v>
      </c>
      <c r="G154" s="956">
        <f t="shared" ref="G154" si="201">F158</f>
        <v>562.5</v>
      </c>
      <c r="H154" s="956">
        <f t="shared" ref="H154" si="202">G158</f>
        <v>550</v>
      </c>
      <c r="I154" s="956">
        <f t="shared" ref="I154" si="203">H158</f>
        <v>537.5</v>
      </c>
      <c r="J154" s="956">
        <f t="shared" ref="J154" si="204">I158</f>
        <v>525</v>
      </c>
      <c r="K154" s="956">
        <f t="shared" ref="K154" si="205">J158</f>
        <v>512.5</v>
      </c>
      <c r="L154" s="956">
        <f t="shared" ref="L154" si="206">K158</f>
        <v>500</v>
      </c>
      <c r="M154" s="956">
        <f t="shared" ref="M154" si="207">L158</f>
        <v>487.5</v>
      </c>
      <c r="N154" s="956">
        <f t="shared" ref="N154" si="208">M158</f>
        <v>475</v>
      </c>
      <c r="O154" s="957">
        <f t="shared" ref="O154" si="209">N158</f>
        <v>462.5</v>
      </c>
      <c r="P154" s="956">
        <f t="shared" ref="P154" si="210">O158</f>
        <v>450</v>
      </c>
      <c r="Q154" s="956">
        <f t="shared" ref="Q154" si="211">P158</f>
        <v>2200</v>
      </c>
      <c r="R154" s="956">
        <f t="shared" ref="R154" si="212">Q158</f>
        <v>2150</v>
      </c>
      <c r="S154" s="956">
        <f t="shared" ref="S154" si="213">R158</f>
        <v>2100</v>
      </c>
      <c r="T154" s="956">
        <f t="shared" ref="T154" si="214">S158</f>
        <v>2050</v>
      </c>
      <c r="U154" s="956">
        <f t="shared" ref="U154" si="215">T158</f>
        <v>2000</v>
      </c>
      <c r="V154" s="956">
        <f t="shared" ref="V154" si="216">U158</f>
        <v>1950</v>
      </c>
      <c r="W154" s="956">
        <f t="shared" ref="W154" si="217">V158</f>
        <v>1900</v>
      </c>
      <c r="X154" s="956">
        <f t="shared" ref="X154" si="218">W158</f>
        <v>1850</v>
      </c>
      <c r="Y154" s="956">
        <f t="shared" ref="Y154" si="219">X158</f>
        <v>1800</v>
      </c>
      <c r="Z154" s="956">
        <f t="shared" ref="Z154" si="220">Y158</f>
        <v>1750</v>
      </c>
      <c r="AA154" s="957">
        <f t="shared" ref="AA154" si="221">Z158</f>
        <v>1700</v>
      </c>
      <c r="AB154" s="956">
        <f t="shared" ref="AB154" si="222">AA158</f>
        <v>1650</v>
      </c>
      <c r="AC154" s="956">
        <f t="shared" ref="AC154" si="223">AB158</f>
        <v>4537.5</v>
      </c>
      <c r="AD154" s="956">
        <f t="shared" ref="AD154" si="224">AC158</f>
        <v>4425</v>
      </c>
      <c r="AE154" s="956">
        <f t="shared" ref="AE154" si="225">AD158</f>
        <v>4312.5</v>
      </c>
      <c r="AF154" s="956">
        <f t="shared" ref="AF154" si="226">AE158</f>
        <v>4200</v>
      </c>
      <c r="AG154" s="956">
        <f t="shared" ref="AG154" si="227">AF158</f>
        <v>4087.5</v>
      </c>
      <c r="AH154" s="956">
        <f t="shared" ref="AH154" si="228">AG158</f>
        <v>3975</v>
      </c>
      <c r="AI154" s="956">
        <f t="shared" ref="AI154" si="229">AH158</f>
        <v>3862.5</v>
      </c>
      <c r="AJ154" s="956">
        <f t="shared" ref="AJ154" si="230">AI158</f>
        <v>3750</v>
      </c>
      <c r="AK154" s="956">
        <f t="shared" ref="AK154" si="231">AJ158</f>
        <v>3637.5</v>
      </c>
      <c r="AL154" s="956">
        <f t="shared" ref="AL154" si="232">AK158</f>
        <v>3525</v>
      </c>
      <c r="AM154" s="956">
        <f t="shared" ref="AM154" si="233">AL158</f>
        <v>3412.5</v>
      </c>
      <c r="AN154" s="323"/>
      <c r="AO154" s="323"/>
      <c r="AP154" s="323"/>
      <c r="AQ154" s="323"/>
      <c r="AR154" s="323"/>
      <c r="AS154" s="323"/>
      <c r="AT154" s="323"/>
      <c r="AU154" s="323"/>
      <c r="AV154" s="323"/>
      <c r="AW154" s="323"/>
      <c r="AX154" s="323"/>
      <c r="AY154" s="323"/>
      <c r="AZ154" s="323"/>
      <c r="BA154" s="323"/>
      <c r="BB154" s="323"/>
      <c r="BC154" s="323"/>
      <c r="BD154" s="323"/>
      <c r="BE154" s="323"/>
      <c r="BF154" s="323"/>
      <c r="BG154" s="323"/>
      <c r="BH154" s="323"/>
    </row>
    <row r="155" spans="2:60">
      <c r="B155" s="976" t="s">
        <v>265</v>
      </c>
      <c r="C155" s="977"/>
      <c r="D155" s="956">
        <f>G53</f>
        <v>600</v>
      </c>
      <c r="E155" s="956"/>
      <c r="F155" s="956"/>
      <c r="G155" s="956"/>
      <c r="H155" s="956"/>
      <c r="I155" s="956"/>
      <c r="J155" s="956"/>
      <c r="K155" s="956"/>
      <c r="L155" s="956"/>
      <c r="M155" s="956"/>
      <c r="N155" s="956"/>
      <c r="O155" s="957"/>
      <c r="P155" s="956">
        <f>H53</f>
        <v>1800</v>
      </c>
      <c r="Q155" s="956"/>
      <c r="R155" s="956"/>
      <c r="S155" s="956"/>
      <c r="T155" s="956"/>
      <c r="U155" s="956"/>
      <c r="V155" s="956"/>
      <c r="W155" s="956"/>
      <c r="X155" s="956"/>
      <c r="Y155" s="956"/>
      <c r="Z155" s="956"/>
      <c r="AA155" s="957"/>
      <c r="AB155" s="956">
        <f>I53</f>
        <v>3000</v>
      </c>
      <c r="AC155" s="956"/>
      <c r="AD155" s="956"/>
      <c r="AE155" s="956"/>
      <c r="AF155" s="956"/>
      <c r="AG155" s="956"/>
      <c r="AH155" s="956"/>
      <c r="AI155" s="956"/>
      <c r="AJ155" s="956"/>
      <c r="AK155" s="956"/>
      <c r="AL155" s="956"/>
      <c r="AM155" s="956"/>
      <c r="AN155" s="323"/>
      <c r="AO155" s="323"/>
      <c r="AP155" s="323"/>
      <c r="AQ155" s="323"/>
      <c r="AR155" s="323"/>
      <c r="AS155" s="323"/>
      <c r="AT155" s="323"/>
      <c r="AU155" s="323"/>
      <c r="AV155" s="323"/>
      <c r="AW155" s="323"/>
      <c r="AX155" s="323"/>
      <c r="AY155" s="323"/>
      <c r="AZ155" s="323"/>
      <c r="BA155" s="323"/>
      <c r="BB155" s="323"/>
      <c r="BC155" s="323"/>
      <c r="BD155" s="323"/>
      <c r="BE155" s="323"/>
      <c r="BF155" s="323"/>
      <c r="BG155" s="323"/>
      <c r="BH155" s="323"/>
    </row>
    <row r="156" spans="2:60">
      <c r="B156" s="976" t="s">
        <v>110</v>
      </c>
      <c r="C156" s="977"/>
      <c r="D156" s="956">
        <f>SUM(D154:D155)</f>
        <v>600</v>
      </c>
      <c r="E156" s="956">
        <f t="shared" ref="E156:AM156" si="234">SUM(E154:E155)</f>
        <v>587.5</v>
      </c>
      <c r="F156" s="956">
        <f t="shared" si="234"/>
        <v>575</v>
      </c>
      <c r="G156" s="956">
        <f t="shared" si="234"/>
        <v>562.5</v>
      </c>
      <c r="H156" s="956">
        <f t="shared" si="234"/>
        <v>550</v>
      </c>
      <c r="I156" s="956">
        <f t="shared" si="234"/>
        <v>537.5</v>
      </c>
      <c r="J156" s="956">
        <f t="shared" si="234"/>
        <v>525</v>
      </c>
      <c r="K156" s="956">
        <f t="shared" si="234"/>
        <v>512.5</v>
      </c>
      <c r="L156" s="956">
        <f t="shared" si="234"/>
        <v>500</v>
      </c>
      <c r="M156" s="956">
        <f t="shared" si="234"/>
        <v>487.5</v>
      </c>
      <c r="N156" s="956">
        <f t="shared" si="234"/>
        <v>475</v>
      </c>
      <c r="O156" s="957">
        <f t="shared" si="234"/>
        <v>462.5</v>
      </c>
      <c r="P156" s="956">
        <f t="shared" si="234"/>
        <v>2250</v>
      </c>
      <c r="Q156" s="956">
        <f t="shared" si="234"/>
        <v>2200</v>
      </c>
      <c r="R156" s="956">
        <f t="shared" si="234"/>
        <v>2150</v>
      </c>
      <c r="S156" s="956">
        <f t="shared" si="234"/>
        <v>2100</v>
      </c>
      <c r="T156" s="956">
        <f t="shared" si="234"/>
        <v>2050</v>
      </c>
      <c r="U156" s="956">
        <f t="shared" si="234"/>
        <v>2000</v>
      </c>
      <c r="V156" s="956">
        <f t="shared" si="234"/>
        <v>1950</v>
      </c>
      <c r="W156" s="956">
        <f t="shared" si="234"/>
        <v>1900</v>
      </c>
      <c r="X156" s="956">
        <f t="shared" si="234"/>
        <v>1850</v>
      </c>
      <c r="Y156" s="956">
        <f t="shared" si="234"/>
        <v>1800</v>
      </c>
      <c r="Z156" s="956">
        <f t="shared" si="234"/>
        <v>1750</v>
      </c>
      <c r="AA156" s="957">
        <f t="shared" si="234"/>
        <v>1700</v>
      </c>
      <c r="AB156" s="956">
        <f t="shared" si="234"/>
        <v>4650</v>
      </c>
      <c r="AC156" s="956">
        <f t="shared" si="234"/>
        <v>4537.5</v>
      </c>
      <c r="AD156" s="956">
        <f t="shared" si="234"/>
        <v>4425</v>
      </c>
      <c r="AE156" s="956">
        <f t="shared" si="234"/>
        <v>4312.5</v>
      </c>
      <c r="AF156" s="956">
        <f t="shared" si="234"/>
        <v>4200</v>
      </c>
      <c r="AG156" s="956">
        <f t="shared" si="234"/>
        <v>4087.5</v>
      </c>
      <c r="AH156" s="956">
        <f t="shared" si="234"/>
        <v>3975</v>
      </c>
      <c r="AI156" s="956">
        <f t="shared" si="234"/>
        <v>3862.5</v>
      </c>
      <c r="AJ156" s="956">
        <f t="shared" si="234"/>
        <v>3750</v>
      </c>
      <c r="AK156" s="956">
        <f t="shared" si="234"/>
        <v>3637.5</v>
      </c>
      <c r="AL156" s="956">
        <f t="shared" si="234"/>
        <v>3525</v>
      </c>
      <c r="AM156" s="956">
        <f t="shared" si="234"/>
        <v>3412.5</v>
      </c>
      <c r="AN156" s="323"/>
      <c r="AO156" s="323"/>
      <c r="AP156" s="323"/>
      <c r="AQ156" s="323"/>
      <c r="AR156" s="323"/>
      <c r="AS156" s="323"/>
      <c r="AT156" s="323"/>
      <c r="AU156" s="323"/>
      <c r="AV156" s="323"/>
      <c r="AW156" s="323"/>
      <c r="AX156" s="323"/>
      <c r="AY156" s="323"/>
      <c r="AZ156" s="323"/>
      <c r="BA156" s="323"/>
      <c r="BB156" s="323"/>
      <c r="BC156" s="323"/>
      <c r="BD156" s="323"/>
      <c r="BE156" s="323"/>
      <c r="BF156" s="323"/>
      <c r="BG156" s="323"/>
      <c r="BH156" s="323"/>
    </row>
    <row r="157" spans="2:60">
      <c r="B157" s="976" t="s">
        <v>57</v>
      </c>
      <c r="C157" s="977"/>
      <c r="D157" s="956">
        <f t="shared" ref="D157:O157" si="235">-$D$155/$J$53/12</f>
        <v>-12.5</v>
      </c>
      <c r="E157" s="956">
        <f t="shared" si="235"/>
        <v>-12.5</v>
      </c>
      <c r="F157" s="956">
        <f t="shared" si="235"/>
        <v>-12.5</v>
      </c>
      <c r="G157" s="956">
        <f t="shared" si="235"/>
        <v>-12.5</v>
      </c>
      <c r="H157" s="956">
        <f t="shared" si="235"/>
        <v>-12.5</v>
      </c>
      <c r="I157" s="956">
        <f t="shared" si="235"/>
        <v>-12.5</v>
      </c>
      <c r="J157" s="956">
        <f t="shared" si="235"/>
        <v>-12.5</v>
      </c>
      <c r="K157" s="956">
        <f t="shared" si="235"/>
        <v>-12.5</v>
      </c>
      <c r="L157" s="956">
        <f t="shared" si="235"/>
        <v>-12.5</v>
      </c>
      <c r="M157" s="956">
        <f t="shared" si="235"/>
        <v>-12.5</v>
      </c>
      <c r="N157" s="956">
        <f t="shared" si="235"/>
        <v>-12.5</v>
      </c>
      <c r="O157" s="956">
        <f t="shared" si="235"/>
        <v>-12.5</v>
      </c>
      <c r="P157" s="956">
        <f t="shared" ref="P157:AA157" si="236">(-$D$155/$J$53/12)-($P$155/$J$53/12)</f>
        <v>-50</v>
      </c>
      <c r="Q157" s="956">
        <f t="shared" si="236"/>
        <v>-50</v>
      </c>
      <c r="R157" s="956">
        <f t="shared" si="236"/>
        <v>-50</v>
      </c>
      <c r="S157" s="956">
        <f t="shared" si="236"/>
        <v>-50</v>
      </c>
      <c r="T157" s="956">
        <f t="shared" si="236"/>
        <v>-50</v>
      </c>
      <c r="U157" s="956">
        <f t="shared" si="236"/>
        <v>-50</v>
      </c>
      <c r="V157" s="956">
        <f t="shared" si="236"/>
        <v>-50</v>
      </c>
      <c r="W157" s="956">
        <f t="shared" si="236"/>
        <v>-50</v>
      </c>
      <c r="X157" s="956">
        <f t="shared" si="236"/>
        <v>-50</v>
      </c>
      <c r="Y157" s="956">
        <f t="shared" si="236"/>
        <v>-50</v>
      </c>
      <c r="Z157" s="956">
        <f t="shared" si="236"/>
        <v>-50</v>
      </c>
      <c r="AA157" s="956">
        <f t="shared" si="236"/>
        <v>-50</v>
      </c>
      <c r="AB157" s="956">
        <f t="shared" ref="AB157:AM157" si="237">(-$D$155/$J$53/12)-($P$155/$J$53/12)-($I$53/$J$53/12)</f>
        <v>-112.5</v>
      </c>
      <c r="AC157" s="956">
        <f t="shared" si="237"/>
        <v>-112.5</v>
      </c>
      <c r="AD157" s="956">
        <f t="shared" si="237"/>
        <v>-112.5</v>
      </c>
      <c r="AE157" s="956">
        <f t="shared" si="237"/>
        <v>-112.5</v>
      </c>
      <c r="AF157" s="956">
        <f t="shared" si="237"/>
        <v>-112.5</v>
      </c>
      <c r="AG157" s="956">
        <f t="shared" si="237"/>
        <v>-112.5</v>
      </c>
      <c r="AH157" s="956">
        <f t="shared" si="237"/>
        <v>-112.5</v>
      </c>
      <c r="AI157" s="956">
        <f t="shared" si="237"/>
        <v>-112.5</v>
      </c>
      <c r="AJ157" s="956">
        <f t="shared" si="237"/>
        <v>-112.5</v>
      </c>
      <c r="AK157" s="956">
        <f t="shared" si="237"/>
        <v>-112.5</v>
      </c>
      <c r="AL157" s="956">
        <f t="shared" si="237"/>
        <v>-112.5</v>
      </c>
      <c r="AM157" s="956">
        <f t="shared" si="237"/>
        <v>-112.5</v>
      </c>
      <c r="AN157" s="323"/>
      <c r="AO157" s="323"/>
      <c r="AP157" s="323"/>
      <c r="AQ157" s="323"/>
      <c r="AR157" s="323"/>
      <c r="AS157" s="323"/>
      <c r="AT157" s="323"/>
      <c r="AU157" s="323"/>
      <c r="AV157" s="323"/>
      <c r="AW157" s="323"/>
      <c r="AX157" s="323"/>
      <c r="AY157" s="323"/>
      <c r="AZ157" s="323"/>
      <c r="BA157" s="323"/>
      <c r="BB157" s="323"/>
      <c r="BC157" s="323"/>
      <c r="BD157" s="323"/>
      <c r="BE157" s="323"/>
      <c r="BF157" s="323"/>
      <c r="BG157" s="323"/>
      <c r="BH157" s="323"/>
    </row>
    <row r="158" spans="2:60" ht="16.2" thickBot="1">
      <c r="B158" s="982" t="s">
        <v>255</v>
      </c>
      <c r="C158" s="983"/>
      <c r="D158" s="956">
        <f>SUM(D156:D157)</f>
        <v>587.5</v>
      </c>
      <c r="E158" s="956">
        <f t="shared" ref="E158:AM158" si="238">SUM(E156:E157)</f>
        <v>575</v>
      </c>
      <c r="F158" s="956">
        <f t="shared" si="238"/>
        <v>562.5</v>
      </c>
      <c r="G158" s="956">
        <f t="shared" si="238"/>
        <v>550</v>
      </c>
      <c r="H158" s="956">
        <f t="shared" si="238"/>
        <v>537.5</v>
      </c>
      <c r="I158" s="956">
        <f t="shared" si="238"/>
        <v>525</v>
      </c>
      <c r="J158" s="956">
        <f t="shared" si="238"/>
        <v>512.5</v>
      </c>
      <c r="K158" s="956">
        <f t="shared" si="238"/>
        <v>500</v>
      </c>
      <c r="L158" s="956">
        <f t="shared" si="238"/>
        <v>487.5</v>
      </c>
      <c r="M158" s="956">
        <f t="shared" si="238"/>
        <v>475</v>
      </c>
      <c r="N158" s="956">
        <f t="shared" si="238"/>
        <v>462.5</v>
      </c>
      <c r="O158" s="957">
        <f t="shared" si="238"/>
        <v>450</v>
      </c>
      <c r="P158" s="956">
        <f t="shared" si="238"/>
        <v>2200</v>
      </c>
      <c r="Q158" s="956">
        <f t="shared" si="238"/>
        <v>2150</v>
      </c>
      <c r="R158" s="956">
        <f t="shared" si="238"/>
        <v>2100</v>
      </c>
      <c r="S158" s="956">
        <f t="shared" si="238"/>
        <v>2050</v>
      </c>
      <c r="T158" s="956">
        <f t="shared" si="238"/>
        <v>2000</v>
      </c>
      <c r="U158" s="956">
        <f t="shared" si="238"/>
        <v>1950</v>
      </c>
      <c r="V158" s="956">
        <f t="shared" si="238"/>
        <v>1900</v>
      </c>
      <c r="W158" s="956">
        <f t="shared" si="238"/>
        <v>1850</v>
      </c>
      <c r="X158" s="956">
        <f t="shared" si="238"/>
        <v>1800</v>
      </c>
      <c r="Y158" s="956">
        <f t="shared" si="238"/>
        <v>1750</v>
      </c>
      <c r="Z158" s="956">
        <f t="shared" si="238"/>
        <v>1700</v>
      </c>
      <c r="AA158" s="957">
        <f t="shared" si="238"/>
        <v>1650</v>
      </c>
      <c r="AB158" s="956">
        <f t="shared" si="238"/>
        <v>4537.5</v>
      </c>
      <c r="AC158" s="956">
        <f t="shared" si="238"/>
        <v>4425</v>
      </c>
      <c r="AD158" s="956">
        <f t="shared" si="238"/>
        <v>4312.5</v>
      </c>
      <c r="AE158" s="956">
        <f t="shared" si="238"/>
        <v>4200</v>
      </c>
      <c r="AF158" s="956">
        <f t="shared" si="238"/>
        <v>4087.5</v>
      </c>
      <c r="AG158" s="956">
        <f t="shared" si="238"/>
        <v>3975</v>
      </c>
      <c r="AH158" s="956">
        <f t="shared" si="238"/>
        <v>3862.5</v>
      </c>
      <c r="AI158" s="956">
        <f t="shared" si="238"/>
        <v>3750</v>
      </c>
      <c r="AJ158" s="956">
        <f t="shared" si="238"/>
        <v>3637.5</v>
      </c>
      <c r="AK158" s="956">
        <f t="shared" si="238"/>
        <v>3525</v>
      </c>
      <c r="AL158" s="956">
        <f t="shared" si="238"/>
        <v>3412.5</v>
      </c>
      <c r="AM158" s="956">
        <f t="shared" si="238"/>
        <v>3300</v>
      </c>
      <c r="AN158" s="323"/>
      <c r="AO158" s="323"/>
      <c r="AP158" s="323"/>
      <c r="AQ158" s="323"/>
      <c r="AR158" s="323"/>
      <c r="AS158" s="323"/>
      <c r="AT158" s="323"/>
      <c r="AU158" s="323"/>
      <c r="AV158" s="323"/>
      <c r="AW158" s="323"/>
      <c r="AX158" s="323"/>
      <c r="AY158" s="323"/>
      <c r="AZ158" s="323"/>
      <c r="BA158" s="323"/>
      <c r="BB158" s="323"/>
      <c r="BC158" s="323"/>
      <c r="BD158" s="323"/>
      <c r="BE158" s="323"/>
      <c r="BF158" s="323"/>
      <c r="BG158" s="323"/>
      <c r="BH158" s="323"/>
    </row>
    <row r="159" spans="2:60" ht="16.8" thickTop="1" thickBot="1">
      <c r="B159" s="639"/>
      <c r="D159" s="323"/>
      <c r="E159" s="323"/>
      <c r="F159" s="323"/>
      <c r="G159" s="323"/>
      <c r="H159" s="323"/>
      <c r="I159" s="323"/>
      <c r="J159" s="323"/>
      <c r="K159" s="323"/>
      <c r="L159" s="323"/>
      <c r="M159" s="323"/>
      <c r="N159" s="323"/>
      <c r="O159" s="599"/>
      <c r="P159" s="323"/>
      <c r="Q159" s="323"/>
      <c r="R159" s="323"/>
      <c r="S159" s="323"/>
      <c r="T159" s="323"/>
      <c r="U159" s="323"/>
      <c r="V159" s="323"/>
      <c r="W159" s="323"/>
      <c r="X159" s="323"/>
      <c r="Y159" s="323"/>
      <c r="Z159" s="323"/>
      <c r="AA159" s="599"/>
      <c r="AB159" s="323"/>
      <c r="AC159" s="323"/>
      <c r="AD159" s="323"/>
      <c r="AE159" s="323"/>
      <c r="AF159" s="323"/>
      <c r="AG159" s="323"/>
      <c r="AH159" s="323"/>
      <c r="AI159" s="323"/>
      <c r="AJ159" s="323"/>
      <c r="AK159" s="323"/>
      <c r="AL159" s="323"/>
      <c r="AM159" s="323"/>
      <c r="AN159" s="323"/>
      <c r="AO159" s="323"/>
      <c r="AP159" s="323"/>
      <c r="AQ159" s="323"/>
      <c r="AR159" s="323"/>
      <c r="AS159" s="323"/>
      <c r="AT159" s="323"/>
      <c r="AU159" s="323"/>
      <c r="AV159" s="323"/>
      <c r="AW159" s="323"/>
      <c r="AX159" s="323"/>
      <c r="AY159" s="323"/>
      <c r="AZ159" s="323"/>
      <c r="BA159" s="323"/>
      <c r="BB159" s="323"/>
      <c r="BC159" s="323"/>
      <c r="BD159" s="323"/>
      <c r="BE159" s="323"/>
      <c r="BF159" s="323"/>
      <c r="BG159" s="323"/>
      <c r="BH159" s="323"/>
    </row>
    <row r="160" spans="2:60" ht="16.2" thickTop="1">
      <c r="B160" s="974" t="str">
        <f>B54</f>
        <v>Additive Manufacturing Printer</v>
      </c>
      <c r="C160" s="975"/>
      <c r="D160" s="323"/>
      <c r="E160" s="323"/>
      <c r="F160" s="323"/>
      <c r="G160" s="323"/>
      <c r="H160" s="323"/>
      <c r="I160" s="323"/>
      <c r="J160" s="323"/>
      <c r="K160" s="323"/>
      <c r="L160" s="323"/>
      <c r="M160" s="323"/>
      <c r="N160" s="323"/>
      <c r="O160" s="599"/>
      <c r="P160" s="323"/>
      <c r="Q160" s="323"/>
      <c r="R160" s="323"/>
      <c r="S160" s="323"/>
      <c r="T160" s="323"/>
      <c r="U160" s="323"/>
      <c r="V160" s="323"/>
      <c r="W160" s="323"/>
      <c r="X160" s="323"/>
      <c r="Y160" s="323"/>
      <c r="Z160" s="323"/>
      <c r="AA160" s="599"/>
      <c r="AB160" s="323"/>
      <c r="AC160" s="323"/>
      <c r="AD160" s="323"/>
      <c r="AE160" s="323"/>
      <c r="AF160" s="323"/>
      <c r="AG160" s="323"/>
      <c r="AH160" s="323"/>
      <c r="AI160" s="323"/>
      <c r="AJ160" s="323"/>
      <c r="AK160" s="323"/>
      <c r="AL160" s="323"/>
      <c r="AM160" s="323"/>
      <c r="AN160" s="323"/>
      <c r="AO160" s="323"/>
      <c r="AP160" s="323"/>
      <c r="AQ160" s="323"/>
      <c r="AR160" s="323"/>
      <c r="AS160" s="323"/>
      <c r="AT160" s="323"/>
      <c r="AU160" s="323"/>
      <c r="AV160" s="323"/>
      <c r="AW160" s="323"/>
      <c r="AX160" s="323"/>
      <c r="AY160" s="323"/>
      <c r="AZ160" s="323"/>
      <c r="BA160" s="323"/>
      <c r="BB160" s="323"/>
      <c r="BC160" s="323"/>
      <c r="BD160" s="323"/>
      <c r="BE160" s="323"/>
      <c r="BF160" s="323"/>
      <c r="BG160" s="323"/>
      <c r="BH160" s="323"/>
    </row>
    <row r="161" spans="2:60">
      <c r="B161" s="976" t="s">
        <v>112</v>
      </c>
      <c r="C161" s="977"/>
      <c r="D161" s="953">
        <v>0</v>
      </c>
      <c r="E161" s="956">
        <f>D165</f>
        <v>29000</v>
      </c>
      <c r="F161" s="956">
        <f t="shared" ref="F161" si="239">E165</f>
        <v>28000</v>
      </c>
      <c r="G161" s="956">
        <f t="shared" ref="G161" si="240">F165</f>
        <v>27000</v>
      </c>
      <c r="H161" s="956">
        <f t="shared" ref="H161" si="241">G165</f>
        <v>26000</v>
      </c>
      <c r="I161" s="956">
        <f t="shared" ref="I161" si="242">H165</f>
        <v>25000</v>
      </c>
      <c r="J161" s="956">
        <f t="shared" ref="J161" si="243">I165</f>
        <v>24000</v>
      </c>
      <c r="K161" s="956">
        <f t="shared" ref="K161" si="244">J165</f>
        <v>23000</v>
      </c>
      <c r="L161" s="956">
        <f t="shared" ref="L161" si="245">K165</f>
        <v>22000</v>
      </c>
      <c r="M161" s="956">
        <f t="shared" ref="M161" si="246">L165</f>
        <v>21000</v>
      </c>
      <c r="N161" s="956">
        <f t="shared" ref="N161" si="247">M165</f>
        <v>20000</v>
      </c>
      <c r="O161" s="957">
        <f t="shared" ref="O161" si="248">N165</f>
        <v>19000</v>
      </c>
      <c r="P161" s="956">
        <f t="shared" ref="P161" si="249">O165</f>
        <v>18000</v>
      </c>
      <c r="Q161" s="956">
        <f t="shared" ref="Q161" si="250">P165</f>
        <v>46000</v>
      </c>
      <c r="R161" s="956">
        <f t="shared" ref="R161" si="251">Q165</f>
        <v>44000</v>
      </c>
      <c r="S161" s="956">
        <f t="shared" ref="S161" si="252">R165</f>
        <v>42000</v>
      </c>
      <c r="T161" s="956">
        <f t="shared" ref="T161" si="253">S165</f>
        <v>40000</v>
      </c>
      <c r="U161" s="956">
        <f t="shared" ref="U161" si="254">T165</f>
        <v>38000</v>
      </c>
      <c r="V161" s="956">
        <f t="shared" ref="V161" si="255">U165</f>
        <v>36000</v>
      </c>
      <c r="W161" s="956">
        <f t="shared" ref="W161" si="256">V165</f>
        <v>34000</v>
      </c>
      <c r="X161" s="956">
        <f t="shared" ref="X161" si="257">W165</f>
        <v>32000</v>
      </c>
      <c r="Y161" s="956">
        <f t="shared" ref="Y161" si="258">X165</f>
        <v>30000</v>
      </c>
      <c r="Z161" s="956">
        <f t="shared" ref="Z161" si="259">Y165</f>
        <v>28000</v>
      </c>
      <c r="AA161" s="957">
        <f t="shared" ref="AA161" si="260">Z165</f>
        <v>26000</v>
      </c>
      <c r="AB161" s="956">
        <f t="shared" ref="AB161" si="261">AA165</f>
        <v>24000</v>
      </c>
      <c r="AC161" s="956">
        <f t="shared" ref="AC161" si="262">AB165</f>
        <v>80000</v>
      </c>
      <c r="AD161" s="956">
        <f t="shared" ref="AD161" si="263">AC165</f>
        <v>76000</v>
      </c>
      <c r="AE161" s="956">
        <f t="shared" ref="AE161" si="264">AD165</f>
        <v>72000</v>
      </c>
      <c r="AF161" s="956">
        <f t="shared" ref="AF161" si="265">AE165</f>
        <v>68000</v>
      </c>
      <c r="AG161" s="956">
        <f t="shared" ref="AG161" si="266">AF165</f>
        <v>64000</v>
      </c>
      <c r="AH161" s="956">
        <f t="shared" ref="AH161" si="267">AG165</f>
        <v>60000</v>
      </c>
      <c r="AI161" s="956">
        <f t="shared" ref="AI161" si="268">AH165</f>
        <v>56000</v>
      </c>
      <c r="AJ161" s="956">
        <f t="shared" ref="AJ161" si="269">AI165</f>
        <v>52000</v>
      </c>
      <c r="AK161" s="956">
        <f t="shared" ref="AK161" si="270">AJ165</f>
        <v>48000</v>
      </c>
      <c r="AL161" s="956">
        <f t="shared" ref="AL161" si="271">AK165</f>
        <v>44000</v>
      </c>
      <c r="AM161" s="956">
        <f t="shared" ref="AM161" si="272">AL165</f>
        <v>40000</v>
      </c>
      <c r="AN161" s="323"/>
      <c r="AO161" s="323"/>
      <c r="AP161" s="323"/>
      <c r="AQ161" s="323"/>
      <c r="AR161" s="323"/>
      <c r="AS161" s="323"/>
      <c r="AT161" s="323"/>
      <c r="AU161" s="323"/>
      <c r="AV161" s="323"/>
      <c r="AW161" s="323"/>
      <c r="AX161" s="323"/>
      <c r="AY161" s="323"/>
      <c r="AZ161" s="323"/>
      <c r="BA161" s="323"/>
      <c r="BB161" s="323"/>
      <c r="BC161" s="323"/>
      <c r="BD161" s="323"/>
      <c r="BE161" s="323"/>
      <c r="BF161" s="323"/>
      <c r="BG161" s="323"/>
      <c r="BH161" s="323"/>
    </row>
    <row r="162" spans="2:60">
      <c r="B162" s="976" t="s">
        <v>265</v>
      </c>
      <c r="C162" s="977"/>
      <c r="D162" s="956">
        <f>G54</f>
        <v>30000</v>
      </c>
      <c r="E162" s="956"/>
      <c r="F162" s="956"/>
      <c r="G162" s="956"/>
      <c r="H162" s="956"/>
      <c r="I162" s="956"/>
      <c r="J162" s="956"/>
      <c r="K162" s="956"/>
      <c r="L162" s="956"/>
      <c r="M162" s="956"/>
      <c r="N162" s="956"/>
      <c r="O162" s="957"/>
      <c r="P162" s="956">
        <f>H54</f>
        <v>30000</v>
      </c>
      <c r="Q162" s="956"/>
      <c r="R162" s="956"/>
      <c r="S162" s="956"/>
      <c r="T162" s="956"/>
      <c r="U162" s="956"/>
      <c r="V162" s="956"/>
      <c r="W162" s="956"/>
      <c r="X162" s="956"/>
      <c r="Y162" s="956"/>
      <c r="Z162" s="956"/>
      <c r="AA162" s="957"/>
      <c r="AB162" s="956">
        <f>$I$54</f>
        <v>60000</v>
      </c>
      <c r="AC162" s="956"/>
      <c r="AD162" s="956"/>
      <c r="AE162" s="956"/>
      <c r="AF162" s="956"/>
      <c r="AG162" s="956"/>
      <c r="AH162" s="956"/>
      <c r="AI162" s="956"/>
      <c r="AJ162" s="956"/>
      <c r="AK162" s="956"/>
      <c r="AL162" s="956"/>
      <c r="AM162" s="956"/>
      <c r="AN162" s="323"/>
      <c r="AO162" s="323"/>
      <c r="AP162" s="323"/>
      <c r="AQ162" s="323"/>
      <c r="AR162" s="323"/>
      <c r="AS162" s="323"/>
      <c r="AT162" s="323"/>
      <c r="AU162" s="323"/>
      <c r="AV162" s="323"/>
      <c r="AW162" s="323"/>
      <c r="AX162" s="323"/>
      <c r="AY162" s="323"/>
      <c r="AZ162" s="323"/>
      <c r="BA162" s="323"/>
      <c r="BB162" s="323"/>
      <c r="BC162" s="323"/>
      <c r="BD162" s="323"/>
      <c r="BE162" s="323"/>
      <c r="BF162" s="323"/>
      <c r="BG162" s="323"/>
      <c r="BH162" s="323"/>
    </row>
    <row r="163" spans="2:60">
      <c r="B163" s="976" t="s">
        <v>110</v>
      </c>
      <c r="C163" s="977"/>
      <c r="D163" s="956">
        <f>SUM(D161:D162)</f>
        <v>30000</v>
      </c>
      <c r="E163" s="956">
        <f t="shared" ref="E163:AM163" si="273">SUM(E161:E162)</f>
        <v>29000</v>
      </c>
      <c r="F163" s="956">
        <f t="shared" si="273"/>
        <v>28000</v>
      </c>
      <c r="G163" s="956">
        <f t="shared" si="273"/>
        <v>27000</v>
      </c>
      <c r="H163" s="956">
        <f t="shared" si="273"/>
        <v>26000</v>
      </c>
      <c r="I163" s="956">
        <f t="shared" si="273"/>
        <v>25000</v>
      </c>
      <c r="J163" s="956">
        <f t="shared" si="273"/>
        <v>24000</v>
      </c>
      <c r="K163" s="956">
        <f t="shared" si="273"/>
        <v>23000</v>
      </c>
      <c r="L163" s="956">
        <f t="shared" si="273"/>
        <v>22000</v>
      </c>
      <c r="M163" s="956">
        <f t="shared" si="273"/>
        <v>21000</v>
      </c>
      <c r="N163" s="956">
        <f t="shared" si="273"/>
        <v>20000</v>
      </c>
      <c r="O163" s="957">
        <f t="shared" si="273"/>
        <v>19000</v>
      </c>
      <c r="P163" s="956">
        <f t="shared" si="273"/>
        <v>48000</v>
      </c>
      <c r="Q163" s="956">
        <f t="shared" si="273"/>
        <v>46000</v>
      </c>
      <c r="R163" s="956">
        <f t="shared" si="273"/>
        <v>44000</v>
      </c>
      <c r="S163" s="956">
        <f t="shared" si="273"/>
        <v>42000</v>
      </c>
      <c r="T163" s="956">
        <f t="shared" si="273"/>
        <v>40000</v>
      </c>
      <c r="U163" s="956">
        <f t="shared" si="273"/>
        <v>38000</v>
      </c>
      <c r="V163" s="956">
        <f t="shared" si="273"/>
        <v>36000</v>
      </c>
      <c r="W163" s="956">
        <f t="shared" si="273"/>
        <v>34000</v>
      </c>
      <c r="X163" s="956">
        <f t="shared" si="273"/>
        <v>32000</v>
      </c>
      <c r="Y163" s="956">
        <f t="shared" si="273"/>
        <v>30000</v>
      </c>
      <c r="Z163" s="956">
        <f t="shared" si="273"/>
        <v>28000</v>
      </c>
      <c r="AA163" s="957">
        <f t="shared" si="273"/>
        <v>26000</v>
      </c>
      <c r="AB163" s="956">
        <f>SUM(AB161:AB162)</f>
        <v>84000</v>
      </c>
      <c r="AC163" s="956">
        <f t="shared" si="273"/>
        <v>80000</v>
      </c>
      <c r="AD163" s="956">
        <f t="shared" si="273"/>
        <v>76000</v>
      </c>
      <c r="AE163" s="956">
        <f t="shared" si="273"/>
        <v>72000</v>
      </c>
      <c r="AF163" s="956">
        <f t="shared" si="273"/>
        <v>68000</v>
      </c>
      <c r="AG163" s="956">
        <f t="shared" si="273"/>
        <v>64000</v>
      </c>
      <c r="AH163" s="956">
        <f t="shared" si="273"/>
        <v>60000</v>
      </c>
      <c r="AI163" s="956">
        <f t="shared" si="273"/>
        <v>56000</v>
      </c>
      <c r="AJ163" s="956">
        <f t="shared" si="273"/>
        <v>52000</v>
      </c>
      <c r="AK163" s="956">
        <f t="shared" si="273"/>
        <v>48000</v>
      </c>
      <c r="AL163" s="956">
        <f t="shared" si="273"/>
        <v>44000</v>
      </c>
      <c r="AM163" s="956">
        <f t="shared" si="273"/>
        <v>40000</v>
      </c>
      <c r="AN163" s="323"/>
      <c r="AO163" s="323"/>
      <c r="AP163" s="323"/>
      <c r="AQ163" s="323"/>
      <c r="AR163" s="323"/>
      <c r="AS163" s="323"/>
      <c r="AT163" s="323"/>
      <c r="AU163" s="323"/>
      <c r="AV163" s="323"/>
      <c r="AW163" s="323"/>
      <c r="AX163" s="323"/>
      <c r="AY163" s="323"/>
      <c r="AZ163" s="323"/>
      <c r="BA163" s="323"/>
      <c r="BB163" s="323"/>
      <c r="BC163" s="323"/>
      <c r="BD163" s="323"/>
      <c r="BE163" s="323"/>
      <c r="BF163" s="323"/>
      <c r="BG163" s="323"/>
      <c r="BH163" s="323"/>
    </row>
    <row r="164" spans="2:60">
      <c r="B164" s="976" t="s">
        <v>57</v>
      </c>
      <c r="C164" s="977"/>
      <c r="D164" s="956">
        <f t="shared" ref="D164:O164" si="274">(-$D$162*$L$54/12)</f>
        <v>-1000</v>
      </c>
      <c r="E164" s="956">
        <f t="shared" si="274"/>
        <v>-1000</v>
      </c>
      <c r="F164" s="956">
        <f t="shared" si="274"/>
        <v>-1000</v>
      </c>
      <c r="G164" s="956">
        <f t="shared" si="274"/>
        <v>-1000</v>
      </c>
      <c r="H164" s="956">
        <f t="shared" si="274"/>
        <v>-1000</v>
      </c>
      <c r="I164" s="956">
        <f t="shared" si="274"/>
        <v>-1000</v>
      </c>
      <c r="J164" s="956">
        <f t="shared" si="274"/>
        <v>-1000</v>
      </c>
      <c r="K164" s="956">
        <f t="shared" si="274"/>
        <v>-1000</v>
      </c>
      <c r="L164" s="956">
        <f t="shared" si="274"/>
        <v>-1000</v>
      </c>
      <c r="M164" s="956">
        <f t="shared" si="274"/>
        <v>-1000</v>
      </c>
      <c r="N164" s="956">
        <f t="shared" si="274"/>
        <v>-1000</v>
      </c>
      <c r="O164" s="956">
        <f t="shared" si="274"/>
        <v>-1000</v>
      </c>
      <c r="P164" s="956">
        <f t="shared" ref="P164:AA164" si="275">(-$D$162*$L$54/12)-($H$54*$L$54/12)</f>
        <v>-2000</v>
      </c>
      <c r="Q164" s="956">
        <f t="shared" si="275"/>
        <v>-2000</v>
      </c>
      <c r="R164" s="956">
        <f t="shared" si="275"/>
        <v>-2000</v>
      </c>
      <c r="S164" s="956">
        <f t="shared" si="275"/>
        <v>-2000</v>
      </c>
      <c r="T164" s="956">
        <f t="shared" si="275"/>
        <v>-2000</v>
      </c>
      <c r="U164" s="956">
        <f t="shared" si="275"/>
        <v>-2000</v>
      </c>
      <c r="V164" s="956">
        <f t="shared" si="275"/>
        <v>-2000</v>
      </c>
      <c r="W164" s="956">
        <f t="shared" si="275"/>
        <v>-2000</v>
      </c>
      <c r="X164" s="956">
        <f t="shared" si="275"/>
        <v>-2000</v>
      </c>
      <c r="Y164" s="956">
        <f t="shared" si="275"/>
        <v>-2000</v>
      </c>
      <c r="Z164" s="956">
        <f t="shared" si="275"/>
        <v>-2000</v>
      </c>
      <c r="AA164" s="956">
        <f t="shared" si="275"/>
        <v>-2000</v>
      </c>
      <c r="AB164" s="956">
        <f t="shared" ref="AB164:AM164" si="276">(-$D$162*$L$54/12)-($H$54*$L$54/12)-($I$54*$L$54/12)</f>
        <v>-4000</v>
      </c>
      <c r="AC164" s="956">
        <f t="shared" si="276"/>
        <v>-4000</v>
      </c>
      <c r="AD164" s="956">
        <f t="shared" si="276"/>
        <v>-4000</v>
      </c>
      <c r="AE164" s="956">
        <f t="shared" si="276"/>
        <v>-4000</v>
      </c>
      <c r="AF164" s="956">
        <f t="shared" si="276"/>
        <v>-4000</v>
      </c>
      <c r="AG164" s="956">
        <f t="shared" si="276"/>
        <v>-4000</v>
      </c>
      <c r="AH164" s="956">
        <f t="shared" si="276"/>
        <v>-4000</v>
      </c>
      <c r="AI164" s="956">
        <f t="shared" si="276"/>
        <v>-4000</v>
      </c>
      <c r="AJ164" s="956">
        <f t="shared" si="276"/>
        <v>-4000</v>
      </c>
      <c r="AK164" s="956">
        <f t="shared" si="276"/>
        <v>-4000</v>
      </c>
      <c r="AL164" s="956">
        <f t="shared" si="276"/>
        <v>-4000</v>
      </c>
      <c r="AM164" s="956">
        <f t="shared" si="276"/>
        <v>-4000</v>
      </c>
      <c r="AN164" s="323"/>
      <c r="AO164" s="323"/>
      <c r="AP164" s="323"/>
      <c r="AQ164" s="323"/>
      <c r="AR164" s="323"/>
      <c r="AS164" s="323"/>
      <c r="AT164" s="323"/>
      <c r="AU164" s="323"/>
      <c r="AV164" s="323"/>
      <c r="AW164" s="323"/>
      <c r="AX164" s="323"/>
      <c r="AY164" s="323"/>
      <c r="AZ164" s="323"/>
      <c r="BA164" s="323"/>
      <c r="BB164" s="323"/>
      <c r="BC164" s="323"/>
      <c r="BD164" s="323"/>
      <c r="BE164" s="323"/>
      <c r="BF164" s="323"/>
      <c r="BG164" s="323"/>
      <c r="BH164" s="323"/>
    </row>
    <row r="165" spans="2:60" ht="16.2" thickBot="1">
      <c r="B165" s="982" t="s">
        <v>255</v>
      </c>
      <c r="C165" s="983"/>
      <c r="D165" s="956">
        <f>SUM(D163:D164)</f>
        <v>29000</v>
      </c>
      <c r="E165" s="956">
        <f t="shared" ref="E165:AM165" si="277">SUM(E163:E164)</f>
        <v>28000</v>
      </c>
      <c r="F165" s="956">
        <f t="shared" si="277"/>
        <v>27000</v>
      </c>
      <c r="G165" s="956">
        <f t="shared" si="277"/>
        <v>26000</v>
      </c>
      <c r="H165" s="956">
        <f t="shared" si="277"/>
        <v>25000</v>
      </c>
      <c r="I165" s="956">
        <f t="shared" si="277"/>
        <v>24000</v>
      </c>
      <c r="J165" s="956">
        <f t="shared" si="277"/>
        <v>23000</v>
      </c>
      <c r="K165" s="956">
        <f t="shared" si="277"/>
        <v>22000</v>
      </c>
      <c r="L165" s="956">
        <f t="shared" si="277"/>
        <v>21000</v>
      </c>
      <c r="M165" s="956">
        <f t="shared" si="277"/>
        <v>20000</v>
      </c>
      <c r="N165" s="956">
        <f t="shared" si="277"/>
        <v>19000</v>
      </c>
      <c r="O165" s="957">
        <f t="shared" si="277"/>
        <v>18000</v>
      </c>
      <c r="P165" s="956">
        <f t="shared" si="277"/>
        <v>46000</v>
      </c>
      <c r="Q165" s="956">
        <f t="shared" si="277"/>
        <v>44000</v>
      </c>
      <c r="R165" s="956">
        <f t="shared" si="277"/>
        <v>42000</v>
      </c>
      <c r="S165" s="956">
        <f t="shared" si="277"/>
        <v>40000</v>
      </c>
      <c r="T165" s="956">
        <f t="shared" si="277"/>
        <v>38000</v>
      </c>
      <c r="U165" s="956">
        <f t="shared" si="277"/>
        <v>36000</v>
      </c>
      <c r="V165" s="956">
        <f t="shared" si="277"/>
        <v>34000</v>
      </c>
      <c r="W165" s="956">
        <f t="shared" si="277"/>
        <v>32000</v>
      </c>
      <c r="X165" s="956">
        <f t="shared" si="277"/>
        <v>30000</v>
      </c>
      <c r="Y165" s="956">
        <f t="shared" si="277"/>
        <v>28000</v>
      </c>
      <c r="Z165" s="956">
        <f t="shared" si="277"/>
        <v>26000</v>
      </c>
      <c r="AA165" s="957">
        <f t="shared" si="277"/>
        <v>24000</v>
      </c>
      <c r="AB165" s="956">
        <f t="shared" si="277"/>
        <v>80000</v>
      </c>
      <c r="AC165" s="956">
        <f t="shared" si="277"/>
        <v>76000</v>
      </c>
      <c r="AD165" s="956">
        <f t="shared" si="277"/>
        <v>72000</v>
      </c>
      <c r="AE165" s="956">
        <f t="shared" si="277"/>
        <v>68000</v>
      </c>
      <c r="AF165" s="956">
        <f t="shared" si="277"/>
        <v>64000</v>
      </c>
      <c r="AG165" s="956">
        <f t="shared" si="277"/>
        <v>60000</v>
      </c>
      <c r="AH165" s="956">
        <f t="shared" si="277"/>
        <v>56000</v>
      </c>
      <c r="AI165" s="956">
        <f t="shared" si="277"/>
        <v>52000</v>
      </c>
      <c r="AJ165" s="956">
        <f t="shared" si="277"/>
        <v>48000</v>
      </c>
      <c r="AK165" s="956">
        <f t="shared" si="277"/>
        <v>44000</v>
      </c>
      <c r="AL165" s="956">
        <f t="shared" si="277"/>
        <v>40000</v>
      </c>
      <c r="AM165" s="956">
        <f t="shared" si="277"/>
        <v>36000</v>
      </c>
      <c r="AN165" s="323"/>
      <c r="AO165" s="323"/>
      <c r="AP165" s="323"/>
      <c r="AQ165" s="323"/>
      <c r="AR165" s="323"/>
      <c r="AS165" s="323"/>
      <c r="AT165" s="323"/>
      <c r="AU165" s="323"/>
      <c r="AV165" s="323"/>
      <c r="AW165" s="323"/>
      <c r="AX165" s="323"/>
      <c r="AY165" s="323"/>
      <c r="AZ165" s="323"/>
      <c r="BA165" s="323"/>
      <c r="BB165" s="323"/>
      <c r="BC165" s="323"/>
      <c r="BD165" s="323"/>
      <c r="BE165" s="323"/>
      <c r="BF165" s="323"/>
      <c r="BG165" s="323"/>
      <c r="BH165" s="323"/>
    </row>
    <row r="166" spans="2:60" ht="16.8" thickTop="1" thickBot="1">
      <c r="B166" s="639"/>
      <c r="D166" s="323"/>
      <c r="E166" s="323"/>
      <c r="F166" s="323"/>
      <c r="G166" s="323"/>
      <c r="H166" s="323"/>
      <c r="I166" s="323"/>
      <c r="J166" s="323"/>
      <c r="K166" s="323"/>
      <c r="L166" s="323"/>
      <c r="M166" s="323"/>
      <c r="N166" s="323"/>
      <c r="O166" s="599"/>
      <c r="P166" s="323"/>
      <c r="Q166" s="323"/>
      <c r="R166" s="323"/>
      <c r="S166" s="323"/>
      <c r="T166" s="323"/>
      <c r="U166" s="323"/>
      <c r="V166" s="323"/>
      <c r="W166" s="323"/>
      <c r="X166" s="323"/>
      <c r="Y166" s="323"/>
      <c r="Z166" s="323"/>
      <c r="AA166" s="599"/>
      <c r="AB166" s="323"/>
      <c r="AC166" s="323"/>
      <c r="AD166" s="323"/>
      <c r="AE166" s="323"/>
      <c r="AF166" s="323"/>
      <c r="AG166" s="323"/>
      <c r="AH166" s="323"/>
      <c r="AI166" s="323"/>
      <c r="AJ166" s="323"/>
      <c r="AK166" s="323"/>
      <c r="AL166" s="323"/>
      <c r="AM166" s="323"/>
      <c r="AN166" s="323"/>
      <c r="AO166" s="323"/>
      <c r="AP166" s="323"/>
      <c r="AQ166" s="323"/>
      <c r="AR166" s="323"/>
      <c r="AS166" s="323"/>
      <c r="AT166" s="323"/>
      <c r="AU166" s="323"/>
      <c r="AV166" s="323"/>
      <c r="AW166" s="323"/>
      <c r="AX166" s="323"/>
      <c r="AY166" s="323"/>
      <c r="AZ166" s="323"/>
      <c r="BA166" s="323"/>
      <c r="BB166" s="323"/>
      <c r="BC166" s="323"/>
      <c r="BD166" s="323"/>
      <c r="BE166" s="323"/>
      <c r="BF166" s="323"/>
      <c r="BG166" s="323"/>
      <c r="BH166" s="323"/>
    </row>
    <row r="167" spans="2:60" ht="16.2" thickTop="1">
      <c r="B167" s="974" t="str">
        <f>B55</f>
        <v>Office Desks</v>
      </c>
      <c r="C167" s="975"/>
      <c r="D167" s="323"/>
      <c r="E167" s="323"/>
      <c r="F167" s="323"/>
      <c r="G167" s="323"/>
      <c r="H167" s="323"/>
      <c r="I167" s="323"/>
      <c r="J167" s="323"/>
      <c r="K167" s="323"/>
      <c r="L167" s="323"/>
      <c r="M167" s="323"/>
      <c r="N167" s="323"/>
      <c r="O167" s="599"/>
      <c r="P167" s="323"/>
      <c r="Q167" s="323"/>
      <c r="R167" s="323"/>
      <c r="S167" s="323"/>
      <c r="T167" s="323"/>
      <c r="U167" s="323"/>
      <c r="V167" s="323"/>
      <c r="W167" s="323"/>
      <c r="X167" s="323"/>
      <c r="Y167" s="323"/>
      <c r="Z167" s="323"/>
      <c r="AA167" s="599"/>
      <c r="AB167" s="323"/>
      <c r="AC167" s="323"/>
      <c r="AD167" s="323"/>
      <c r="AE167" s="323"/>
      <c r="AF167" s="323"/>
      <c r="AG167" s="323"/>
      <c r="AH167" s="323"/>
      <c r="AI167" s="323"/>
      <c r="AJ167" s="323"/>
      <c r="AK167" s="323"/>
      <c r="AL167" s="323"/>
      <c r="AM167" s="323"/>
      <c r="AN167" s="323"/>
      <c r="AO167" s="323"/>
      <c r="AP167" s="323"/>
      <c r="AQ167" s="323"/>
      <c r="AR167" s="323"/>
      <c r="AS167" s="323"/>
      <c r="AT167" s="323"/>
      <c r="AU167" s="323"/>
      <c r="AV167" s="323"/>
      <c r="AW167" s="323"/>
      <c r="AX167" s="323"/>
      <c r="AY167" s="323"/>
      <c r="AZ167" s="323"/>
      <c r="BA167" s="323"/>
      <c r="BB167" s="323"/>
      <c r="BC167" s="323"/>
      <c r="BD167" s="323"/>
      <c r="BE167" s="323"/>
      <c r="BF167" s="323"/>
      <c r="BG167" s="323"/>
      <c r="BH167" s="323"/>
    </row>
    <row r="168" spans="2:60">
      <c r="B168" s="976" t="s">
        <v>112</v>
      </c>
      <c r="C168" s="977"/>
      <c r="D168" s="953">
        <v>0</v>
      </c>
      <c r="E168" s="956">
        <f>D172</f>
        <v>1175</v>
      </c>
      <c r="F168" s="956">
        <f t="shared" ref="F168" si="278">E172</f>
        <v>1150</v>
      </c>
      <c r="G168" s="956">
        <f t="shared" ref="G168" si="279">F172</f>
        <v>1125</v>
      </c>
      <c r="H168" s="956">
        <f t="shared" ref="H168" si="280">G172</f>
        <v>1100</v>
      </c>
      <c r="I168" s="956">
        <f t="shared" ref="I168" si="281">H172</f>
        <v>1075</v>
      </c>
      <c r="J168" s="956">
        <f t="shared" ref="J168" si="282">I172</f>
        <v>1050</v>
      </c>
      <c r="K168" s="956">
        <f t="shared" ref="K168" si="283">J172</f>
        <v>1025</v>
      </c>
      <c r="L168" s="956">
        <f t="shared" ref="L168" si="284">K172</f>
        <v>1000</v>
      </c>
      <c r="M168" s="956">
        <f t="shared" ref="M168" si="285">L172</f>
        <v>975</v>
      </c>
      <c r="N168" s="956">
        <f t="shared" ref="N168" si="286">M172</f>
        <v>950</v>
      </c>
      <c r="O168" s="957">
        <f t="shared" ref="O168" si="287">N172</f>
        <v>925</v>
      </c>
      <c r="P168" s="956">
        <f t="shared" ref="P168" si="288">O172</f>
        <v>900</v>
      </c>
      <c r="Q168" s="956">
        <f t="shared" ref="Q168" si="289">P172</f>
        <v>972.91666666666663</v>
      </c>
      <c r="R168" s="956">
        <f t="shared" ref="R168" si="290">Q172</f>
        <v>945.83333333333326</v>
      </c>
      <c r="S168" s="956">
        <f t="shared" ref="S168" si="291">R172</f>
        <v>918.74999999999989</v>
      </c>
      <c r="T168" s="956">
        <f t="shared" ref="T168" si="292">S172</f>
        <v>891.66666666666652</v>
      </c>
      <c r="U168" s="956">
        <f t="shared" ref="U168" si="293">T172</f>
        <v>864.58333333333314</v>
      </c>
      <c r="V168" s="956">
        <f t="shared" ref="V168" si="294">U172</f>
        <v>837.49999999999977</v>
      </c>
      <c r="W168" s="956">
        <f t="shared" ref="W168" si="295">V172</f>
        <v>810.4166666666664</v>
      </c>
      <c r="X168" s="956">
        <f t="shared" ref="X168" si="296">W172</f>
        <v>783.33333333333303</v>
      </c>
      <c r="Y168" s="956">
        <f t="shared" ref="Y168" si="297">X172</f>
        <v>756.24999999999966</v>
      </c>
      <c r="Z168" s="956">
        <f t="shared" ref="Z168" si="298">Y172</f>
        <v>729.16666666666629</v>
      </c>
      <c r="AA168" s="957">
        <f t="shared" ref="AA168" si="299">Z172</f>
        <v>702.08333333333292</v>
      </c>
      <c r="AB168" s="956">
        <f t="shared" ref="AB168" si="300">AA172</f>
        <v>674.99999999999955</v>
      </c>
      <c r="AC168" s="956">
        <f t="shared" ref="AC168" si="301">AB172</f>
        <v>1627.0833333333328</v>
      </c>
      <c r="AD168" s="956">
        <f t="shared" ref="AD168" si="302">AC172</f>
        <v>1579.1666666666661</v>
      </c>
      <c r="AE168" s="956">
        <f t="shared" ref="AE168" si="303">AD172</f>
        <v>1531.2499999999993</v>
      </c>
      <c r="AF168" s="956">
        <f t="shared" ref="AF168" si="304">AE172</f>
        <v>1483.3333333333326</v>
      </c>
      <c r="AG168" s="956">
        <f t="shared" ref="AG168" si="305">AF172</f>
        <v>1435.4166666666658</v>
      </c>
      <c r="AH168" s="956">
        <f t="shared" ref="AH168" si="306">AG172</f>
        <v>1387.4999999999991</v>
      </c>
      <c r="AI168" s="956">
        <f t="shared" ref="AI168" si="307">AH172</f>
        <v>1339.5833333333323</v>
      </c>
      <c r="AJ168" s="956">
        <f t="shared" ref="AJ168" si="308">AI172</f>
        <v>1291.6666666666656</v>
      </c>
      <c r="AK168" s="956">
        <f t="shared" ref="AK168" si="309">AJ172</f>
        <v>1243.7499999999989</v>
      </c>
      <c r="AL168" s="956">
        <f t="shared" ref="AL168" si="310">AK172</f>
        <v>1195.8333333333321</v>
      </c>
      <c r="AM168" s="956">
        <f t="shared" ref="AM168" si="311">AL172</f>
        <v>1147.9166666666654</v>
      </c>
      <c r="AN168" s="323"/>
      <c r="AO168" s="323"/>
      <c r="AP168" s="323"/>
      <c r="AQ168" s="323"/>
      <c r="AR168" s="323"/>
      <c r="AS168" s="323"/>
      <c r="AT168" s="323"/>
      <c r="AU168" s="323"/>
      <c r="AV168" s="323"/>
      <c r="AW168" s="323"/>
      <c r="AX168" s="323"/>
      <c r="AY168" s="323"/>
      <c r="AZ168" s="323"/>
      <c r="BA168" s="323"/>
      <c r="BB168" s="323"/>
      <c r="BC168" s="323"/>
      <c r="BD168" s="323"/>
      <c r="BE168" s="323"/>
      <c r="BF168" s="323"/>
      <c r="BG168" s="323"/>
      <c r="BH168" s="323"/>
    </row>
    <row r="169" spans="2:60">
      <c r="B169" s="976" t="s">
        <v>265</v>
      </c>
      <c r="C169" s="977"/>
      <c r="D169" s="956">
        <f>G55</f>
        <v>1200</v>
      </c>
      <c r="E169" s="956"/>
      <c r="F169" s="956"/>
      <c r="G169" s="956"/>
      <c r="H169" s="956"/>
      <c r="I169" s="956"/>
      <c r="J169" s="956"/>
      <c r="K169" s="956"/>
      <c r="L169" s="956"/>
      <c r="M169" s="956"/>
      <c r="N169" s="956"/>
      <c r="O169" s="957"/>
      <c r="P169" s="956">
        <f>H55</f>
        <v>100</v>
      </c>
      <c r="Q169" s="956"/>
      <c r="R169" s="956"/>
      <c r="S169" s="956"/>
      <c r="T169" s="956"/>
      <c r="U169" s="956"/>
      <c r="V169" s="956"/>
      <c r="W169" s="956"/>
      <c r="X169" s="956"/>
      <c r="Y169" s="956"/>
      <c r="Z169" s="956"/>
      <c r="AA169" s="957"/>
      <c r="AB169" s="956">
        <f>I55</f>
        <v>1000</v>
      </c>
      <c r="AC169" s="956"/>
      <c r="AD169" s="956"/>
      <c r="AE169" s="956"/>
      <c r="AF169" s="956"/>
      <c r="AG169" s="956"/>
      <c r="AH169" s="956"/>
      <c r="AI169" s="956"/>
      <c r="AJ169" s="956"/>
      <c r="AK169" s="956"/>
      <c r="AL169" s="956"/>
      <c r="AM169" s="956"/>
      <c r="AN169" s="323"/>
      <c r="AO169" s="323"/>
      <c r="AP169" s="323"/>
      <c r="AQ169" s="323"/>
      <c r="AR169" s="323"/>
      <c r="AS169" s="323"/>
      <c r="AT169" s="323"/>
      <c r="AU169" s="323"/>
      <c r="AV169" s="323"/>
      <c r="AW169" s="323"/>
      <c r="AX169" s="323"/>
      <c r="AY169" s="323"/>
      <c r="AZ169" s="323"/>
      <c r="BA169" s="323"/>
      <c r="BB169" s="323"/>
      <c r="BC169" s="323"/>
      <c r="BD169" s="323"/>
      <c r="BE169" s="323"/>
      <c r="BF169" s="323"/>
      <c r="BG169" s="323"/>
      <c r="BH169" s="323"/>
    </row>
    <row r="170" spans="2:60">
      <c r="B170" s="976" t="s">
        <v>110</v>
      </c>
      <c r="C170" s="977"/>
      <c r="D170" s="956">
        <f>SUM(D168:D169)</f>
        <v>1200</v>
      </c>
      <c r="E170" s="956">
        <f t="shared" ref="E170:AM170" si="312">SUM(E168:E169)</f>
        <v>1175</v>
      </c>
      <c r="F170" s="956">
        <f t="shared" si="312"/>
        <v>1150</v>
      </c>
      <c r="G170" s="956">
        <f t="shared" si="312"/>
        <v>1125</v>
      </c>
      <c r="H170" s="956">
        <f t="shared" si="312"/>
        <v>1100</v>
      </c>
      <c r="I170" s="956">
        <f t="shared" si="312"/>
        <v>1075</v>
      </c>
      <c r="J170" s="956">
        <f t="shared" si="312"/>
        <v>1050</v>
      </c>
      <c r="K170" s="956">
        <f t="shared" si="312"/>
        <v>1025</v>
      </c>
      <c r="L170" s="956">
        <f t="shared" si="312"/>
        <v>1000</v>
      </c>
      <c r="M170" s="956">
        <f t="shared" si="312"/>
        <v>975</v>
      </c>
      <c r="N170" s="956">
        <f t="shared" si="312"/>
        <v>950</v>
      </c>
      <c r="O170" s="957">
        <f t="shared" si="312"/>
        <v>925</v>
      </c>
      <c r="P170" s="956">
        <f t="shared" si="312"/>
        <v>1000</v>
      </c>
      <c r="Q170" s="956">
        <f t="shared" si="312"/>
        <v>972.91666666666663</v>
      </c>
      <c r="R170" s="956">
        <f t="shared" si="312"/>
        <v>945.83333333333326</v>
      </c>
      <c r="S170" s="956">
        <f t="shared" si="312"/>
        <v>918.74999999999989</v>
      </c>
      <c r="T170" s="956">
        <f t="shared" si="312"/>
        <v>891.66666666666652</v>
      </c>
      <c r="U170" s="956">
        <f t="shared" si="312"/>
        <v>864.58333333333314</v>
      </c>
      <c r="V170" s="956">
        <f t="shared" si="312"/>
        <v>837.49999999999977</v>
      </c>
      <c r="W170" s="956">
        <f t="shared" si="312"/>
        <v>810.4166666666664</v>
      </c>
      <c r="X170" s="956">
        <f t="shared" si="312"/>
        <v>783.33333333333303</v>
      </c>
      <c r="Y170" s="956">
        <f t="shared" si="312"/>
        <v>756.24999999999966</v>
      </c>
      <c r="Z170" s="956">
        <f t="shared" si="312"/>
        <v>729.16666666666629</v>
      </c>
      <c r="AA170" s="957">
        <f t="shared" si="312"/>
        <v>702.08333333333292</v>
      </c>
      <c r="AB170" s="956">
        <f t="shared" si="312"/>
        <v>1674.9999999999995</v>
      </c>
      <c r="AC170" s="956">
        <f t="shared" si="312"/>
        <v>1627.0833333333328</v>
      </c>
      <c r="AD170" s="956">
        <f t="shared" si="312"/>
        <v>1579.1666666666661</v>
      </c>
      <c r="AE170" s="956">
        <f t="shared" si="312"/>
        <v>1531.2499999999993</v>
      </c>
      <c r="AF170" s="956">
        <f t="shared" si="312"/>
        <v>1483.3333333333326</v>
      </c>
      <c r="AG170" s="956">
        <f t="shared" si="312"/>
        <v>1435.4166666666658</v>
      </c>
      <c r="AH170" s="956">
        <f t="shared" si="312"/>
        <v>1387.4999999999991</v>
      </c>
      <c r="AI170" s="956">
        <f t="shared" si="312"/>
        <v>1339.5833333333323</v>
      </c>
      <c r="AJ170" s="956">
        <f t="shared" si="312"/>
        <v>1291.6666666666656</v>
      </c>
      <c r="AK170" s="956">
        <f t="shared" si="312"/>
        <v>1243.7499999999989</v>
      </c>
      <c r="AL170" s="956">
        <f t="shared" si="312"/>
        <v>1195.8333333333321</v>
      </c>
      <c r="AM170" s="956">
        <f t="shared" si="312"/>
        <v>1147.9166666666654</v>
      </c>
      <c r="AN170" s="323"/>
      <c r="AO170" s="323"/>
      <c r="AP170" s="323"/>
      <c r="AQ170" s="323"/>
      <c r="AR170" s="323"/>
      <c r="AS170" s="323"/>
      <c r="AT170" s="323"/>
      <c r="AU170" s="323"/>
      <c r="AV170" s="323"/>
      <c r="AW170" s="323"/>
      <c r="AX170" s="323"/>
      <c r="AY170" s="323"/>
      <c r="AZ170" s="323"/>
      <c r="BA170" s="323"/>
      <c r="BB170" s="323"/>
      <c r="BC170" s="323"/>
      <c r="BD170" s="323"/>
      <c r="BE170" s="323"/>
      <c r="BF170" s="323"/>
      <c r="BG170" s="323"/>
      <c r="BH170" s="323"/>
    </row>
    <row r="171" spans="2:60">
      <c r="B171" s="976" t="s">
        <v>57</v>
      </c>
      <c r="C171" s="977"/>
      <c r="D171" s="956">
        <f t="shared" ref="D171:O171" si="313">(-$G$55/$J$55/12)</f>
        <v>-25</v>
      </c>
      <c r="E171" s="956">
        <f t="shared" si="313"/>
        <v>-25</v>
      </c>
      <c r="F171" s="956">
        <f t="shared" si="313"/>
        <v>-25</v>
      </c>
      <c r="G171" s="956">
        <f t="shared" si="313"/>
        <v>-25</v>
      </c>
      <c r="H171" s="956">
        <f t="shared" si="313"/>
        <v>-25</v>
      </c>
      <c r="I171" s="956">
        <f t="shared" si="313"/>
        <v>-25</v>
      </c>
      <c r="J171" s="956">
        <f t="shared" si="313"/>
        <v>-25</v>
      </c>
      <c r="K171" s="956">
        <f t="shared" si="313"/>
        <v>-25</v>
      </c>
      <c r="L171" s="956">
        <f t="shared" si="313"/>
        <v>-25</v>
      </c>
      <c r="M171" s="956">
        <f t="shared" si="313"/>
        <v>-25</v>
      </c>
      <c r="N171" s="956">
        <f t="shared" si="313"/>
        <v>-25</v>
      </c>
      <c r="O171" s="956">
        <f t="shared" si="313"/>
        <v>-25</v>
      </c>
      <c r="P171" s="956">
        <f t="shared" ref="P171:AA171" si="314">(-$G$55/$J$55/12)-($H$55/$J$55/12)</f>
        <v>-27.083333333333332</v>
      </c>
      <c r="Q171" s="956">
        <f t="shared" si="314"/>
        <v>-27.083333333333332</v>
      </c>
      <c r="R171" s="956">
        <f t="shared" si="314"/>
        <v>-27.083333333333332</v>
      </c>
      <c r="S171" s="956">
        <f t="shared" si="314"/>
        <v>-27.083333333333332</v>
      </c>
      <c r="T171" s="956">
        <f t="shared" si="314"/>
        <v>-27.083333333333332</v>
      </c>
      <c r="U171" s="956">
        <f t="shared" si="314"/>
        <v>-27.083333333333332</v>
      </c>
      <c r="V171" s="956">
        <f t="shared" si="314"/>
        <v>-27.083333333333332</v>
      </c>
      <c r="W171" s="956">
        <f t="shared" si="314"/>
        <v>-27.083333333333332</v>
      </c>
      <c r="X171" s="956">
        <f t="shared" si="314"/>
        <v>-27.083333333333332</v>
      </c>
      <c r="Y171" s="956">
        <f t="shared" si="314"/>
        <v>-27.083333333333332</v>
      </c>
      <c r="Z171" s="956">
        <f t="shared" si="314"/>
        <v>-27.083333333333332</v>
      </c>
      <c r="AA171" s="956">
        <f t="shared" si="314"/>
        <v>-27.083333333333332</v>
      </c>
      <c r="AB171" s="956">
        <f t="shared" ref="AB171:AM171" si="315">(-$G$55/$J$55/12)-($H$55/$J$55/12)-($I$55/$J$55/12)</f>
        <v>-47.916666666666664</v>
      </c>
      <c r="AC171" s="956">
        <f t="shared" si="315"/>
        <v>-47.916666666666664</v>
      </c>
      <c r="AD171" s="956">
        <f t="shared" si="315"/>
        <v>-47.916666666666664</v>
      </c>
      <c r="AE171" s="956">
        <f t="shared" si="315"/>
        <v>-47.916666666666664</v>
      </c>
      <c r="AF171" s="956">
        <f t="shared" si="315"/>
        <v>-47.916666666666664</v>
      </c>
      <c r="AG171" s="956">
        <f t="shared" si="315"/>
        <v>-47.916666666666664</v>
      </c>
      <c r="AH171" s="956">
        <f t="shared" si="315"/>
        <v>-47.916666666666664</v>
      </c>
      <c r="AI171" s="956">
        <f t="shared" si="315"/>
        <v>-47.916666666666664</v>
      </c>
      <c r="AJ171" s="956">
        <f t="shared" si="315"/>
        <v>-47.916666666666664</v>
      </c>
      <c r="AK171" s="956">
        <f t="shared" si="315"/>
        <v>-47.916666666666664</v>
      </c>
      <c r="AL171" s="956">
        <f t="shared" si="315"/>
        <v>-47.916666666666664</v>
      </c>
      <c r="AM171" s="956">
        <f t="shared" si="315"/>
        <v>-47.916666666666664</v>
      </c>
      <c r="AN171" s="323"/>
      <c r="AO171" s="323"/>
      <c r="AP171" s="323"/>
      <c r="AQ171" s="323"/>
      <c r="AR171" s="323"/>
      <c r="AS171" s="323"/>
      <c r="AT171" s="323"/>
      <c r="AU171" s="323"/>
      <c r="AV171" s="323"/>
      <c r="AW171" s="323"/>
      <c r="AX171" s="323"/>
      <c r="AY171" s="323"/>
      <c r="AZ171" s="323"/>
      <c r="BA171" s="323"/>
      <c r="BB171" s="323"/>
      <c r="BC171" s="323"/>
      <c r="BD171" s="323"/>
      <c r="BE171" s="323"/>
      <c r="BF171" s="323"/>
      <c r="BG171" s="323"/>
      <c r="BH171" s="323"/>
    </row>
    <row r="172" spans="2:60" ht="16.2" thickBot="1">
      <c r="B172" s="982" t="s">
        <v>255</v>
      </c>
      <c r="C172" s="983"/>
      <c r="D172" s="956">
        <f>SUM(D170:D171)</f>
        <v>1175</v>
      </c>
      <c r="E172" s="956">
        <f t="shared" ref="E172:AM172" si="316">SUM(E170:E171)</f>
        <v>1150</v>
      </c>
      <c r="F172" s="956">
        <f t="shared" si="316"/>
        <v>1125</v>
      </c>
      <c r="G172" s="956">
        <f t="shared" si="316"/>
        <v>1100</v>
      </c>
      <c r="H172" s="956">
        <f t="shared" si="316"/>
        <v>1075</v>
      </c>
      <c r="I172" s="956">
        <f t="shared" si="316"/>
        <v>1050</v>
      </c>
      <c r="J172" s="956">
        <f t="shared" si="316"/>
        <v>1025</v>
      </c>
      <c r="K172" s="956">
        <f t="shared" si="316"/>
        <v>1000</v>
      </c>
      <c r="L172" s="956">
        <f t="shared" si="316"/>
        <v>975</v>
      </c>
      <c r="M172" s="956">
        <f t="shared" si="316"/>
        <v>950</v>
      </c>
      <c r="N172" s="956">
        <f t="shared" si="316"/>
        <v>925</v>
      </c>
      <c r="O172" s="957">
        <f t="shared" si="316"/>
        <v>900</v>
      </c>
      <c r="P172" s="956">
        <f t="shared" si="316"/>
        <v>972.91666666666663</v>
      </c>
      <c r="Q172" s="956">
        <f t="shared" si="316"/>
        <v>945.83333333333326</v>
      </c>
      <c r="R172" s="956">
        <f t="shared" si="316"/>
        <v>918.74999999999989</v>
      </c>
      <c r="S172" s="956">
        <f t="shared" si="316"/>
        <v>891.66666666666652</v>
      </c>
      <c r="T172" s="956">
        <f t="shared" si="316"/>
        <v>864.58333333333314</v>
      </c>
      <c r="U172" s="956">
        <f t="shared" si="316"/>
        <v>837.49999999999977</v>
      </c>
      <c r="V172" s="956">
        <f t="shared" si="316"/>
        <v>810.4166666666664</v>
      </c>
      <c r="W172" s="956">
        <f t="shared" si="316"/>
        <v>783.33333333333303</v>
      </c>
      <c r="X172" s="956">
        <f t="shared" si="316"/>
        <v>756.24999999999966</v>
      </c>
      <c r="Y172" s="956">
        <f t="shared" si="316"/>
        <v>729.16666666666629</v>
      </c>
      <c r="Z172" s="956">
        <f t="shared" si="316"/>
        <v>702.08333333333292</v>
      </c>
      <c r="AA172" s="957">
        <f t="shared" si="316"/>
        <v>674.99999999999955</v>
      </c>
      <c r="AB172" s="956">
        <f t="shared" si="316"/>
        <v>1627.0833333333328</v>
      </c>
      <c r="AC172" s="956">
        <f t="shared" si="316"/>
        <v>1579.1666666666661</v>
      </c>
      <c r="AD172" s="956">
        <f t="shared" si="316"/>
        <v>1531.2499999999993</v>
      </c>
      <c r="AE172" s="956">
        <f t="shared" si="316"/>
        <v>1483.3333333333326</v>
      </c>
      <c r="AF172" s="956">
        <f t="shared" si="316"/>
        <v>1435.4166666666658</v>
      </c>
      <c r="AG172" s="956">
        <f t="shared" si="316"/>
        <v>1387.4999999999991</v>
      </c>
      <c r="AH172" s="956">
        <f t="shared" si="316"/>
        <v>1339.5833333333323</v>
      </c>
      <c r="AI172" s="956">
        <f t="shared" si="316"/>
        <v>1291.6666666666656</v>
      </c>
      <c r="AJ172" s="956">
        <f t="shared" si="316"/>
        <v>1243.7499999999989</v>
      </c>
      <c r="AK172" s="956">
        <f t="shared" si="316"/>
        <v>1195.8333333333321</v>
      </c>
      <c r="AL172" s="956">
        <f t="shared" si="316"/>
        <v>1147.9166666666654</v>
      </c>
      <c r="AM172" s="956">
        <f t="shared" si="316"/>
        <v>1099.9999999999986</v>
      </c>
      <c r="AN172" s="323"/>
      <c r="AO172" s="323"/>
      <c r="AP172" s="323"/>
      <c r="AQ172" s="323"/>
      <c r="AR172" s="323"/>
      <c r="AS172" s="323"/>
      <c r="AT172" s="323"/>
      <c r="AU172" s="323"/>
      <c r="AV172" s="323"/>
      <c r="AW172" s="323"/>
      <c r="AX172" s="323"/>
      <c r="AY172" s="323"/>
      <c r="AZ172" s="323"/>
      <c r="BA172" s="323"/>
      <c r="BB172" s="323"/>
      <c r="BC172" s="323"/>
      <c r="BD172" s="323"/>
      <c r="BE172" s="323"/>
      <c r="BF172" s="323"/>
      <c r="BG172" s="323"/>
      <c r="BH172" s="323"/>
    </row>
    <row r="173" spans="2:60" ht="16.8" thickTop="1" thickBot="1">
      <c r="B173" s="639"/>
      <c r="D173" s="323"/>
      <c r="E173" s="323"/>
      <c r="F173" s="323"/>
      <c r="G173" s="323"/>
      <c r="H173" s="323"/>
      <c r="I173" s="323"/>
      <c r="J173" s="323"/>
      <c r="K173" s="323"/>
      <c r="L173" s="323"/>
      <c r="M173" s="323"/>
      <c r="N173" s="323"/>
      <c r="O173" s="599"/>
      <c r="P173" s="323"/>
      <c r="Q173" s="323"/>
      <c r="R173" s="323"/>
      <c r="S173" s="323"/>
      <c r="T173" s="323"/>
      <c r="U173" s="323"/>
      <c r="V173" s="323"/>
      <c r="W173" s="323"/>
      <c r="X173" s="323"/>
      <c r="Y173" s="323"/>
      <c r="Z173" s="323"/>
      <c r="AA173" s="599"/>
      <c r="AB173" s="323"/>
      <c r="AC173" s="323"/>
      <c r="AD173" s="323"/>
      <c r="AE173" s="323"/>
      <c r="AF173" s="323"/>
      <c r="AG173" s="323"/>
      <c r="AH173" s="323"/>
      <c r="AI173" s="323"/>
      <c r="AJ173" s="323"/>
      <c r="AK173" s="323"/>
      <c r="AL173" s="323"/>
      <c r="AM173" s="323"/>
      <c r="AN173" s="323"/>
      <c r="AO173" s="323"/>
      <c r="AP173" s="323"/>
      <c r="AQ173" s="323"/>
      <c r="AR173" s="323"/>
      <c r="AS173" s="323"/>
      <c r="AT173" s="323"/>
      <c r="AU173" s="323"/>
      <c r="AV173" s="323"/>
      <c r="AW173" s="323"/>
      <c r="AX173" s="323"/>
      <c r="AY173" s="323"/>
      <c r="AZ173" s="323"/>
      <c r="BA173" s="323"/>
      <c r="BB173" s="323"/>
      <c r="BC173" s="323"/>
      <c r="BD173" s="323"/>
      <c r="BE173" s="323"/>
      <c r="BF173" s="323"/>
      <c r="BG173" s="323"/>
      <c r="BH173" s="323"/>
    </row>
    <row r="174" spans="2:60" ht="16.2" thickTop="1">
      <c r="B174" s="974" t="str">
        <f>B56</f>
        <v>Office Chairs</v>
      </c>
      <c r="C174" s="975"/>
      <c r="D174" s="323"/>
      <c r="E174" s="323"/>
      <c r="F174" s="323"/>
      <c r="G174" s="323"/>
      <c r="H174" s="323"/>
      <c r="I174" s="323"/>
      <c r="J174" s="323"/>
      <c r="K174" s="323"/>
      <c r="L174" s="323"/>
      <c r="M174" s="323"/>
      <c r="N174" s="323"/>
      <c r="O174" s="599"/>
      <c r="P174" s="323"/>
      <c r="Q174" s="323"/>
      <c r="R174" s="323"/>
      <c r="S174" s="323"/>
      <c r="T174" s="323"/>
      <c r="U174" s="323"/>
      <c r="V174" s="323"/>
      <c r="W174" s="323"/>
      <c r="X174" s="323"/>
      <c r="Y174" s="323"/>
      <c r="Z174" s="323"/>
      <c r="AA174" s="599"/>
      <c r="AB174" s="323"/>
      <c r="AC174" s="323"/>
      <c r="AD174" s="323"/>
      <c r="AE174" s="323"/>
      <c r="AF174" s="323"/>
      <c r="AG174" s="323"/>
      <c r="AH174" s="323"/>
      <c r="AI174" s="323"/>
      <c r="AJ174" s="323"/>
      <c r="AK174" s="323"/>
      <c r="AL174" s="323"/>
      <c r="AM174" s="323"/>
      <c r="AN174" s="323"/>
      <c r="AO174" s="323"/>
      <c r="AP174" s="323"/>
      <c r="AQ174" s="323"/>
      <c r="AR174" s="323"/>
      <c r="AS174" s="323"/>
      <c r="AT174" s="323"/>
      <c r="AU174" s="323"/>
      <c r="AV174" s="323"/>
      <c r="AW174" s="323"/>
      <c r="AX174" s="323"/>
      <c r="AY174" s="323"/>
      <c r="AZ174" s="323"/>
      <c r="BA174" s="323"/>
      <c r="BB174" s="323"/>
      <c r="BC174" s="323"/>
      <c r="BD174" s="323"/>
      <c r="BE174" s="323"/>
      <c r="BF174" s="323"/>
      <c r="BG174" s="323"/>
      <c r="BH174" s="323"/>
    </row>
    <row r="175" spans="2:60">
      <c r="B175" s="976" t="s">
        <v>112</v>
      </c>
      <c r="C175" s="977"/>
      <c r="D175" s="953">
        <v>0</v>
      </c>
      <c r="E175" s="956">
        <f>D179</f>
        <v>948.57142857142856</v>
      </c>
      <c r="F175" s="956">
        <f t="shared" ref="F175" si="317">E179</f>
        <v>937.14285714285711</v>
      </c>
      <c r="G175" s="956">
        <f t="shared" ref="G175" si="318">F179</f>
        <v>925.71428571428567</v>
      </c>
      <c r="H175" s="956">
        <f t="shared" ref="H175" si="319">G179</f>
        <v>914.28571428571422</v>
      </c>
      <c r="I175" s="956">
        <f t="shared" ref="I175" si="320">H179</f>
        <v>902.85714285714278</v>
      </c>
      <c r="J175" s="956">
        <f t="shared" ref="J175" si="321">I179</f>
        <v>891.42857142857133</v>
      </c>
      <c r="K175" s="956">
        <f t="shared" ref="K175" si="322">J179</f>
        <v>879.99999999999989</v>
      </c>
      <c r="L175" s="956">
        <f t="shared" ref="L175" si="323">K179</f>
        <v>868.57142857142844</v>
      </c>
      <c r="M175" s="956">
        <f t="shared" ref="M175" si="324">L179</f>
        <v>857.142857142857</v>
      </c>
      <c r="N175" s="956">
        <f t="shared" ref="N175" si="325">M179</f>
        <v>845.71428571428555</v>
      </c>
      <c r="O175" s="957">
        <f t="shared" ref="O175" si="326">N179</f>
        <v>834.28571428571411</v>
      </c>
      <c r="P175" s="956">
        <f t="shared" ref="P175" si="327">O179</f>
        <v>822.85714285714266</v>
      </c>
      <c r="Q175" s="956">
        <f t="shared" ref="Q175" si="328">P179</f>
        <v>890.47619047619025</v>
      </c>
      <c r="R175" s="956">
        <f t="shared" ref="R175" si="329">Q179</f>
        <v>878.09523809523785</v>
      </c>
      <c r="S175" s="956">
        <f t="shared" ref="S175" si="330">R179</f>
        <v>865.71428571428544</v>
      </c>
      <c r="T175" s="956">
        <f t="shared" ref="T175" si="331">S179</f>
        <v>853.33333333333303</v>
      </c>
      <c r="U175" s="956">
        <f t="shared" ref="U175" si="332">T179</f>
        <v>840.95238095238062</v>
      </c>
      <c r="V175" s="956">
        <f t="shared" ref="V175" si="333">U179</f>
        <v>828.57142857142821</v>
      </c>
      <c r="W175" s="956">
        <f t="shared" ref="W175" si="334">V179</f>
        <v>816.19047619047581</v>
      </c>
      <c r="X175" s="956">
        <f t="shared" ref="X175" si="335">W179</f>
        <v>803.8095238095234</v>
      </c>
      <c r="Y175" s="956">
        <f t="shared" ref="Y175" si="336">X179</f>
        <v>791.42857142857099</v>
      </c>
      <c r="Z175" s="956">
        <f t="shared" ref="Z175" si="337">Y179</f>
        <v>779.04761904761858</v>
      </c>
      <c r="AA175" s="957">
        <f t="shared" ref="AA175" si="338">Z179</f>
        <v>766.66666666666617</v>
      </c>
      <c r="AB175" s="956">
        <f t="shared" ref="AB175" si="339">AA179</f>
        <v>754.28571428571377</v>
      </c>
      <c r="AC175" s="956">
        <f t="shared" ref="AC175" si="340">AB179</f>
        <v>1532.3809523809518</v>
      </c>
      <c r="AD175" s="956">
        <f t="shared" ref="AD175" si="341">AC179</f>
        <v>1510.4761904761899</v>
      </c>
      <c r="AE175" s="956">
        <f t="shared" ref="AE175" si="342">AD179</f>
        <v>1488.571428571428</v>
      </c>
      <c r="AF175" s="956">
        <f t="shared" ref="AF175" si="343">AE179</f>
        <v>1466.6666666666661</v>
      </c>
      <c r="AG175" s="956">
        <f t="shared" ref="AG175" si="344">AF179</f>
        <v>1444.7619047619041</v>
      </c>
      <c r="AH175" s="956">
        <f t="shared" ref="AH175" si="345">AG179</f>
        <v>1422.8571428571422</v>
      </c>
      <c r="AI175" s="956">
        <f t="shared" ref="AI175" si="346">AH179</f>
        <v>1400.9523809523803</v>
      </c>
      <c r="AJ175" s="956">
        <f t="shared" ref="AJ175" si="347">AI179</f>
        <v>1379.0476190476184</v>
      </c>
      <c r="AK175" s="956">
        <f t="shared" ref="AK175" si="348">AJ179</f>
        <v>1357.1428571428564</v>
      </c>
      <c r="AL175" s="956">
        <f t="shared" ref="AL175" si="349">AK179</f>
        <v>1335.2380952380945</v>
      </c>
      <c r="AM175" s="956">
        <f t="shared" ref="AM175" si="350">AL179</f>
        <v>1313.3333333333326</v>
      </c>
      <c r="AN175" s="323"/>
      <c r="AO175" s="323"/>
      <c r="AP175" s="323"/>
      <c r="AQ175" s="323"/>
      <c r="AR175" s="323"/>
      <c r="AS175" s="323"/>
      <c r="AT175" s="323"/>
      <c r="AU175" s="323"/>
      <c r="AV175" s="323"/>
      <c r="AW175" s="323"/>
      <c r="AX175" s="323"/>
      <c r="AY175" s="323"/>
      <c r="AZ175" s="323"/>
      <c r="BA175" s="323"/>
      <c r="BB175" s="323"/>
      <c r="BC175" s="323"/>
      <c r="BD175" s="323"/>
      <c r="BE175" s="323"/>
      <c r="BF175" s="323"/>
      <c r="BG175" s="323"/>
      <c r="BH175" s="323"/>
    </row>
    <row r="176" spans="2:60">
      <c r="B176" s="976" t="s">
        <v>265</v>
      </c>
      <c r="C176" s="977"/>
      <c r="D176" s="956">
        <f>G56</f>
        <v>960</v>
      </c>
      <c r="E176" s="956"/>
      <c r="F176" s="956"/>
      <c r="G176" s="956"/>
      <c r="H176" s="956"/>
      <c r="I176" s="956"/>
      <c r="J176" s="956"/>
      <c r="K176" s="956"/>
      <c r="L176" s="956"/>
      <c r="M176" s="956"/>
      <c r="N176" s="956"/>
      <c r="O176" s="957"/>
      <c r="P176" s="956">
        <f>H56</f>
        <v>80</v>
      </c>
      <c r="Q176" s="956"/>
      <c r="R176" s="956"/>
      <c r="S176" s="956"/>
      <c r="T176" s="956"/>
      <c r="U176" s="956"/>
      <c r="V176" s="956"/>
      <c r="W176" s="956"/>
      <c r="X176" s="956"/>
      <c r="Y176" s="956"/>
      <c r="Z176" s="956"/>
      <c r="AA176" s="957"/>
      <c r="AB176" s="956">
        <f>$I$56</f>
        <v>800</v>
      </c>
      <c r="AC176" s="956"/>
      <c r="AD176" s="956"/>
      <c r="AE176" s="956"/>
      <c r="AF176" s="956"/>
      <c r="AG176" s="956"/>
      <c r="AH176" s="956"/>
      <c r="AI176" s="956"/>
      <c r="AJ176" s="956"/>
      <c r="AK176" s="956"/>
      <c r="AL176" s="956"/>
      <c r="AM176" s="956"/>
      <c r="AN176" s="323"/>
      <c r="AO176" s="323"/>
      <c r="AP176" s="323"/>
      <c r="AQ176" s="323"/>
      <c r="AR176" s="323"/>
      <c r="AS176" s="323"/>
      <c r="AT176" s="323"/>
      <c r="AU176" s="323"/>
      <c r="AV176" s="323"/>
      <c r="AW176" s="323"/>
      <c r="AX176" s="323"/>
      <c r="AY176" s="323"/>
      <c r="AZ176" s="323"/>
      <c r="BA176" s="323"/>
      <c r="BB176" s="323"/>
      <c r="BC176" s="323"/>
      <c r="BD176" s="323"/>
      <c r="BE176" s="323"/>
      <c r="BF176" s="323"/>
      <c r="BG176" s="323"/>
      <c r="BH176" s="323"/>
    </row>
    <row r="177" spans="2:60">
      <c r="B177" s="976" t="s">
        <v>110</v>
      </c>
      <c r="C177" s="977"/>
      <c r="D177" s="956">
        <f>SUM(D175:D176)</f>
        <v>960</v>
      </c>
      <c r="E177" s="956">
        <f t="shared" ref="E177:AM177" si="351">SUM(E175:E176)</f>
        <v>948.57142857142856</v>
      </c>
      <c r="F177" s="956">
        <f t="shared" si="351"/>
        <v>937.14285714285711</v>
      </c>
      <c r="G177" s="956">
        <f t="shared" si="351"/>
        <v>925.71428571428567</v>
      </c>
      <c r="H177" s="956">
        <f t="shared" si="351"/>
        <v>914.28571428571422</v>
      </c>
      <c r="I177" s="956">
        <f t="shared" si="351"/>
        <v>902.85714285714278</v>
      </c>
      <c r="J177" s="956">
        <f t="shared" si="351"/>
        <v>891.42857142857133</v>
      </c>
      <c r="K177" s="956">
        <f t="shared" si="351"/>
        <v>879.99999999999989</v>
      </c>
      <c r="L177" s="956">
        <f t="shared" si="351"/>
        <v>868.57142857142844</v>
      </c>
      <c r="M177" s="956">
        <f t="shared" si="351"/>
        <v>857.142857142857</v>
      </c>
      <c r="N177" s="956">
        <f t="shared" si="351"/>
        <v>845.71428571428555</v>
      </c>
      <c r="O177" s="957">
        <f t="shared" si="351"/>
        <v>834.28571428571411</v>
      </c>
      <c r="P177" s="956">
        <f t="shared" si="351"/>
        <v>902.85714285714266</v>
      </c>
      <c r="Q177" s="956">
        <f t="shared" si="351"/>
        <v>890.47619047619025</v>
      </c>
      <c r="R177" s="956">
        <f t="shared" si="351"/>
        <v>878.09523809523785</v>
      </c>
      <c r="S177" s="956">
        <f t="shared" si="351"/>
        <v>865.71428571428544</v>
      </c>
      <c r="T177" s="956">
        <f t="shared" si="351"/>
        <v>853.33333333333303</v>
      </c>
      <c r="U177" s="956">
        <f t="shared" si="351"/>
        <v>840.95238095238062</v>
      </c>
      <c r="V177" s="956">
        <f t="shared" si="351"/>
        <v>828.57142857142821</v>
      </c>
      <c r="W177" s="956">
        <f t="shared" si="351"/>
        <v>816.19047619047581</v>
      </c>
      <c r="X177" s="956">
        <f t="shared" si="351"/>
        <v>803.8095238095234</v>
      </c>
      <c r="Y177" s="956">
        <f t="shared" si="351"/>
        <v>791.42857142857099</v>
      </c>
      <c r="Z177" s="956">
        <f t="shared" si="351"/>
        <v>779.04761904761858</v>
      </c>
      <c r="AA177" s="957">
        <f t="shared" si="351"/>
        <v>766.66666666666617</v>
      </c>
      <c r="AB177" s="956">
        <f t="shared" si="351"/>
        <v>1554.2857142857138</v>
      </c>
      <c r="AC177" s="956">
        <f t="shared" si="351"/>
        <v>1532.3809523809518</v>
      </c>
      <c r="AD177" s="956">
        <f t="shared" si="351"/>
        <v>1510.4761904761899</v>
      </c>
      <c r="AE177" s="956">
        <f t="shared" si="351"/>
        <v>1488.571428571428</v>
      </c>
      <c r="AF177" s="956">
        <f t="shared" si="351"/>
        <v>1466.6666666666661</v>
      </c>
      <c r="AG177" s="956">
        <f t="shared" si="351"/>
        <v>1444.7619047619041</v>
      </c>
      <c r="AH177" s="956">
        <f t="shared" si="351"/>
        <v>1422.8571428571422</v>
      </c>
      <c r="AI177" s="956">
        <f t="shared" si="351"/>
        <v>1400.9523809523803</v>
      </c>
      <c r="AJ177" s="956">
        <f t="shared" si="351"/>
        <v>1379.0476190476184</v>
      </c>
      <c r="AK177" s="956">
        <f t="shared" si="351"/>
        <v>1357.1428571428564</v>
      </c>
      <c r="AL177" s="956">
        <f t="shared" si="351"/>
        <v>1335.2380952380945</v>
      </c>
      <c r="AM177" s="956">
        <f t="shared" si="351"/>
        <v>1313.3333333333326</v>
      </c>
      <c r="AN177" s="323"/>
      <c r="AO177" s="323"/>
      <c r="AP177" s="323"/>
      <c r="AQ177" s="323"/>
      <c r="AR177" s="323"/>
      <c r="AS177" s="323"/>
      <c r="AT177" s="323"/>
      <c r="AU177" s="323"/>
      <c r="AV177" s="323"/>
      <c r="AW177" s="323"/>
      <c r="AX177" s="323"/>
      <c r="AY177" s="323"/>
      <c r="AZ177" s="323"/>
      <c r="BA177" s="323"/>
      <c r="BB177" s="323"/>
      <c r="BC177" s="323"/>
      <c r="BD177" s="323"/>
      <c r="BE177" s="323"/>
      <c r="BF177" s="323"/>
      <c r="BG177" s="323"/>
      <c r="BH177" s="323"/>
    </row>
    <row r="178" spans="2:60">
      <c r="B178" s="976" t="s">
        <v>57</v>
      </c>
      <c r="C178" s="977"/>
      <c r="D178" s="956">
        <f t="shared" ref="D178:O178" si="352">(-$D$176/$J$56/12)</f>
        <v>-11.428571428571429</v>
      </c>
      <c r="E178" s="956">
        <f t="shared" si="352"/>
        <v>-11.428571428571429</v>
      </c>
      <c r="F178" s="956">
        <f t="shared" si="352"/>
        <v>-11.428571428571429</v>
      </c>
      <c r="G178" s="956">
        <f t="shared" si="352"/>
        <v>-11.428571428571429</v>
      </c>
      <c r="H178" s="956">
        <f t="shared" si="352"/>
        <v>-11.428571428571429</v>
      </c>
      <c r="I178" s="956">
        <f t="shared" si="352"/>
        <v>-11.428571428571429</v>
      </c>
      <c r="J178" s="956">
        <f t="shared" si="352"/>
        <v>-11.428571428571429</v>
      </c>
      <c r="K178" s="956">
        <f t="shared" si="352"/>
        <v>-11.428571428571429</v>
      </c>
      <c r="L178" s="956">
        <f t="shared" si="352"/>
        <v>-11.428571428571429</v>
      </c>
      <c r="M178" s="956">
        <f t="shared" si="352"/>
        <v>-11.428571428571429</v>
      </c>
      <c r="N178" s="956">
        <f t="shared" si="352"/>
        <v>-11.428571428571429</v>
      </c>
      <c r="O178" s="956">
        <f t="shared" si="352"/>
        <v>-11.428571428571429</v>
      </c>
      <c r="P178" s="956">
        <f t="shared" ref="P178:AA178" si="353">(-$D$176/$J$56/12)-($H$56/$J$56/12)</f>
        <v>-12.380952380952381</v>
      </c>
      <c r="Q178" s="956">
        <f t="shared" si="353"/>
        <v>-12.380952380952381</v>
      </c>
      <c r="R178" s="956">
        <f t="shared" si="353"/>
        <v>-12.380952380952381</v>
      </c>
      <c r="S178" s="956">
        <f t="shared" si="353"/>
        <v>-12.380952380952381</v>
      </c>
      <c r="T178" s="956">
        <f t="shared" si="353"/>
        <v>-12.380952380952381</v>
      </c>
      <c r="U178" s="956">
        <f t="shared" si="353"/>
        <v>-12.380952380952381</v>
      </c>
      <c r="V178" s="956">
        <f t="shared" si="353"/>
        <v>-12.380952380952381</v>
      </c>
      <c r="W178" s="956">
        <f t="shared" si="353"/>
        <v>-12.380952380952381</v>
      </c>
      <c r="X178" s="956">
        <f t="shared" si="353"/>
        <v>-12.380952380952381</v>
      </c>
      <c r="Y178" s="956">
        <f t="shared" si="353"/>
        <v>-12.380952380952381</v>
      </c>
      <c r="Z178" s="956">
        <f t="shared" si="353"/>
        <v>-12.380952380952381</v>
      </c>
      <c r="AA178" s="956">
        <f t="shared" si="353"/>
        <v>-12.380952380952381</v>
      </c>
      <c r="AB178" s="956">
        <f t="shared" ref="AB178:AM178" si="354">(-$D$176/$J$56/12)-($H$56/$J$56/12)-($I$56/$J$56/12)</f>
        <v>-21.904761904761905</v>
      </c>
      <c r="AC178" s="956">
        <f t="shared" si="354"/>
        <v>-21.904761904761905</v>
      </c>
      <c r="AD178" s="956">
        <f t="shared" si="354"/>
        <v>-21.904761904761905</v>
      </c>
      <c r="AE178" s="956">
        <f t="shared" si="354"/>
        <v>-21.904761904761905</v>
      </c>
      <c r="AF178" s="956">
        <f t="shared" si="354"/>
        <v>-21.904761904761905</v>
      </c>
      <c r="AG178" s="956">
        <f t="shared" si="354"/>
        <v>-21.904761904761905</v>
      </c>
      <c r="AH178" s="956">
        <f t="shared" si="354"/>
        <v>-21.904761904761905</v>
      </c>
      <c r="AI178" s="956">
        <f t="shared" si="354"/>
        <v>-21.904761904761905</v>
      </c>
      <c r="AJ178" s="956">
        <f t="shared" si="354"/>
        <v>-21.904761904761905</v>
      </c>
      <c r="AK178" s="956">
        <f t="shared" si="354"/>
        <v>-21.904761904761905</v>
      </c>
      <c r="AL178" s="956">
        <f t="shared" si="354"/>
        <v>-21.904761904761905</v>
      </c>
      <c r="AM178" s="956">
        <f t="shared" si="354"/>
        <v>-21.904761904761905</v>
      </c>
      <c r="AN178" s="323"/>
      <c r="AO178" s="323"/>
      <c r="AP178" s="323"/>
      <c r="AQ178" s="323"/>
      <c r="AR178" s="323"/>
      <c r="AS178" s="323"/>
      <c r="AT178" s="323"/>
      <c r="AU178" s="323"/>
      <c r="AV178" s="323"/>
      <c r="AW178" s="323"/>
      <c r="AX178" s="323"/>
      <c r="AY178" s="323"/>
      <c r="AZ178" s="323"/>
      <c r="BA178" s="323"/>
      <c r="BB178" s="323"/>
      <c r="BC178" s="323"/>
      <c r="BD178" s="323"/>
      <c r="BE178" s="323"/>
      <c r="BF178" s="323"/>
      <c r="BG178" s="323"/>
      <c r="BH178" s="323"/>
    </row>
    <row r="179" spans="2:60" s="300" customFormat="1" ht="16.2" thickBot="1">
      <c r="B179" s="982" t="s">
        <v>255</v>
      </c>
      <c r="C179" s="983"/>
      <c r="D179" s="956">
        <f>SUM(D177:D178)</f>
        <v>948.57142857142856</v>
      </c>
      <c r="E179" s="956">
        <f t="shared" ref="E179:AM179" si="355">SUM(E177:E178)</f>
        <v>937.14285714285711</v>
      </c>
      <c r="F179" s="956">
        <f t="shared" si="355"/>
        <v>925.71428571428567</v>
      </c>
      <c r="G179" s="956">
        <f t="shared" si="355"/>
        <v>914.28571428571422</v>
      </c>
      <c r="H179" s="956">
        <f t="shared" si="355"/>
        <v>902.85714285714278</v>
      </c>
      <c r="I179" s="956">
        <f t="shared" si="355"/>
        <v>891.42857142857133</v>
      </c>
      <c r="J179" s="956">
        <f t="shared" si="355"/>
        <v>879.99999999999989</v>
      </c>
      <c r="K179" s="956">
        <f t="shared" si="355"/>
        <v>868.57142857142844</v>
      </c>
      <c r="L179" s="956">
        <f t="shared" si="355"/>
        <v>857.142857142857</v>
      </c>
      <c r="M179" s="956">
        <f t="shared" si="355"/>
        <v>845.71428571428555</v>
      </c>
      <c r="N179" s="956">
        <f t="shared" si="355"/>
        <v>834.28571428571411</v>
      </c>
      <c r="O179" s="957">
        <f t="shared" si="355"/>
        <v>822.85714285714266</v>
      </c>
      <c r="P179" s="956">
        <f t="shared" si="355"/>
        <v>890.47619047619025</v>
      </c>
      <c r="Q179" s="956">
        <f t="shared" si="355"/>
        <v>878.09523809523785</v>
      </c>
      <c r="R179" s="956">
        <f t="shared" si="355"/>
        <v>865.71428571428544</v>
      </c>
      <c r="S179" s="956">
        <f t="shared" si="355"/>
        <v>853.33333333333303</v>
      </c>
      <c r="T179" s="956">
        <f t="shared" si="355"/>
        <v>840.95238095238062</v>
      </c>
      <c r="U179" s="956">
        <f t="shared" si="355"/>
        <v>828.57142857142821</v>
      </c>
      <c r="V179" s="956">
        <f t="shared" si="355"/>
        <v>816.19047619047581</v>
      </c>
      <c r="W179" s="956">
        <f t="shared" si="355"/>
        <v>803.8095238095234</v>
      </c>
      <c r="X179" s="956">
        <f t="shared" si="355"/>
        <v>791.42857142857099</v>
      </c>
      <c r="Y179" s="956">
        <f t="shared" si="355"/>
        <v>779.04761904761858</v>
      </c>
      <c r="Z179" s="956">
        <f t="shared" si="355"/>
        <v>766.66666666666617</v>
      </c>
      <c r="AA179" s="957">
        <f t="shared" si="355"/>
        <v>754.28571428571377</v>
      </c>
      <c r="AB179" s="956">
        <f t="shared" si="355"/>
        <v>1532.3809523809518</v>
      </c>
      <c r="AC179" s="956">
        <f t="shared" si="355"/>
        <v>1510.4761904761899</v>
      </c>
      <c r="AD179" s="956">
        <f t="shared" si="355"/>
        <v>1488.571428571428</v>
      </c>
      <c r="AE179" s="956">
        <f t="shared" si="355"/>
        <v>1466.6666666666661</v>
      </c>
      <c r="AF179" s="956">
        <f t="shared" si="355"/>
        <v>1444.7619047619041</v>
      </c>
      <c r="AG179" s="956">
        <f t="shared" si="355"/>
        <v>1422.8571428571422</v>
      </c>
      <c r="AH179" s="956">
        <f t="shared" si="355"/>
        <v>1400.9523809523803</v>
      </c>
      <c r="AI179" s="956">
        <f t="shared" si="355"/>
        <v>1379.0476190476184</v>
      </c>
      <c r="AJ179" s="956">
        <f t="shared" si="355"/>
        <v>1357.1428571428564</v>
      </c>
      <c r="AK179" s="956">
        <f t="shared" si="355"/>
        <v>1335.2380952380945</v>
      </c>
      <c r="AL179" s="956">
        <f t="shared" si="355"/>
        <v>1313.3333333333326</v>
      </c>
      <c r="AM179" s="956">
        <f t="shared" si="355"/>
        <v>1291.4285714285706</v>
      </c>
    </row>
    <row r="180" spans="2:60" s="300" customFormat="1" ht="16.8" thickTop="1" thickBot="1">
      <c r="B180" s="305"/>
      <c r="C180" s="305"/>
      <c r="D180" s="323"/>
      <c r="E180" s="323"/>
      <c r="F180" s="323"/>
      <c r="G180" s="323"/>
      <c r="H180" s="323"/>
      <c r="I180" s="323"/>
      <c r="J180" s="323"/>
      <c r="K180" s="323"/>
      <c r="L180" s="323"/>
      <c r="M180" s="323"/>
      <c r="N180" s="323"/>
      <c r="O180" s="599"/>
      <c r="P180" s="323"/>
      <c r="Q180" s="323"/>
      <c r="R180" s="323"/>
      <c r="S180" s="323"/>
      <c r="T180" s="323"/>
      <c r="U180" s="323"/>
      <c r="V180" s="323"/>
      <c r="W180" s="323"/>
      <c r="X180" s="323"/>
      <c r="Y180" s="323"/>
      <c r="Z180" s="323"/>
      <c r="AA180" s="599"/>
      <c r="AB180" s="323"/>
      <c r="AC180" s="323"/>
      <c r="AD180" s="323"/>
      <c r="AE180" s="323"/>
      <c r="AF180" s="323"/>
      <c r="AG180" s="323"/>
      <c r="AH180" s="323"/>
      <c r="AI180" s="323"/>
      <c r="AJ180" s="323"/>
      <c r="AK180" s="323"/>
      <c r="AL180" s="323"/>
      <c r="AM180" s="323"/>
    </row>
    <row r="181" spans="2:60" s="300" customFormat="1" ht="16.2" thickTop="1">
      <c r="B181" s="974" t="str">
        <f>B57</f>
        <v>Welding Apparatus</v>
      </c>
      <c r="C181" s="975"/>
      <c r="D181" s="323"/>
      <c r="E181" s="323"/>
      <c r="F181" s="323"/>
      <c r="G181" s="323"/>
      <c r="H181" s="323"/>
      <c r="I181" s="323"/>
      <c r="J181" s="323"/>
      <c r="K181" s="323"/>
      <c r="L181" s="323"/>
      <c r="M181" s="323"/>
      <c r="N181" s="323"/>
      <c r="O181" s="599"/>
      <c r="P181" s="323"/>
      <c r="Q181" s="323"/>
      <c r="R181" s="323"/>
      <c r="S181" s="323"/>
      <c r="T181" s="323"/>
      <c r="U181" s="323"/>
      <c r="V181" s="323"/>
      <c r="W181" s="323"/>
      <c r="X181" s="323"/>
      <c r="Y181" s="323"/>
      <c r="Z181" s="323"/>
      <c r="AA181" s="599"/>
      <c r="AB181" s="323"/>
      <c r="AC181" s="323"/>
      <c r="AD181" s="323"/>
      <c r="AE181" s="323"/>
      <c r="AF181" s="323"/>
      <c r="AG181" s="323"/>
      <c r="AH181" s="323"/>
      <c r="AI181" s="323"/>
      <c r="AJ181" s="323"/>
      <c r="AK181" s="323"/>
      <c r="AL181" s="323"/>
      <c r="AM181" s="323"/>
    </row>
    <row r="182" spans="2:60" s="300" customFormat="1">
      <c r="B182" s="976" t="s">
        <v>112</v>
      </c>
      <c r="C182" s="977"/>
      <c r="D182" s="953">
        <v>0</v>
      </c>
      <c r="E182" s="956">
        <f>D186</f>
        <v>1983.3333333333333</v>
      </c>
      <c r="F182" s="956">
        <f t="shared" ref="F182:AM182" si="356">E186</f>
        <v>1966.6666666666665</v>
      </c>
      <c r="G182" s="956">
        <f t="shared" si="356"/>
        <v>1949.9999999999998</v>
      </c>
      <c r="H182" s="956">
        <f t="shared" si="356"/>
        <v>1933.333333333333</v>
      </c>
      <c r="I182" s="956">
        <f t="shared" si="356"/>
        <v>1916.6666666666663</v>
      </c>
      <c r="J182" s="956">
        <f t="shared" si="356"/>
        <v>1899.9999999999995</v>
      </c>
      <c r="K182" s="956">
        <f t="shared" si="356"/>
        <v>1883.3333333333328</v>
      </c>
      <c r="L182" s="956">
        <f t="shared" si="356"/>
        <v>1866.6666666666661</v>
      </c>
      <c r="M182" s="956">
        <f t="shared" si="356"/>
        <v>1849.9999999999993</v>
      </c>
      <c r="N182" s="956">
        <f t="shared" si="356"/>
        <v>1833.3333333333326</v>
      </c>
      <c r="O182" s="957">
        <f t="shared" si="356"/>
        <v>1816.6666666666658</v>
      </c>
      <c r="P182" s="956">
        <f t="shared" si="356"/>
        <v>1799.9999999999991</v>
      </c>
      <c r="Q182" s="956">
        <f t="shared" si="356"/>
        <v>3766.6666666666656</v>
      </c>
      <c r="R182" s="956">
        <f t="shared" si="356"/>
        <v>3733.3333333333321</v>
      </c>
      <c r="S182" s="956">
        <f t="shared" si="356"/>
        <v>3699.9999999999986</v>
      </c>
      <c r="T182" s="956">
        <f t="shared" si="356"/>
        <v>3666.6666666666652</v>
      </c>
      <c r="U182" s="956">
        <f t="shared" si="356"/>
        <v>3633.3333333333317</v>
      </c>
      <c r="V182" s="956">
        <f t="shared" si="356"/>
        <v>3599.9999999999982</v>
      </c>
      <c r="W182" s="956">
        <f t="shared" si="356"/>
        <v>3566.6666666666647</v>
      </c>
      <c r="X182" s="956">
        <f t="shared" si="356"/>
        <v>3533.3333333333312</v>
      </c>
      <c r="Y182" s="956">
        <f t="shared" si="356"/>
        <v>3499.9999999999977</v>
      </c>
      <c r="Z182" s="956">
        <f t="shared" si="356"/>
        <v>3466.6666666666642</v>
      </c>
      <c r="AA182" s="957">
        <f t="shared" si="356"/>
        <v>3433.3333333333308</v>
      </c>
      <c r="AB182" s="956">
        <f t="shared" si="356"/>
        <v>3399.9999999999973</v>
      </c>
      <c r="AC182" s="956">
        <f t="shared" si="356"/>
        <v>3366.6666666666638</v>
      </c>
      <c r="AD182" s="956">
        <f t="shared" si="356"/>
        <v>3333.3333333333303</v>
      </c>
      <c r="AE182" s="956">
        <f t="shared" si="356"/>
        <v>3299.9999999999968</v>
      </c>
      <c r="AF182" s="956">
        <f t="shared" si="356"/>
        <v>3266.6666666666633</v>
      </c>
      <c r="AG182" s="956">
        <f t="shared" si="356"/>
        <v>3233.3333333333298</v>
      </c>
      <c r="AH182" s="956">
        <f t="shared" si="356"/>
        <v>3199.9999999999964</v>
      </c>
      <c r="AI182" s="956">
        <f t="shared" si="356"/>
        <v>3166.6666666666629</v>
      </c>
      <c r="AJ182" s="956">
        <f t="shared" si="356"/>
        <v>3133.3333333333294</v>
      </c>
      <c r="AK182" s="956">
        <f t="shared" si="356"/>
        <v>3099.9999999999959</v>
      </c>
      <c r="AL182" s="956">
        <f t="shared" si="356"/>
        <v>3066.6666666666624</v>
      </c>
      <c r="AM182" s="956">
        <f t="shared" si="356"/>
        <v>3033.3333333333289</v>
      </c>
    </row>
    <row r="183" spans="2:60" s="300" customFormat="1">
      <c r="B183" s="976" t="s">
        <v>265</v>
      </c>
      <c r="C183" s="977"/>
      <c r="D183" s="956">
        <f>G57</f>
        <v>2000</v>
      </c>
      <c r="E183" s="956"/>
      <c r="F183" s="956"/>
      <c r="G183" s="956"/>
      <c r="H183" s="956"/>
      <c r="I183" s="956"/>
      <c r="J183" s="956"/>
      <c r="K183" s="956"/>
      <c r="L183" s="956"/>
      <c r="M183" s="956"/>
      <c r="N183" s="956"/>
      <c r="O183" s="957"/>
      <c r="P183" s="956">
        <f>H57</f>
        <v>2000</v>
      </c>
      <c r="Q183" s="956"/>
      <c r="R183" s="956"/>
      <c r="S183" s="956"/>
      <c r="T183" s="956"/>
      <c r="U183" s="956"/>
      <c r="V183" s="956"/>
      <c r="W183" s="956"/>
      <c r="X183" s="956"/>
      <c r="Y183" s="956"/>
      <c r="Z183" s="956"/>
      <c r="AA183" s="957"/>
      <c r="AB183" s="956"/>
      <c r="AC183" s="956"/>
      <c r="AD183" s="956"/>
      <c r="AE183" s="956"/>
      <c r="AF183" s="956"/>
      <c r="AG183" s="956"/>
      <c r="AH183" s="956"/>
      <c r="AI183" s="956"/>
      <c r="AJ183" s="956"/>
      <c r="AK183" s="956"/>
      <c r="AL183" s="956"/>
      <c r="AM183" s="956"/>
    </row>
    <row r="184" spans="2:60" s="300" customFormat="1">
      <c r="B184" s="976" t="s">
        <v>110</v>
      </c>
      <c r="C184" s="977"/>
      <c r="D184" s="956">
        <f t="shared" ref="D184:AM184" si="357">SUM(D182:D183)</f>
        <v>2000</v>
      </c>
      <c r="E184" s="956">
        <f t="shared" si="357"/>
        <v>1983.3333333333333</v>
      </c>
      <c r="F184" s="956">
        <f t="shared" si="357"/>
        <v>1966.6666666666665</v>
      </c>
      <c r="G184" s="956">
        <f t="shared" si="357"/>
        <v>1949.9999999999998</v>
      </c>
      <c r="H184" s="956">
        <f t="shared" si="357"/>
        <v>1933.333333333333</v>
      </c>
      <c r="I184" s="956">
        <f t="shared" si="357"/>
        <v>1916.6666666666663</v>
      </c>
      <c r="J184" s="956">
        <f t="shared" si="357"/>
        <v>1899.9999999999995</v>
      </c>
      <c r="K184" s="956">
        <f t="shared" si="357"/>
        <v>1883.3333333333328</v>
      </c>
      <c r="L184" s="956">
        <f t="shared" si="357"/>
        <v>1866.6666666666661</v>
      </c>
      <c r="M184" s="956">
        <f t="shared" si="357"/>
        <v>1849.9999999999993</v>
      </c>
      <c r="N184" s="956">
        <f t="shared" si="357"/>
        <v>1833.3333333333326</v>
      </c>
      <c r="O184" s="957">
        <f t="shared" si="357"/>
        <v>1816.6666666666658</v>
      </c>
      <c r="P184" s="956">
        <f t="shared" si="357"/>
        <v>3799.9999999999991</v>
      </c>
      <c r="Q184" s="956">
        <f t="shared" si="357"/>
        <v>3766.6666666666656</v>
      </c>
      <c r="R184" s="956">
        <f t="shared" si="357"/>
        <v>3733.3333333333321</v>
      </c>
      <c r="S184" s="956">
        <f t="shared" si="357"/>
        <v>3699.9999999999986</v>
      </c>
      <c r="T184" s="956">
        <f t="shared" si="357"/>
        <v>3666.6666666666652</v>
      </c>
      <c r="U184" s="956">
        <f t="shared" si="357"/>
        <v>3633.3333333333317</v>
      </c>
      <c r="V184" s="956">
        <f t="shared" si="357"/>
        <v>3599.9999999999982</v>
      </c>
      <c r="W184" s="956">
        <f t="shared" si="357"/>
        <v>3566.6666666666647</v>
      </c>
      <c r="X184" s="956">
        <f t="shared" si="357"/>
        <v>3533.3333333333312</v>
      </c>
      <c r="Y184" s="956">
        <f t="shared" si="357"/>
        <v>3499.9999999999977</v>
      </c>
      <c r="Z184" s="956">
        <f t="shared" si="357"/>
        <v>3466.6666666666642</v>
      </c>
      <c r="AA184" s="957">
        <f t="shared" si="357"/>
        <v>3433.3333333333308</v>
      </c>
      <c r="AB184" s="956">
        <f t="shared" si="357"/>
        <v>3399.9999999999973</v>
      </c>
      <c r="AC184" s="956">
        <f t="shared" si="357"/>
        <v>3366.6666666666638</v>
      </c>
      <c r="AD184" s="956">
        <f t="shared" si="357"/>
        <v>3333.3333333333303</v>
      </c>
      <c r="AE184" s="956">
        <f t="shared" si="357"/>
        <v>3299.9999999999968</v>
      </c>
      <c r="AF184" s="956">
        <f t="shared" si="357"/>
        <v>3266.6666666666633</v>
      </c>
      <c r="AG184" s="956">
        <f t="shared" si="357"/>
        <v>3233.3333333333298</v>
      </c>
      <c r="AH184" s="956">
        <f t="shared" si="357"/>
        <v>3199.9999999999964</v>
      </c>
      <c r="AI184" s="956">
        <f t="shared" si="357"/>
        <v>3166.6666666666629</v>
      </c>
      <c r="AJ184" s="956">
        <f t="shared" si="357"/>
        <v>3133.3333333333294</v>
      </c>
      <c r="AK184" s="956">
        <f t="shared" si="357"/>
        <v>3099.9999999999959</v>
      </c>
      <c r="AL184" s="956">
        <f t="shared" si="357"/>
        <v>3066.6666666666624</v>
      </c>
      <c r="AM184" s="956">
        <f t="shared" si="357"/>
        <v>3033.3333333333289</v>
      </c>
    </row>
    <row r="185" spans="2:60" s="300" customFormat="1">
      <c r="B185" s="976" t="s">
        <v>57</v>
      </c>
      <c r="C185" s="977"/>
      <c r="D185" s="956">
        <f t="shared" ref="D185:O185" si="358">-($D$183*$L$57/12)</f>
        <v>-16.666666666666668</v>
      </c>
      <c r="E185" s="956">
        <f t="shared" si="358"/>
        <v>-16.666666666666668</v>
      </c>
      <c r="F185" s="956">
        <f t="shared" si="358"/>
        <v>-16.666666666666668</v>
      </c>
      <c r="G185" s="956">
        <f t="shared" si="358"/>
        <v>-16.666666666666668</v>
      </c>
      <c r="H185" s="956">
        <f t="shared" si="358"/>
        <v>-16.666666666666668</v>
      </c>
      <c r="I185" s="956">
        <f t="shared" si="358"/>
        <v>-16.666666666666668</v>
      </c>
      <c r="J185" s="956">
        <f t="shared" si="358"/>
        <v>-16.666666666666668</v>
      </c>
      <c r="K185" s="956">
        <f t="shared" si="358"/>
        <v>-16.666666666666668</v>
      </c>
      <c r="L185" s="956">
        <f t="shared" si="358"/>
        <v>-16.666666666666668</v>
      </c>
      <c r="M185" s="956">
        <f t="shared" si="358"/>
        <v>-16.666666666666668</v>
      </c>
      <c r="N185" s="956">
        <f t="shared" si="358"/>
        <v>-16.666666666666668</v>
      </c>
      <c r="O185" s="956">
        <f t="shared" si="358"/>
        <v>-16.666666666666668</v>
      </c>
      <c r="P185" s="956">
        <f t="shared" ref="P185:AM185" si="359">-($D$183*$L$57/12)-($D$183*$L$57/12)</f>
        <v>-33.333333333333336</v>
      </c>
      <c r="Q185" s="956">
        <f t="shared" si="359"/>
        <v>-33.333333333333336</v>
      </c>
      <c r="R185" s="956">
        <f t="shared" si="359"/>
        <v>-33.333333333333336</v>
      </c>
      <c r="S185" s="956">
        <f t="shared" si="359"/>
        <v>-33.333333333333336</v>
      </c>
      <c r="T185" s="956">
        <f t="shared" si="359"/>
        <v>-33.333333333333336</v>
      </c>
      <c r="U185" s="956">
        <f t="shared" si="359"/>
        <v>-33.333333333333336</v>
      </c>
      <c r="V185" s="956">
        <f t="shared" si="359"/>
        <v>-33.333333333333336</v>
      </c>
      <c r="W185" s="956">
        <f t="shared" si="359"/>
        <v>-33.333333333333336</v>
      </c>
      <c r="X185" s="956">
        <f t="shared" si="359"/>
        <v>-33.333333333333336</v>
      </c>
      <c r="Y185" s="956">
        <f t="shared" si="359"/>
        <v>-33.333333333333336</v>
      </c>
      <c r="Z185" s="956">
        <f t="shared" si="359"/>
        <v>-33.333333333333336</v>
      </c>
      <c r="AA185" s="956">
        <f t="shared" si="359"/>
        <v>-33.333333333333336</v>
      </c>
      <c r="AB185" s="956">
        <f t="shared" si="359"/>
        <v>-33.333333333333336</v>
      </c>
      <c r="AC185" s="956">
        <f t="shared" si="359"/>
        <v>-33.333333333333336</v>
      </c>
      <c r="AD185" s="956">
        <f t="shared" si="359"/>
        <v>-33.333333333333336</v>
      </c>
      <c r="AE185" s="956">
        <f t="shared" si="359"/>
        <v>-33.333333333333336</v>
      </c>
      <c r="AF185" s="956">
        <f t="shared" si="359"/>
        <v>-33.333333333333336</v>
      </c>
      <c r="AG185" s="956">
        <f t="shared" si="359"/>
        <v>-33.333333333333336</v>
      </c>
      <c r="AH185" s="956">
        <f t="shared" si="359"/>
        <v>-33.333333333333336</v>
      </c>
      <c r="AI185" s="956">
        <f t="shared" si="359"/>
        <v>-33.333333333333336</v>
      </c>
      <c r="AJ185" s="956">
        <f t="shared" si="359"/>
        <v>-33.333333333333336</v>
      </c>
      <c r="AK185" s="956">
        <f t="shared" si="359"/>
        <v>-33.333333333333336</v>
      </c>
      <c r="AL185" s="956">
        <f t="shared" si="359"/>
        <v>-33.333333333333336</v>
      </c>
      <c r="AM185" s="956">
        <f t="shared" si="359"/>
        <v>-33.333333333333336</v>
      </c>
    </row>
    <row r="186" spans="2:60" s="300" customFormat="1" ht="16.2" thickBot="1">
      <c r="B186" s="982" t="s">
        <v>255</v>
      </c>
      <c r="C186" s="983"/>
      <c r="D186" s="956">
        <f t="shared" ref="D186:AM186" si="360">SUM(D184:D185)</f>
        <v>1983.3333333333333</v>
      </c>
      <c r="E186" s="956">
        <f t="shared" si="360"/>
        <v>1966.6666666666665</v>
      </c>
      <c r="F186" s="956">
        <f t="shared" si="360"/>
        <v>1949.9999999999998</v>
      </c>
      <c r="G186" s="956">
        <f t="shared" si="360"/>
        <v>1933.333333333333</v>
      </c>
      <c r="H186" s="956">
        <f t="shared" si="360"/>
        <v>1916.6666666666663</v>
      </c>
      <c r="I186" s="956">
        <f t="shared" si="360"/>
        <v>1899.9999999999995</v>
      </c>
      <c r="J186" s="956">
        <f t="shared" si="360"/>
        <v>1883.3333333333328</v>
      </c>
      <c r="K186" s="956">
        <f t="shared" si="360"/>
        <v>1866.6666666666661</v>
      </c>
      <c r="L186" s="956">
        <f t="shared" si="360"/>
        <v>1849.9999999999993</v>
      </c>
      <c r="M186" s="956">
        <f t="shared" si="360"/>
        <v>1833.3333333333326</v>
      </c>
      <c r="N186" s="956">
        <f t="shared" si="360"/>
        <v>1816.6666666666658</v>
      </c>
      <c r="O186" s="957">
        <f t="shared" si="360"/>
        <v>1799.9999999999991</v>
      </c>
      <c r="P186" s="956">
        <f t="shared" si="360"/>
        <v>3766.6666666666656</v>
      </c>
      <c r="Q186" s="956">
        <f t="shared" si="360"/>
        <v>3733.3333333333321</v>
      </c>
      <c r="R186" s="956">
        <f t="shared" si="360"/>
        <v>3699.9999999999986</v>
      </c>
      <c r="S186" s="956">
        <f t="shared" si="360"/>
        <v>3666.6666666666652</v>
      </c>
      <c r="T186" s="956">
        <f t="shared" si="360"/>
        <v>3633.3333333333317</v>
      </c>
      <c r="U186" s="956">
        <f t="shared" si="360"/>
        <v>3599.9999999999982</v>
      </c>
      <c r="V186" s="956">
        <f t="shared" si="360"/>
        <v>3566.6666666666647</v>
      </c>
      <c r="W186" s="956">
        <f t="shared" si="360"/>
        <v>3533.3333333333312</v>
      </c>
      <c r="X186" s="956">
        <f t="shared" si="360"/>
        <v>3499.9999999999977</v>
      </c>
      <c r="Y186" s="956">
        <f t="shared" si="360"/>
        <v>3466.6666666666642</v>
      </c>
      <c r="Z186" s="956">
        <f t="shared" si="360"/>
        <v>3433.3333333333308</v>
      </c>
      <c r="AA186" s="957">
        <f t="shared" si="360"/>
        <v>3399.9999999999973</v>
      </c>
      <c r="AB186" s="956">
        <f t="shared" si="360"/>
        <v>3366.6666666666638</v>
      </c>
      <c r="AC186" s="956">
        <f t="shared" si="360"/>
        <v>3333.3333333333303</v>
      </c>
      <c r="AD186" s="956">
        <f t="shared" si="360"/>
        <v>3299.9999999999968</v>
      </c>
      <c r="AE186" s="956">
        <f t="shared" si="360"/>
        <v>3266.6666666666633</v>
      </c>
      <c r="AF186" s="956">
        <f t="shared" si="360"/>
        <v>3233.3333333333298</v>
      </c>
      <c r="AG186" s="956">
        <f t="shared" si="360"/>
        <v>3199.9999999999964</v>
      </c>
      <c r="AH186" s="956">
        <f t="shared" si="360"/>
        <v>3166.6666666666629</v>
      </c>
      <c r="AI186" s="956">
        <f t="shared" si="360"/>
        <v>3133.3333333333294</v>
      </c>
      <c r="AJ186" s="956">
        <f t="shared" si="360"/>
        <v>3099.9999999999959</v>
      </c>
      <c r="AK186" s="956">
        <f t="shared" si="360"/>
        <v>3066.6666666666624</v>
      </c>
      <c r="AL186" s="956">
        <f t="shared" si="360"/>
        <v>3033.3333333333289</v>
      </c>
      <c r="AM186" s="956">
        <f t="shared" si="360"/>
        <v>2999.9999999999955</v>
      </c>
    </row>
    <row r="187" spans="2:60" s="300" customFormat="1" ht="16.8" thickTop="1" thickBot="1">
      <c r="B187" s="305"/>
      <c r="C187" s="305"/>
      <c r="D187" s="323"/>
      <c r="E187" s="323"/>
      <c r="F187" s="323"/>
      <c r="G187" s="323"/>
      <c r="H187" s="323"/>
      <c r="I187" s="323"/>
      <c r="J187" s="323"/>
      <c r="K187" s="323"/>
      <c r="L187" s="323"/>
      <c r="M187" s="323"/>
      <c r="N187" s="323"/>
      <c r="O187" s="599"/>
      <c r="P187" s="323"/>
      <c r="Q187" s="323"/>
      <c r="R187" s="323"/>
      <c r="S187" s="323"/>
      <c r="T187" s="323"/>
      <c r="U187" s="323"/>
      <c r="V187" s="323"/>
      <c r="W187" s="323"/>
      <c r="X187" s="323"/>
      <c r="Y187" s="323"/>
      <c r="Z187" s="323"/>
      <c r="AA187" s="599"/>
      <c r="AB187" s="323"/>
      <c r="AC187" s="323"/>
      <c r="AD187" s="323"/>
      <c r="AE187" s="323"/>
      <c r="AF187" s="323"/>
      <c r="AG187" s="323"/>
      <c r="AH187" s="323"/>
      <c r="AI187" s="323"/>
      <c r="AJ187" s="323"/>
      <c r="AK187" s="323"/>
      <c r="AL187" s="323"/>
      <c r="AM187" s="323"/>
    </row>
    <row r="188" spans="2:60" s="300" customFormat="1" ht="16.2" thickTop="1">
      <c r="B188" s="974" t="str">
        <f>B58</f>
        <v>Painting Equipment</v>
      </c>
      <c r="C188" s="975"/>
      <c r="D188" s="323"/>
      <c r="E188" s="323"/>
      <c r="F188" s="323"/>
      <c r="G188" s="323"/>
      <c r="H188" s="323"/>
      <c r="I188" s="323"/>
      <c r="J188" s="323"/>
      <c r="K188" s="323"/>
      <c r="L188" s="323"/>
      <c r="M188" s="323"/>
      <c r="N188" s="323"/>
      <c r="O188" s="599"/>
      <c r="P188" s="323"/>
      <c r="Q188" s="323"/>
      <c r="R188" s="323"/>
      <c r="S188" s="323"/>
      <c r="T188" s="323"/>
      <c r="U188" s="323"/>
      <c r="V188" s="323"/>
      <c r="W188" s="323"/>
      <c r="X188" s="323"/>
      <c r="Y188" s="323"/>
      <c r="Z188" s="323"/>
      <c r="AA188" s="599"/>
      <c r="AB188" s="323"/>
      <c r="AC188" s="323"/>
      <c r="AD188" s="323"/>
      <c r="AE188" s="323"/>
      <c r="AF188" s="323"/>
      <c r="AG188" s="323"/>
      <c r="AH188" s="323"/>
      <c r="AI188" s="323"/>
      <c r="AJ188" s="323"/>
      <c r="AK188" s="323"/>
      <c r="AL188" s="323"/>
      <c r="AM188" s="323"/>
    </row>
    <row r="189" spans="2:60" s="300" customFormat="1">
      <c r="B189" s="976" t="s">
        <v>112</v>
      </c>
      <c r="C189" s="977"/>
      <c r="D189" s="953">
        <v>0</v>
      </c>
      <c r="E189" s="956">
        <f>D193</f>
        <v>3540</v>
      </c>
      <c r="F189" s="956">
        <f t="shared" ref="F189" si="361">E193</f>
        <v>3480</v>
      </c>
      <c r="G189" s="956">
        <f t="shared" ref="G189" si="362">F193</f>
        <v>3420</v>
      </c>
      <c r="H189" s="956">
        <f t="shared" ref="H189" si="363">G193</f>
        <v>3360</v>
      </c>
      <c r="I189" s="956">
        <f t="shared" ref="I189" si="364">H193</f>
        <v>3300</v>
      </c>
      <c r="J189" s="956">
        <f t="shared" ref="J189" si="365">I193</f>
        <v>3240</v>
      </c>
      <c r="K189" s="956">
        <f t="shared" ref="K189" si="366">J193</f>
        <v>3180</v>
      </c>
      <c r="L189" s="956">
        <f t="shared" ref="L189" si="367">K193</f>
        <v>3120</v>
      </c>
      <c r="M189" s="956">
        <f t="shared" ref="M189" si="368">L193</f>
        <v>3060</v>
      </c>
      <c r="N189" s="956">
        <f t="shared" ref="N189" si="369">M193</f>
        <v>3000</v>
      </c>
      <c r="O189" s="957">
        <f t="shared" ref="O189" si="370">N193</f>
        <v>2940</v>
      </c>
      <c r="P189" s="956">
        <f t="shared" ref="P189" si="371">O193</f>
        <v>2880</v>
      </c>
      <c r="Q189" s="956">
        <f t="shared" ref="Q189" si="372">P193</f>
        <v>2820</v>
      </c>
      <c r="R189" s="956">
        <f t="shared" ref="R189" si="373">Q193</f>
        <v>2760</v>
      </c>
      <c r="S189" s="956">
        <f t="shared" ref="S189" si="374">R193</f>
        <v>2700</v>
      </c>
      <c r="T189" s="956">
        <f t="shared" ref="T189" si="375">S193</f>
        <v>2640</v>
      </c>
      <c r="U189" s="956">
        <f t="shared" ref="U189" si="376">T193</f>
        <v>2580</v>
      </c>
      <c r="V189" s="956">
        <f t="shared" ref="V189" si="377">U193</f>
        <v>2520</v>
      </c>
      <c r="W189" s="956">
        <f t="shared" ref="W189" si="378">V193</f>
        <v>2460</v>
      </c>
      <c r="X189" s="956">
        <f t="shared" ref="X189" si="379">W193</f>
        <v>2400</v>
      </c>
      <c r="Y189" s="956">
        <f t="shared" ref="Y189" si="380">X193</f>
        <v>2340</v>
      </c>
      <c r="Z189" s="956">
        <f t="shared" ref="Z189" si="381">Y193</f>
        <v>2280</v>
      </c>
      <c r="AA189" s="957">
        <f t="shared" ref="AA189" si="382">Z193</f>
        <v>2220</v>
      </c>
      <c r="AB189" s="956">
        <f t="shared" ref="AB189" si="383">AA193</f>
        <v>2160</v>
      </c>
      <c r="AC189" s="956">
        <f t="shared" ref="AC189" si="384">AB193</f>
        <v>2100</v>
      </c>
      <c r="AD189" s="956">
        <f t="shared" ref="AD189" si="385">AC193</f>
        <v>2040</v>
      </c>
      <c r="AE189" s="956">
        <f t="shared" ref="AE189" si="386">AD193</f>
        <v>1980</v>
      </c>
      <c r="AF189" s="956">
        <f t="shared" ref="AF189" si="387">AE193</f>
        <v>1920</v>
      </c>
      <c r="AG189" s="956">
        <f t="shared" ref="AG189" si="388">AF193</f>
        <v>1860</v>
      </c>
      <c r="AH189" s="956">
        <f t="shared" ref="AH189" si="389">AG193</f>
        <v>1800</v>
      </c>
      <c r="AI189" s="956">
        <f t="shared" ref="AI189" si="390">AH193</f>
        <v>1740</v>
      </c>
      <c r="AJ189" s="956">
        <f t="shared" ref="AJ189" si="391">AI193</f>
        <v>1680</v>
      </c>
      <c r="AK189" s="956">
        <f t="shared" ref="AK189" si="392">AJ193</f>
        <v>1620</v>
      </c>
      <c r="AL189" s="956">
        <f t="shared" ref="AL189" si="393">AK193</f>
        <v>1560</v>
      </c>
      <c r="AM189" s="956">
        <f t="shared" ref="AM189" si="394">AL193</f>
        <v>1500</v>
      </c>
    </row>
    <row r="190" spans="2:60" s="300" customFormat="1">
      <c r="B190" s="976" t="s">
        <v>265</v>
      </c>
      <c r="C190" s="977"/>
      <c r="D190" s="956">
        <f>G58</f>
        <v>3600</v>
      </c>
      <c r="E190" s="956"/>
      <c r="F190" s="956"/>
      <c r="G190" s="956"/>
      <c r="H190" s="956"/>
      <c r="I190" s="956"/>
      <c r="J190" s="956"/>
      <c r="K190" s="956"/>
      <c r="L190" s="956"/>
      <c r="M190" s="956"/>
      <c r="N190" s="956"/>
      <c r="O190" s="957"/>
      <c r="P190" s="956">
        <f>H58</f>
        <v>0</v>
      </c>
      <c r="Q190" s="956"/>
      <c r="R190" s="956"/>
      <c r="S190" s="956"/>
      <c r="T190" s="956"/>
      <c r="U190" s="956"/>
      <c r="V190" s="956"/>
      <c r="W190" s="956"/>
      <c r="X190" s="956"/>
      <c r="Y190" s="956"/>
      <c r="Z190" s="956"/>
      <c r="AA190" s="957"/>
      <c r="AB190" s="956">
        <f>I58</f>
        <v>0</v>
      </c>
      <c r="AC190" s="956"/>
      <c r="AD190" s="956"/>
      <c r="AE190" s="956"/>
      <c r="AF190" s="956"/>
      <c r="AG190" s="956"/>
      <c r="AH190" s="956"/>
      <c r="AI190" s="956"/>
      <c r="AJ190" s="956"/>
      <c r="AK190" s="956"/>
      <c r="AL190" s="956"/>
      <c r="AM190" s="956"/>
    </row>
    <row r="191" spans="2:60" s="300" customFormat="1">
      <c r="B191" s="976" t="s">
        <v>110</v>
      </c>
      <c r="C191" s="977"/>
      <c r="D191" s="956">
        <f>SUM(D189:D190)</f>
        <v>3600</v>
      </c>
      <c r="E191" s="956">
        <f t="shared" ref="E191:AM191" si="395">SUM(E189:E190)</f>
        <v>3540</v>
      </c>
      <c r="F191" s="956">
        <f t="shared" si="395"/>
        <v>3480</v>
      </c>
      <c r="G191" s="956">
        <f t="shared" si="395"/>
        <v>3420</v>
      </c>
      <c r="H191" s="956">
        <f t="shared" si="395"/>
        <v>3360</v>
      </c>
      <c r="I191" s="956">
        <f t="shared" si="395"/>
        <v>3300</v>
      </c>
      <c r="J191" s="956">
        <f t="shared" si="395"/>
        <v>3240</v>
      </c>
      <c r="K191" s="956">
        <f t="shared" si="395"/>
        <v>3180</v>
      </c>
      <c r="L191" s="956">
        <f t="shared" si="395"/>
        <v>3120</v>
      </c>
      <c r="M191" s="956">
        <f t="shared" si="395"/>
        <v>3060</v>
      </c>
      <c r="N191" s="956">
        <f t="shared" si="395"/>
        <v>3000</v>
      </c>
      <c r="O191" s="957">
        <f t="shared" si="395"/>
        <v>2940</v>
      </c>
      <c r="P191" s="956">
        <f t="shared" si="395"/>
        <v>2880</v>
      </c>
      <c r="Q191" s="956">
        <f t="shared" si="395"/>
        <v>2820</v>
      </c>
      <c r="R191" s="956">
        <f t="shared" si="395"/>
        <v>2760</v>
      </c>
      <c r="S191" s="956">
        <f t="shared" si="395"/>
        <v>2700</v>
      </c>
      <c r="T191" s="956">
        <f t="shared" si="395"/>
        <v>2640</v>
      </c>
      <c r="U191" s="956">
        <f t="shared" si="395"/>
        <v>2580</v>
      </c>
      <c r="V191" s="956">
        <f t="shared" si="395"/>
        <v>2520</v>
      </c>
      <c r="W191" s="956">
        <f t="shared" si="395"/>
        <v>2460</v>
      </c>
      <c r="X191" s="956">
        <f t="shared" si="395"/>
        <v>2400</v>
      </c>
      <c r="Y191" s="956">
        <f t="shared" si="395"/>
        <v>2340</v>
      </c>
      <c r="Z191" s="956">
        <f t="shared" si="395"/>
        <v>2280</v>
      </c>
      <c r="AA191" s="957">
        <f t="shared" si="395"/>
        <v>2220</v>
      </c>
      <c r="AB191" s="956">
        <f t="shared" si="395"/>
        <v>2160</v>
      </c>
      <c r="AC191" s="956">
        <f t="shared" si="395"/>
        <v>2100</v>
      </c>
      <c r="AD191" s="956">
        <f t="shared" si="395"/>
        <v>2040</v>
      </c>
      <c r="AE191" s="956">
        <f t="shared" si="395"/>
        <v>1980</v>
      </c>
      <c r="AF191" s="956">
        <f t="shared" si="395"/>
        <v>1920</v>
      </c>
      <c r="AG191" s="956">
        <f t="shared" si="395"/>
        <v>1860</v>
      </c>
      <c r="AH191" s="956">
        <f t="shared" si="395"/>
        <v>1800</v>
      </c>
      <c r="AI191" s="956">
        <f t="shared" si="395"/>
        <v>1740</v>
      </c>
      <c r="AJ191" s="956">
        <f t="shared" si="395"/>
        <v>1680</v>
      </c>
      <c r="AK191" s="956">
        <f t="shared" si="395"/>
        <v>1620</v>
      </c>
      <c r="AL191" s="956">
        <f t="shared" si="395"/>
        <v>1560</v>
      </c>
      <c r="AM191" s="956">
        <f t="shared" si="395"/>
        <v>1500</v>
      </c>
    </row>
    <row r="192" spans="2:60" s="300" customFormat="1">
      <c r="B192" s="976" t="s">
        <v>57</v>
      </c>
      <c r="C192" s="977"/>
      <c r="D192" s="956">
        <f t="shared" ref="D192:AM192" si="396">(-$D$190/$J$58/12)</f>
        <v>-60</v>
      </c>
      <c r="E192" s="956">
        <f t="shared" si="396"/>
        <v>-60</v>
      </c>
      <c r="F192" s="956">
        <f t="shared" si="396"/>
        <v>-60</v>
      </c>
      <c r="G192" s="956">
        <f t="shared" si="396"/>
        <v>-60</v>
      </c>
      <c r="H192" s="956">
        <f t="shared" si="396"/>
        <v>-60</v>
      </c>
      <c r="I192" s="956">
        <f t="shared" si="396"/>
        <v>-60</v>
      </c>
      <c r="J192" s="956">
        <f t="shared" si="396"/>
        <v>-60</v>
      </c>
      <c r="K192" s="956">
        <f t="shared" si="396"/>
        <v>-60</v>
      </c>
      <c r="L192" s="956">
        <f t="shared" si="396"/>
        <v>-60</v>
      </c>
      <c r="M192" s="956">
        <f t="shared" si="396"/>
        <v>-60</v>
      </c>
      <c r="N192" s="956">
        <f t="shared" si="396"/>
        <v>-60</v>
      </c>
      <c r="O192" s="956">
        <f t="shared" si="396"/>
        <v>-60</v>
      </c>
      <c r="P192" s="956">
        <f t="shared" si="396"/>
        <v>-60</v>
      </c>
      <c r="Q192" s="956">
        <f t="shared" si="396"/>
        <v>-60</v>
      </c>
      <c r="R192" s="956">
        <f t="shared" si="396"/>
        <v>-60</v>
      </c>
      <c r="S192" s="956">
        <f t="shared" si="396"/>
        <v>-60</v>
      </c>
      <c r="T192" s="956">
        <f t="shared" si="396"/>
        <v>-60</v>
      </c>
      <c r="U192" s="956">
        <f t="shared" si="396"/>
        <v>-60</v>
      </c>
      <c r="V192" s="956">
        <f t="shared" si="396"/>
        <v>-60</v>
      </c>
      <c r="W192" s="956">
        <f t="shared" si="396"/>
        <v>-60</v>
      </c>
      <c r="X192" s="956">
        <f t="shared" si="396"/>
        <v>-60</v>
      </c>
      <c r="Y192" s="956">
        <f t="shared" si="396"/>
        <v>-60</v>
      </c>
      <c r="Z192" s="956">
        <f t="shared" si="396"/>
        <v>-60</v>
      </c>
      <c r="AA192" s="956">
        <f t="shared" si="396"/>
        <v>-60</v>
      </c>
      <c r="AB192" s="956">
        <f t="shared" si="396"/>
        <v>-60</v>
      </c>
      <c r="AC192" s="956">
        <f t="shared" si="396"/>
        <v>-60</v>
      </c>
      <c r="AD192" s="956">
        <f t="shared" si="396"/>
        <v>-60</v>
      </c>
      <c r="AE192" s="956">
        <f t="shared" si="396"/>
        <v>-60</v>
      </c>
      <c r="AF192" s="956">
        <f t="shared" si="396"/>
        <v>-60</v>
      </c>
      <c r="AG192" s="956">
        <f t="shared" si="396"/>
        <v>-60</v>
      </c>
      <c r="AH192" s="956">
        <f t="shared" si="396"/>
        <v>-60</v>
      </c>
      <c r="AI192" s="956">
        <f t="shared" si="396"/>
        <v>-60</v>
      </c>
      <c r="AJ192" s="956">
        <f t="shared" si="396"/>
        <v>-60</v>
      </c>
      <c r="AK192" s="956">
        <f t="shared" si="396"/>
        <v>-60</v>
      </c>
      <c r="AL192" s="956">
        <f t="shared" si="396"/>
        <v>-60</v>
      </c>
      <c r="AM192" s="956">
        <f t="shared" si="396"/>
        <v>-60</v>
      </c>
    </row>
    <row r="193" spans="2:70" s="300" customFormat="1" ht="16.2" thickBot="1">
      <c r="B193" s="982" t="s">
        <v>255</v>
      </c>
      <c r="C193" s="983"/>
      <c r="D193" s="956">
        <f>SUM(D191:D192)</f>
        <v>3540</v>
      </c>
      <c r="E193" s="956">
        <f t="shared" ref="E193:AM193" si="397">SUM(E191:E192)</f>
        <v>3480</v>
      </c>
      <c r="F193" s="956">
        <f t="shared" si="397"/>
        <v>3420</v>
      </c>
      <c r="G193" s="956">
        <f t="shared" si="397"/>
        <v>3360</v>
      </c>
      <c r="H193" s="956">
        <f t="shared" si="397"/>
        <v>3300</v>
      </c>
      <c r="I193" s="956">
        <f t="shared" si="397"/>
        <v>3240</v>
      </c>
      <c r="J193" s="956">
        <f t="shared" si="397"/>
        <v>3180</v>
      </c>
      <c r="K193" s="956">
        <f t="shared" si="397"/>
        <v>3120</v>
      </c>
      <c r="L193" s="956">
        <f t="shared" si="397"/>
        <v>3060</v>
      </c>
      <c r="M193" s="956">
        <f t="shared" si="397"/>
        <v>3000</v>
      </c>
      <c r="N193" s="956">
        <f t="shared" si="397"/>
        <v>2940</v>
      </c>
      <c r="O193" s="957">
        <f t="shared" si="397"/>
        <v>2880</v>
      </c>
      <c r="P193" s="956">
        <f t="shared" si="397"/>
        <v>2820</v>
      </c>
      <c r="Q193" s="956">
        <f t="shared" si="397"/>
        <v>2760</v>
      </c>
      <c r="R193" s="956">
        <f t="shared" si="397"/>
        <v>2700</v>
      </c>
      <c r="S193" s="956">
        <f t="shared" si="397"/>
        <v>2640</v>
      </c>
      <c r="T193" s="956">
        <f t="shared" si="397"/>
        <v>2580</v>
      </c>
      <c r="U193" s="956">
        <f t="shared" si="397"/>
        <v>2520</v>
      </c>
      <c r="V193" s="956">
        <f t="shared" si="397"/>
        <v>2460</v>
      </c>
      <c r="W193" s="956">
        <f t="shared" si="397"/>
        <v>2400</v>
      </c>
      <c r="X193" s="956">
        <f t="shared" si="397"/>
        <v>2340</v>
      </c>
      <c r="Y193" s="956">
        <f t="shared" si="397"/>
        <v>2280</v>
      </c>
      <c r="Z193" s="956">
        <f t="shared" si="397"/>
        <v>2220</v>
      </c>
      <c r="AA193" s="957">
        <f t="shared" si="397"/>
        <v>2160</v>
      </c>
      <c r="AB193" s="956">
        <f t="shared" si="397"/>
        <v>2100</v>
      </c>
      <c r="AC193" s="956">
        <f t="shared" si="397"/>
        <v>2040</v>
      </c>
      <c r="AD193" s="956">
        <f t="shared" si="397"/>
        <v>1980</v>
      </c>
      <c r="AE193" s="956">
        <f t="shared" si="397"/>
        <v>1920</v>
      </c>
      <c r="AF193" s="956">
        <f t="shared" si="397"/>
        <v>1860</v>
      </c>
      <c r="AG193" s="956">
        <f t="shared" si="397"/>
        <v>1800</v>
      </c>
      <c r="AH193" s="956">
        <f t="shared" si="397"/>
        <v>1740</v>
      </c>
      <c r="AI193" s="956">
        <f t="shared" si="397"/>
        <v>1680</v>
      </c>
      <c r="AJ193" s="956">
        <f t="shared" si="397"/>
        <v>1620</v>
      </c>
      <c r="AK193" s="956">
        <f t="shared" si="397"/>
        <v>1560</v>
      </c>
      <c r="AL193" s="956">
        <f t="shared" si="397"/>
        <v>1500</v>
      </c>
      <c r="AM193" s="956">
        <f t="shared" si="397"/>
        <v>1440</v>
      </c>
    </row>
    <row r="194" spans="2:70" s="300" customFormat="1" ht="16.8" thickTop="1" thickBot="1">
      <c r="B194" s="305"/>
      <c r="C194" s="305"/>
      <c r="D194" s="323"/>
      <c r="E194" s="323"/>
      <c r="F194" s="323"/>
      <c r="G194" s="323"/>
      <c r="H194" s="323"/>
      <c r="I194" s="323"/>
      <c r="J194" s="323"/>
      <c r="K194" s="323"/>
      <c r="L194" s="323"/>
      <c r="M194" s="323"/>
      <c r="N194" s="323"/>
      <c r="O194" s="599"/>
      <c r="P194" s="323"/>
      <c r="Q194" s="323"/>
      <c r="R194" s="323"/>
      <c r="S194" s="323"/>
      <c r="T194" s="323"/>
      <c r="U194" s="323"/>
      <c r="V194" s="323"/>
      <c r="W194" s="323"/>
      <c r="X194" s="323"/>
      <c r="Y194" s="323"/>
      <c r="Z194" s="323"/>
      <c r="AA194" s="599"/>
      <c r="AB194" s="323"/>
      <c r="AC194" s="323"/>
      <c r="AD194" s="323"/>
      <c r="AE194" s="323"/>
      <c r="AF194" s="323"/>
      <c r="AG194" s="323"/>
      <c r="AH194" s="323"/>
      <c r="AI194" s="323"/>
      <c r="AJ194" s="323"/>
      <c r="AK194" s="323"/>
      <c r="AL194" s="323"/>
      <c r="AM194" s="323"/>
    </row>
    <row r="195" spans="2:70" s="300" customFormat="1" ht="16.2" thickTop="1">
      <c r="B195" s="974" t="str">
        <f>B59</f>
        <v>Walkie Talkies</v>
      </c>
      <c r="C195" s="975"/>
      <c r="D195" s="323"/>
      <c r="E195" s="323"/>
      <c r="F195" s="323"/>
      <c r="G195" s="323"/>
      <c r="H195" s="323"/>
      <c r="I195" s="323"/>
      <c r="J195" s="323"/>
      <c r="K195" s="323"/>
      <c r="L195" s="323"/>
      <c r="M195" s="323"/>
      <c r="N195" s="323"/>
      <c r="O195" s="599"/>
      <c r="P195" s="323"/>
      <c r="Q195" s="323"/>
      <c r="R195" s="323"/>
      <c r="S195" s="323"/>
      <c r="T195" s="323"/>
      <c r="U195" s="323"/>
      <c r="V195" s="323"/>
      <c r="W195" s="323"/>
      <c r="X195" s="323"/>
      <c r="Y195" s="323"/>
      <c r="Z195" s="323"/>
      <c r="AA195" s="599"/>
      <c r="AB195" s="323"/>
      <c r="AC195" s="323"/>
      <c r="AD195" s="323"/>
      <c r="AE195" s="323"/>
      <c r="AF195" s="323"/>
      <c r="AG195" s="323"/>
      <c r="AH195" s="323"/>
      <c r="AI195" s="323"/>
      <c r="AJ195" s="323"/>
      <c r="AK195" s="323"/>
      <c r="AL195" s="323"/>
      <c r="AM195" s="323"/>
    </row>
    <row r="196" spans="2:70" s="300" customFormat="1">
      <c r="B196" s="976" t="s">
        <v>112</v>
      </c>
      <c r="C196" s="977"/>
      <c r="D196" s="953">
        <v>0</v>
      </c>
      <c r="E196" s="956">
        <f>D200</f>
        <v>395.83333333333331</v>
      </c>
      <c r="F196" s="956">
        <f t="shared" ref="F196" si="398">E200</f>
        <v>391.66666666666663</v>
      </c>
      <c r="G196" s="956">
        <f t="shared" ref="G196" si="399">F200</f>
        <v>387.49999999999994</v>
      </c>
      <c r="H196" s="956">
        <f t="shared" ref="H196" si="400">G200</f>
        <v>383.33333333333326</v>
      </c>
      <c r="I196" s="956">
        <f t="shared" ref="I196" si="401">H200</f>
        <v>379.16666666666657</v>
      </c>
      <c r="J196" s="956">
        <f t="shared" ref="J196" si="402">I200</f>
        <v>374.99999999999989</v>
      </c>
      <c r="K196" s="956">
        <f t="shared" ref="K196" si="403">J200</f>
        <v>370.8333333333332</v>
      </c>
      <c r="L196" s="956">
        <f t="shared" ref="L196" si="404">K200</f>
        <v>366.66666666666652</v>
      </c>
      <c r="M196" s="956">
        <f t="shared" ref="M196" si="405">L200</f>
        <v>362.49999999999983</v>
      </c>
      <c r="N196" s="956">
        <f t="shared" ref="N196" si="406">M200</f>
        <v>358.33333333333314</v>
      </c>
      <c r="O196" s="957">
        <f t="shared" ref="O196" si="407">N200</f>
        <v>354.16666666666646</v>
      </c>
      <c r="P196" s="956">
        <f t="shared" ref="P196" si="408">O200</f>
        <v>349.99999999999977</v>
      </c>
      <c r="Q196" s="956">
        <f t="shared" ref="Q196" si="409">P200</f>
        <v>345.83333333333309</v>
      </c>
      <c r="R196" s="956">
        <f t="shared" ref="R196" si="410">Q200</f>
        <v>341.6666666666664</v>
      </c>
      <c r="S196" s="956">
        <f t="shared" ref="S196" si="411">R200</f>
        <v>337.49999999999972</v>
      </c>
      <c r="T196" s="956">
        <f t="shared" ref="T196" si="412">S200</f>
        <v>333.33333333333303</v>
      </c>
      <c r="U196" s="956">
        <f t="shared" ref="U196" si="413">T200</f>
        <v>329.16666666666634</v>
      </c>
      <c r="V196" s="956">
        <f t="shared" ref="V196" si="414">U200</f>
        <v>324.99999999999966</v>
      </c>
      <c r="W196" s="956">
        <f t="shared" ref="W196" si="415">V200</f>
        <v>320.83333333333297</v>
      </c>
      <c r="X196" s="956">
        <f t="shared" ref="X196" si="416">W200</f>
        <v>316.66666666666629</v>
      </c>
      <c r="Y196" s="956">
        <f t="shared" ref="Y196" si="417">X200</f>
        <v>312.4999999999996</v>
      </c>
      <c r="Z196" s="956">
        <f t="shared" ref="Z196" si="418">Y200</f>
        <v>308.33333333333292</v>
      </c>
      <c r="AA196" s="957">
        <f t="shared" ref="AA196" si="419">Z200</f>
        <v>304.16666666666623</v>
      </c>
      <c r="AB196" s="956">
        <f t="shared" ref="AB196" si="420">AA200</f>
        <v>299.99999999999955</v>
      </c>
      <c r="AC196" s="956">
        <f t="shared" ref="AC196" si="421">AB200</f>
        <v>295.83333333333286</v>
      </c>
      <c r="AD196" s="956">
        <f t="shared" ref="AD196" si="422">AC200</f>
        <v>291.66666666666617</v>
      </c>
      <c r="AE196" s="956">
        <f t="shared" ref="AE196" si="423">AD200</f>
        <v>287.49999999999949</v>
      </c>
      <c r="AF196" s="956">
        <f t="shared" ref="AF196" si="424">AE200</f>
        <v>283.3333333333328</v>
      </c>
      <c r="AG196" s="956">
        <f t="shared" ref="AG196" si="425">AF200</f>
        <v>279.16666666666612</v>
      </c>
      <c r="AH196" s="956">
        <f t="shared" ref="AH196" si="426">AG200</f>
        <v>274.99999999999943</v>
      </c>
      <c r="AI196" s="956">
        <f t="shared" ref="AI196" si="427">AH200</f>
        <v>270.83333333333275</v>
      </c>
      <c r="AJ196" s="956">
        <f t="shared" ref="AJ196" si="428">AI200</f>
        <v>266.66666666666606</v>
      </c>
      <c r="AK196" s="956">
        <f t="shared" ref="AK196" si="429">AJ200</f>
        <v>262.49999999999937</v>
      </c>
      <c r="AL196" s="956">
        <f t="shared" ref="AL196" si="430">AK200</f>
        <v>258.33333333333269</v>
      </c>
      <c r="AM196" s="956">
        <f t="shared" ref="AM196" si="431">AL200</f>
        <v>254.16666666666603</v>
      </c>
    </row>
    <row r="197" spans="2:70" s="300" customFormat="1">
      <c r="B197" s="976" t="s">
        <v>265</v>
      </c>
      <c r="C197" s="977"/>
      <c r="D197" s="956">
        <f>G59</f>
        <v>400</v>
      </c>
      <c r="E197" s="956"/>
      <c r="F197" s="956"/>
      <c r="G197" s="956"/>
      <c r="H197" s="956"/>
      <c r="I197" s="956"/>
      <c r="J197" s="956"/>
      <c r="K197" s="956"/>
      <c r="L197" s="956"/>
      <c r="M197" s="956"/>
      <c r="N197" s="956"/>
      <c r="O197" s="957"/>
      <c r="P197" s="956">
        <f>H59</f>
        <v>0</v>
      </c>
      <c r="Q197" s="956"/>
      <c r="R197" s="956"/>
      <c r="S197" s="956"/>
      <c r="T197" s="956"/>
      <c r="U197" s="956"/>
      <c r="V197" s="956"/>
      <c r="W197" s="956"/>
      <c r="X197" s="956"/>
      <c r="Y197" s="956"/>
      <c r="Z197" s="956"/>
      <c r="AA197" s="957"/>
      <c r="AB197" s="956">
        <f>I59</f>
        <v>0</v>
      </c>
      <c r="AC197" s="956"/>
      <c r="AD197" s="956"/>
      <c r="AE197" s="956"/>
      <c r="AF197" s="956"/>
      <c r="AG197" s="956"/>
      <c r="AH197" s="956"/>
      <c r="AI197" s="956"/>
      <c r="AJ197" s="956"/>
      <c r="AK197" s="956"/>
      <c r="AL197" s="956"/>
      <c r="AM197" s="956"/>
    </row>
    <row r="198" spans="2:70" s="300" customFormat="1">
      <c r="B198" s="976" t="s">
        <v>110</v>
      </c>
      <c r="C198" s="977"/>
      <c r="D198" s="956">
        <f>SUM(D196:D197)</f>
        <v>400</v>
      </c>
      <c r="E198" s="956">
        <f t="shared" ref="E198:AM198" si="432">SUM(E196:E197)</f>
        <v>395.83333333333331</v>
      </c>
      <c r="F198" s="956">
        <f t="shared" si="432"/>
        <v>391.66666666666663</v>
      </c>
      <c r="G198" s="956">
        <f t="shared" si="432"/>
        <v>387.49999999999994</v>
      </c>
      <c r="H198" s="956">
        <f t="shared" si="432"/>
        <v>383.33333333333326</v>
      </c>
      <c r="I198" s="956">
        <f t="shared" si="432"/>
        <v>379.16666666666657</v>
      </c>
      <c r="J198" s="956">
        <f t="shared" si="432"/>
        <v>374.99999999999989</v>
      </c>
      <c r="K198" s="956">
        <f t="shared" si="432"/>
        <v>370.8333333333332</v>
      </c>
      <c r="L198" s="956">
        <f t="shared" si="432"/>
        <v>366.66666666666652</v>
      </c>
      <c r="M198" s="956">
        <f t="shared" si="432"/>
        <v>362.49999999999983</v>
      </c>
      <c r="N198" s="956">
        <f t="shared" si="432"/>
        <v>358.33333333333314</v>
      </c>
      <c r="O198" s="957">
        <f t="shared" si="432"/>
        <v>354.16666666666646</v>
      </c>
      <c r="P198" s="956">
        <f t="shared" si="432"/>
        <v>349.99999999999977</v>
      </c>
      <c r="Q198" s="956">
        <f t="shared" si="432"/>
        <v>345.83333333333309</v>
      </c>
      <c r="R198" s="956">
        <f t="shared" si="432"/>
        <v>341.6666666666664</v>
      </c>
      <c r="S198" s="956">
        <f t="shared" si="432"/>
        <v>337.49999999999972</v>
      </c>
      <c r="T198" s="956">
        <f t="shared" si="432"/>
        <v>333.33333333333303</v>
      </c>
      <c r="U198" s="956">
        <f t="shared" si="432"/>
        <v>329.16666666666634</v>
      </c>
      <c r="V198" s="956">
        <f t="shared" si="432"/>
        <v>324.99999999999966</v>
      </c>
      <c r="W198" s="956">
        <f t="shared" si="432"/>
        <v>320.83333333333297</v>
      </c>
      <c r="X198" s="956">
        <f t="shared" si="432"/>
        <v>316.66666666666629</v>
      </c>
      <c r="Y198" s="956">
        <f t="shared" si="432"/>
        <v>312.4999999999996</v>
      </c>
      <c r="Z198" s="956">
        <f t="shared" si="432"/>
        <v>308.33333333333292</v>
      </c>
      <c r="AA198" s="957">
        <f t="shared" si="432"/>
        <v>304.16666666666623</v>
      </c>
      <c r="AB198" s="956">
        <f t="shared" si="432"/>
        <v>299.99999999999955</v>
      </c>
      <c r="AC198" s="956">
        <f t="shared" si="432"/>
        <v>295.83333333333286</v>
      </c>
      <c r="AD198" s="956">
        <f t="shared" si="432"/>
        <v>291.66666666666617</v>
      </c>
      <c r="AE198" s="956">
        <f t="shared" si="432"/>
        <v>287.49999999999949</v>
      </c>
      <c r="AF198" s="956">
        <f t="shared" si="432"/>
        <v>283.3333333333328</v>
      </c>
      <c r="AG198" s="956">
        <f t="shared" si="432"/>
        <v>279.16666666666612</v>
      </c>
      <c r="AH198" s="956">
        <f t="shared" si="432"/>
        <v>274.99999999999943</v>
      </c>
      <c r="AI198" s="956">
        <f t="shared" si="432"/>
        <v>270.83333333333275</v>
      </c>
      <c r="AJ198" s="956">
        <f t="shared" si="432"/>
        <v>266.66666666666606</v>
      </c>
      <c r="AK198" s="956">
        <f t="shared" si="432"/>
        <v>262.49999999999937</v>
      </c>
      <c r="AL198" s="956">
        <f t="shared" si="432"/>
        <v>258.33333333333269</v>
      </c>
      <c r="AM198" s="956">
        <f t="shared" si="432"/>
        <v>254.16666666666603</v>
      </c>
    </row>
    <row r="199" spans="2:70" s="300" customFormat="1">
      <c r="B199" s="976" t="s">
        <v>57</v>
      </c>
      <c r="C199" s="977"/>
      <c r="D199" s="956">
        <f t="shared" ref="D199:AM199" si="433">(-$D$197/$J$59/12)</f>
        <v>-4.166666666666667</v>
      </c>
      <c r="E199" s="956">
        <f t="shared" si="433"/>
        <v>-4.166666666666667</v>
      </c>
      <c r="F199" s="956">
        <f t="shared" si="433"/>
        <v>-4.166666666666667</v>
      </c>
      <c r="G199" s="956">
        <f t="shared" si="433"/>
        <v>-4.166666666666667</v>
      </c>
      <c r="H199" s="956">
        <f t="shared" si="433"/>
        <v>-4.166666666666667</v>
      </c>
      <c r="I199" s="956">
        <f t="shared" si="433"/>
        <v>-4.166666666666667</v>
      </c>
      <c r="J199" s="956">
        <f t="shared" si="433"/>
        <v>-4.166666666666667</v>
      </c>
      <c r="K199" s="956">
        <f t="shared" si="433"/>
        <v>-4.166666666666667</v>
      </c>
      <c r="L199" s="956">
        <f t="shared" si="433"/>
        <v>-4.166666666666667</v>
      </c>
      <c r="M199" s="956">
        <f t="shared" si="433"/>
        <v>-4.166666666666667</v>
      </c>
      <c r="N199" s="956">
        <f t="shared" si="433"/>
        <v>-4.166666666666667</v>
      </c>
      <c r="O199" s="956">
        <f t="shared" si="433"/>
        <v>-4.166666666666667</v>
      </c>
      <c r="P199" s="956">
        <f t="shared" si="433"/>
        <v>-4.166666666666667</v>
      </c>
      <c r="Q199" s="956">
        <f t="shared" si="433"/>
        <v>-4.166666666666667</v>
      </c>
      <c r="R199" s="956">
        <f t="shared" si="433"/>
        <v>-4.166666666666667</v>
      </c>
      <c r="S199" s="956">
        <f t="shared" si="433"/>
        <v>-4.166666666666667</v>
      </c>
      <c r="T199" s="956">
        <f t="shared" si="433"/>
        <v>-4.166666666666667</v>
      </c>
      <c r="U199" s="956">
        <f t="shared" si="433"/>
        <v>-4.166666666666667</v>
      </c>
      <c r="V199" s="956">
        <f t="shared" si="433"/>
        <v>-4.166666666666667</v>
      </c>
      <c r="W199" s="956">
        <f t="shared" si="433"/>
        <v>-4.166666666666667</v>
      </c>
      <c r="X199" s="956">
        <f t="shared" si="433"/>
        <v>-4.166666666666667</v>
      </c>
      <c r="Y199" s="956">
        <f t="shared" si="433"/>
        <v>-4.166666666666667</v>
      </c>
      <c r="Z199" s="956">
        <f t="shared" si="433"/>
        <v>-4.166666666666667</v>
      </c>
      <c r="AA199" s="956">
        <f t="shared" si="433"/>
        <v>-4.166666666666667</v>
      </c>
      <c r="AB199" s="956">
        <f t="shared" si="433"/>
        <v>-4.166666666666667</v>
      </c>
      <c r="AC199" s="956">
        <f t="shared" si="433"/>
        <v>-4.166666666666667</v>
      </c>
      <c r="AD199" s="956">
        <f t="shared" si="433"/>
        <v>-4.166666666666667</v>
      </c>
      <c r="AE199" s="956">
        <f t="shared" si="433"/>
        <v>-4.166666666666667</v>
      </c>
      <c r="AF199" s="956">
        <f t="shared" si="433"/>
        <v>-4.166666666666667</v>
      </c>
      <c r="AG199" s="956">
        <f t="shared" si="433"/>
        <v>-4.166666666666667</v>
      </c>
      <c r="AH199" s="956">
        <f t="shared" si="433"/>
        <v>-4.166666666666667</v>
      </c>
      <c r="AI199" s="956">
        <f t="shared" si="433"/>
        <v>-4.166666666666667</v>
      </c>
      <c r="AJ199" s="956">
        <f t="shared" si="433"/>
        <v>-4.166666666666667</v>
      </c>
      <c r="AK199" s="956">
        <f t="shared" si="433"/>
        <v>-4.166666666666667</v>
      </c>
      <c r="AL199" s="956">
        <f t="shared" si="433"/>
        <v>-4.166666666666667</v>
      </c>
      <c r="AM199" s="956">
        <f t="shared" si="433"/>
        <v>-4.166666666666667</v>
      </c>
    </row>
    <row r="200" spans="2:70" s="300" customFormat="1" ht="16.2" thickBot="1">
      <c r="B200" s="982" t="s">
        <v>255</v>
      </c>
      <c r="C200" s="983"/>
      <c r="D200" s="956">
        <f>SUM(D198:D199)</f>
        <v>395.83333333333331</v>
      </c>
      <c r="E200" s="956">
        <f t="shared" ref="E200:AM200" si="434">SUM(E198:E199)</f>
        <v>391.66666666666663</v>
      </c>
      <c r="F200" s="956">
        <f t="shared" si="434"/>
        <v>387.49999999999994</v>
      </c>
      <c r="G200" s="956">
        <f t="shared" si="434"/>
        <v>383.33333333333326</v>
      </c>
      <c r="H200" s="956">
        <f t="shared" si="434"/>
        <v>379.16666666666657</v>
      </c>
      <c r="I200" s="956">
        <f t="shared" si="434"/>
        <v>374.99999999999989</v>
      </c>
      <c r="J200" s="956">
        <f t="shared" si="434"/>
        <v>370.8333333333332</v>
      </c>
      <c r="K200" s="956">
        <f t="shared" si="434"/>
        <v>366.66666666666652</v>
      </c>
      <c r="L200" s="956">
        <f t="shared" si="434"/>
        <v>362.49999999999983</v>
      </c>
      <c r="M200" s="956">
        <f t="shared" si="434"/>
        <v>358.33333333333314</v>
      </c>
      <c r="N200" s="956">
        <f t="shared" si="434"/>
        <v>354.16666666666646</v>
      </c>
      <c r="O200" s="957">
        <f t="shared" si="434"/>
        <v>349.99999999999977</v>
      </c>
      <c r="P200" s="956">
        <f t="shared" si="434"/>
        <v>345.83333333333309</v>
      </c>
      <c r="Q200" s="956">
        <f t="shared" si="434"/>
        <v>341.6666666666664</v>
      </c>
      <c r="R200" s="956">
        <f t="shared" si="434"/>
        <v>337.49999999999972</v>
      </c>
      <c r="S200" s="956">
        <f t="shared" si="434"/>
        <v>333.33333333333303</v>
      </c>
      <c r="T200" s="956">
        <f t="shared" si="434"/>
        <v>329.16666666666634</v>
      </c>
      <c r="U200" s="956">
        <f t="shared" si="434"/>
        <v>324.99999999999966</v>
      </c>
      <c r="V200" s="956">
        <f t="shared" si="434"/>
        <v>320.83333333333297</v>
      </c>
      <c r="W200" s="956">
        <f t="shared" si="434"/>
        <v>316.66666666666629</v>
      </c>
      <c r="X200" s="956">
        <f t="shared" si="434"/>
        <v>312.4999999999996</v>
      </c>
      <c r="Y200" s="956">
        <f t="shared" si="434"/>
        <v>308.33333333333292</v>
      </c>
      <c r="Z200" s="956">
        <f t="shared" si="434"/>
        <v>304.16666666666623</v>
      </c>
      <c r="AA200" s="957">
        <f t="shared" si="434"/>
        <v>299.99999999999955</v>
      </c>
      <c r="AB200" s="956">
        <f t="shared" si="434"/>
        <v>295.83333333333286</v>
      </c>
      <c r="AC200" s="956">
        <f t="shared" si="434"/>
        <v>291.66666666666617</v>
      </c>
      <c r="AD200" s="956">
        <f t="shared" si="434"/>
        <v>287.49999999999949</v>
      </c>
      <c r="AE200" s="956">
        <f t="shared" si="434"/>
        <v>283.3333333333328</v>
      </c>
      <c r="AF200" s="956">
        <f t="shared" si="434"/>
        <v>279.16666666666612</v>
      </c>
      <c r="AG200" s="956">
        <f t="shared" si="434"/>
        <v>274.99999999999943</v>
      </c>
      <c r="AH200" s="956">
        <f t="shared" si="434"/>
        <v>270.83333333333275</v>
      </c>
      <c r="AI200" s="956">
        <f t="shared" si="434"/>
        <v>266.66666666666606</v>
      </c>
      <c r="AJ200" s="956">
        <f t="shared" si="434"/>
        <v>262.49999999999937</v>
      </c>
      <c r="AK200" s="956">
        <f t="shared" si="434"/>
        <v>258.33333333333269</v>
      </c>
      <c r="AL200" s="956">
        <f t="shared" si="434"/>
        <v>254.16666666666603</v>
      </c>
      <c r="AM200" s="956">
        <f t="shared" si="434"/>
        <v>249.99999999999937</v>
      </c>
    </row>
    <row r="201" spans="2:70" s="300" customFormat="1" ht="16.2" thickTop="1">
      <c r="B201" s="305"/>
      <c r="C201" s="305"/>
      <c r="D201" s="323"/>
      <c r="E201" s="323"/>
      <c r="F201" s="323"/>
      <c r="G201" s="323"/>
      <c r="H201" s="323"/>
      <c r="I201" s="323"/>
      <c r="J201" s="323"/>
      <c r="K201" s="323"/>
      <c r="L201" s="323"/>
      <c r="M201" s="323"/>
      <c r="N201" s="323"/>
      <c r="O201" s="599"/>
      <c r="P201" s="323"/>
      <c r="Q201" s="323"/>
      <c r="R201" s="323"/>
      <c r="S201" s="323"/>
      <c r="T201" s="323"/>
      <c r="U201" s="323"/>
      <c r="V201" s="323"/>
      <c r="W201" s="323"/>
      <c r="X201" s="323"/>
      <c r="Y201" s="323"/>
      <c r="Z201" s="323"/>
      <c r="AA201" s="599"/>
      <c r="AB201" s="323"/>
      <c r="AC201" s="323"/>
      <c r="AD201" s="323"/>
      <c r="AE201" s="323"/>
      <c r="AF201" s="323"/>
      <c r="AG201" s="323"/>
      <c r="AH201" s="323"/>
      <c r="AI201" s="323"/>
      <c r="AJ201" s="323"/>
      <c r="AK201" s="323"/>
      <c r="AL201" s="323"/>
      <c r="AM201" s="323"/>
    </row>
    <row r="202" spans="2:70" s="300" customFormat="1">
      <c r="B202" s="305"/>
      <c r="C202" s="305"/>
      <c r="D202" s="323"/>
      <c r="E202" s="323"/>
      <c r="F202" s="323"/>
      <c r="G202" s="323"/>
      <c r="H202" s="323"/>
      <c r="I202" s="323"/>
      <c r="J202" s="323"/>
      <c r="K202" s="323"/>
      <c r="L202" s="323"/>
      <c r="M202" s="323"/>
      <c r="N202" s="323"/>
      <c r="O202" s="599"/>
      <c r="P202" s="323"/>
      <c r="Q202" s="323"/>
      <c r="R202" s="323"/>
      <c r="S202" s="323"/>
      <c r="T202" s="323"/>
      <c r="U202" s="323"/>
      <c r="V202" s="323"/>
      <c r="W202" s="323"/>
      <c r="X202" s="323"/>
      <c r="Y202" s="323"/>
      <c r="Z202" s="323"/>
      <c r="AA202" s="599"/>
      <c r="AB202" s="323"/>
      <c r="AC202" s="323"/>
      <c r="AD202" s="323"/>
      <c r="AE202" s="323"/>
      <c r="AF202" s="323"/>
      <c r="AG202" s="323"/>
      <c r="AH202" s="323"/>
      <c r="AI202" s="323"/>
      <c r="AJ202" s="323"/>
      <c r="AK202" s="323"/>
      <c r="AL202" s="323"/>
      <c r="AM202" s="323"/>
    </row>
    <row r="203" spans="2:70" s="966" customFormat="1" ht="21">
      <c r="B203" s="985" t="s">
        <v>256</v>
      </c>
      <c r="D203" s="946">
        <f>D136+D143+D150+D157+D164+D171+D178+D185+D192+D199</f>
        <v>-1353.7619047619048</v>
      </c>
      <c r="E203" s="946">
        <f t="shared" ref="E203:AM203" si="435">E136+E143+E150+E157+E164+E171+E178+E185+E192+E199</f>
        <v>-1353.7619047619048</v>
      </c>
      <c r="F203" s="946">
        <f t="shared" si="435"/>
        <v>-1353.7619047619048</v>
      </c>
      <c r="G203" s="946">
        <f t="shared" si="435"/>
        <v>-1353.7619047619048</v>
      </c>
      <c r="H203" s="946">
        <f t="shared" si="435"/>
        <v>-1353.7619047619048</v>
      </c>
      <c r="I203" s="946">
        <f t="shared" si="435"/>
        <v>-1353.7619047619048</v>
      </c>
      <c r="J203" s="946">
        <f t="shared" si="435"/>
        <v>-1353.7619047619048</v>
      </c>
      <c r="K203" s="946">
        <f t="shared" si="435"/>
        <v>-1353.7619047619048</v>
      </c>
      <c r="L203" s="946">
        <f t="shared" si="435"/>
        <v>-1353.7619047619048</v>
      </c>
      <c r="M203" s="946">
        <f t="shared" si="435"/>
        <v>-1353.7619047619048</v>
      </c>
      <c r="N203" s="946">
        <f t="shared" si="435"/>
        <v>-1353.7619047619048</v>
      </c>
      <c r="O203" s="946">
        <f t="shared" si="435"/>
        <v>-1353.7619047619048</v>
      </c>
      <c r="P203" s="946">
        <f>P136+P143+P150+P157+P164+P171+P178+P185+P192+P199</f>
        <v>-2627.6309523809523</v>
      </c>
      <c r="Q203" s="946">
        <f t="shared" si="435"/>
        <v>-2627.6309523809523</v>
      </c>
      <c r="R203" s="946">
        <f t="shared" si="435"/>
        <v>-2627.6309523809523</v>
      </c>
      <c r="S203" s="946">
        <f t="shared" si="435"/>
        <v>-2627.6309523809523</v>
      </c>
      <c r="T203" s="946">
        <f t="shared" si="435"/>
        <v>-2627.6309523809523</v>
      </c>
      <c r="U203" s="946">
        <f t="shared" si="435"/>
        <v>-2627.6309523809523</v>
      </c>
      <c r="V203" s="946">
        <f t="shared" si="435"/>
        <v>-2627.6309523809523</v>
      </c>
      <c r="W203" s="946">
        <f t="shared" si="435"/>
        <v>-2627.6309523809523</v>
      </c>
      <c r="X203" s="946">
        <f t="shared" si="435"/>
        <v>-2627.6309523809523</v>
      </c>
      <c r="Y203" s="946">
        <f t="shared" si="435"/>
        <v>-2627.6309523809523</v>
      </c>
      <c r="Z203" s="946">
        <f t="shared" si="435"/>
        <v>-2627.6309523809523</v>
      </c>
      <c r="AA203" s="946">
        <f t="shared" si="435"/>
        <v>-2627.6309523809523</v>
      </c>
      <c r="AB203" s="946">
        <f>AB136+AB143+AB150+AB157+AB164+AB171+AB178+AB185+AB192+AB199</f>
        <v>-5088.4880952380954</v>
      </c>
      <c r="AC203" s="946">
        <f t="shared" si="435"/>
        <v>-5088.4880952380954</v>
      </c>
      <c r="AD203" s="946">
        <f t="shared" si="435"/>
        <v>-5088.4880952380954</v>
      </c>
      <c r="AE203" s="946">
        <f t="shared" si="435"/>
        <v>-5088.4880952380954</v>
      </c>
      <c r="AF203" s="946">
        <f>AF136+AF143+AF150+AF157+AF164+AF171+AF178+AF185+AF192+AF199</f>
        <v>-5088.4880952380954</v>
      </c>
      <c r="AG203" s="946">
        <f t="shared" si="435"/>
        <v>-5088.4880952380954</v>
      </c>
      <c r="AH203" s="946">
        <f t="shared" si="435"/>
        <v>-5088.4880952380954</v>
      </c>
      <c r="AI203" s="946">
        <f t="shared" si="435"/>
        <v>-5088.4880952380954</v>
      </c>
      <c r="AJ203" s="946">
        <f t="shared" si="435"/>
        <v>-5088.4880952380954</v>
      </c>
      <c r="AK203" s="946">
        <f t="shared" si="435"/>
        <v>-5088.4880952380954</v>
      </c>
      <c r="AL203" s="946">
        <f t="shared" si="435"/>
        <v>-5088.4880952380954</v>
      </c>
      <c r="AM203" s="946">
        <f t="shared" si="435"/>
        <v>-5088.4880952380954</v>
      </c>
    </row>
    <row r="204" spans="2:70" s="300" customFormat="1">
      <c r="D204" s="615"/>
      <c r="E204" s="615"/>
      <c r="F204" s="615"/>
      <c r="G204" s="615"/>
      <c r="H204" s="615"/>
      <c r="I204" s="615"/>
      <c r="J204" s="615"/>
      <c r="K204" s="615"/>
      <c r="L204" s="615"/>
      <c r="M204" s="615"/>
      <c r="N204" s="615"/>
      <c r="O204" s="616"/>
      <c r="P204" s="615"/>
      <c r="Q204" s="615"/>
      <c r="R204" s="615"/>
      <c r="S204" s="615"/>
      <c r="T204" s="615"/>
      <c r="U204" s="615"/>
      <c r="V204" s="615"/>
      <c r="W204" s="615"/>
      <c r="X204" s="615"/>
      <c r="Y204" s="615"/>
      <c r="Z204" s="615"/>
      <c r="AA204" s="616"/>
      <c r="AB204" s="615"/>
      <c r="AC204" s="615"/>
      <c r="AD204" s="615"/>
      <c r="AE204" s="615"/>
      <c r="AF204" s="615"/>
      <c r="AG204" s="615"/>
      <c r="AH204" s="615"/>
      <c r="AI204" s="615"/>
      <c r="AJ204" s="615"/>
      <c r="AK204" s="615"/>
      <c r="AL204" s="615"/>
      <c r="AM204" s="615"/>
    </row>
    <row r="205" spans="2:70" s="300" customFormat="1">
      <c r="D205" s="615"/>
      <c r="E205" s="615"/>
      <c r="F205" s="615"/>
      <c r="G205" s="615"/>
      <c r="H205" s="615"/>
      <c r="I205" s="615"/>
      <c r="J205" s="615"/>
      <c r="K205" s="615"/>
      <c r="L205" s="615"/>
      <c r="M205" s="615"/>
      <c r="N205" s="615"/>
      <c r="O205" s="616"/>
      <c r="P205" s="615"/>
      <c r="Q205" s="615"/>
      <c r="R205" s="615"/>
      <c r="S205" s="615"/>
      <c r="T205" s="615"/>
      <c r="U205" s="615"/>
      <c r="V205" s="615"/>
      <c r="W205" s="615"/>
      <c r="X205" s="615"/>
      <c r="Y205" s="615"/>
      <c r="Z205" s="615"/>
      <c r="AA205" s="616"/>
      <c r="AB205" s="615"/>
      <c r="AC205" s="615"/>
      <c r="AD205" s="615"/>
      <c r="AE205" s="615"/>
      <c r="AF205" s="615"/>
      <c r="AG205" s="615"/>
      <c r="AH205" s="615"/>
      <c r="AI205" s="615"/>
      <c r="AJ205" s="615"/>
      <c r="AK205" s="615"/>
      <c r="AL205" s="615"/>
      <c r="AM205" s="615"/>
    </row>
    <row r="206" spans="2:70" s="300" customFormat="1">
      <c r="D206" s="615"/>
      <c r="E206" s="615"/>
      <c r="F206" s="615"/>
      <c r="G206" s="615"/>
      <c r="H206" s="615"/>
      <c r="I206" s="615"/>
      <c r="J206" s="615"/>
      <c r="K206" s="615"/>
      <c r="L206" s="615"/>
      <c r="M206" s="615"/>
      <c r="N206" s="615"/>
      <c r="O206" s="616"/>
      <c r="P206" s="615"/>
      <c r="Q206" s="615"/>
      <c r="R206" s="615"/>
      <c r="S206" s="615"/>
      <c r="T206" s="615"/>
      <c r="U206" s="615"/>
      <c r="V206" s="615"/>
      <c r="W206" s="615"/>
      <c r="X206" s="615"/>
      <c r="Y206" s="615"/>
      <c r="Z206" s="615"/>
      <c r="AA206" s="616"/>
      <c r="AB206" s="615"/>
      <c r="AC206" s="615"/>
      <c r="AD206" s="615"/>
      <c r="AE206" s="615"/>
      <c r="AF206" s="615"/>
      <c r="AG206" s="615"/>
      <c r="AH206" s="615"/>
      <c r="AI206" s="615"/>
      <c r="AJ206" s="615"/>
      <c r="AK206" s="615"/>
      <c r="AL206" s="615"/>
      <c r="AM206" s="615"/>
    </row>
    <row r="207" spans="2:70" ht="18">
      <c r="B207" s="968" t="s">
        <v>4</v>
      </c>
      <c r="D207" s="333"/>
      <c r="E207" s="618"/>
      <c r="F207" s="618"/>
      <c r="G207" s="618"/>
      <c r="H207" s="618"/>
      <c r="I207" s="618"/>
      <c r="J207" s="618"/>
      <c r="K207" s="618"/>
      <c r="L207" s="618"/>
      <c r="M207" s="618"/>
      <c r="N207" s="618"/>
      <c r="O207" s="630"/>
      <c r="P207" s="591"/>
      <c r="Q207" s="345"/>
      <c r="R207" s="345"/>
      <c r="S207" s="345"/>
      <c r="T207" s="345"/>
      <c r="U207" s="345"/>
      <c r="V207" s="345"/>
      <c r="W207" s="345"/>
      <c r="X207" s="345"/>
      <c r="Y207" s="345"/>
      <c r="Z207" s="345"/>
      <c r="AA207" s="638"/>
      <c r="AB207" s="591"/>
      <c r="AC207" s="618"/>
      <c r="AD207" s="618"/>
      <c r="AE207" s="618"/>
      <c r="AF207" s="618"/>
      <c r="AG207" s="618"/>
      <c r="AH207" s="618"/>
      <c r="AI207" s="618"/>
      <c r="AJ207" s="618"/>
      <c r="AK207" s="618"/>
      <c r="AL207" s="618"/>
      <c r="AM207" s="618"/>
      <c r="AN207" s="333"/>
      <c r="AO207" s="333"/>
      <c r="AP207" s="333"/>
      <c r="AQ207" s="333"/>
      <c r="AR207" s="333"/>
      <c r="AS207" s="333"/>
      <c r="AT207" s="333"/>
      <c r="AU207" s="333"/>
      <c r="AV207" s="333"/>
      <c r="AW207" s="333"/>
      <c r="AX207" s="333"/>
      <c r="AY207" s="333"/>
      <c r="AZ207" s="333"/>
      <c r="BA207" s="333"/>
      <c r="BB207" s="333"/>
      <c r="BC207" s="333"/>
      <c r="BD207" s="333"/>
      <c r="BE207" s="333"/>
      <c r="BF207" s="333"/>
      <c r="BG207" s="333"/>
      <c r="BH207" s="333"/>
      <c r="BI207" s="333"/>
      <c r="BJ207" s="333"/>
      <c r="BK207" s="333"/>
      <c r="BL207" s="333"/>
      <c r="BM207" s="333"/>
      <c r="BN207" s="333"/>
      <c r="BO207" s="333"/>
      <c r="BP207" s="333"/>
      <c r="BQ207" s="333"/>
      <c r="BR207" s="333"/>
    </row>
    <row r="208" spans="2:70" s="947" customFormat="1">
      <c r="B208" s="947" t="s">
        <v>105</v>
      </c>
      <c r="D208" s="942">
        <f>D116</f>
        <v>-17394.928571428569</v>
      </c>
      <c r="E208" s="942">
        <f t="shared" ref="E208:AM208" si="436">E116</f>
        <v>-15460.294056892435</v>
      </c>
      <c r="F208" s="938">
        <f t="shared" si="436"/>
        <v>-11973.331898545737</v>
      </c>
      <c r="G208" s="938">
        <f t="shared" si="436"/>
        <v>-10260.241564539254</v>
      </c>
      <c r="H208" s="938">
        <f t="shared" si="436"/>
        <v>-6725.6225208077503</v>
      </c>
      <c r="I208" s="938">
        <f t="shared" si="436"/>
        <v>-3864.3742310606972</v>
      </c>
      <c r="J208" s="938">
        <f t="shared" si="436"/>
        <v>-368.19615677302909</v>
      </c>
      <c r="K208" s="938">
        <f t="shared" si="436"/>
        <v>-400.97275717582829</v>
      </c>
      <c r="L208" s="938">
        <f t="shared" si="436"/>
        <v>1408.2515107530232</v>
      </c>
      <c r="M208" s="938">
        <f t="shared" si="436"/>
        <v>4516.3221922982411</v>
      </c>
      <c r="N208" s="938">
        <f t="shared" si="436"/>
        <v>7236.7568350165748</v>
      </c>
      <c r="O208" s="984">
        <f t="shared" si="436"/>
        <v>10731.954988746231</v>
      </c>
      <c r="P208" s="940">
        <f t="shared" si="436"/>
        <v>18432.960491330698</v>
      </c>
      <c r="Q208" s="938">
        <f t="shared" si="436"/>
        <v>30258.01532577119</v>
      </c>
      <c r="R208" s="938">
        <f t="shared" si="436"/>
        <v>45920.075334521847</v>
      </c>
      <c r="S208" s="938">
        <f t="shared" si="436"/>
        <v>60372.6410766423</v>
      </c>
      <c r="T208" s="938">
        <f t="shared" si="436"/>
        <v>68879.170113521584</v>
      </c>
      <c r="U208" s="938">
        <f t="shared" si="436"/>
        <v>78478.810008887885</v>
      </c>
      <c r="V208" s="938">
        <f t="shared" si="436"/>
        <v>88278.82832881817</v>
      </c>
      <c r="W208" s="938">
        <f t="shared" si="436"/>
        <v>86139.551941748199</v>
      </c>
      <c r="X208" s="938">
        <f t="shared" si="436"/>
        <v>103978.4165184821</v>
      </c>
      <c r="Y208" s="938">
        <f t="shared" si="436"/>
        <v>116794.65953220238</v>
      </c>
      <c r="Z208" s="938">
        <f t="shared" si="436"/>
        <v>130962.15425847983</v>
      </c>
      <c r="AA208" s="984">
        <f t="shared" si="436"/>
        <v>130097.95547528347</v>
      </c>
      <c r="AB208" s="940">
        <f t="shared" si="436"/>
        <v>116042.99269346659</v>
      </c>
      <c r="AC208" s="938">
        <f t="shared" si="436"/>
        <v>134949.18937487234</v>
      </c>
      <c r="AD208" s="938">
        <f t="shared" si="436"/>
        <v>171505.07231520055</v>
      </c>
      <c r="AE208" s="938">
        <f t="shared" si="436"/>
        <v>177185.88976211354</v>
      </c>
      <c r="AF208" s="938">
        <f t="shared" si="436"/>
        <v>203653.67504572196</v>
      </c>
      <c r="AG208" s="938">
        <f t="shared" si="436"/>
        <v>250810.10103859543</v>
      </c>
      <c r="AH208" s="938">
        <f t="shared" si="436"/>
        <v>288059.96975577256</v>
      </c>
      <c r="AI208" s="938">
        <f t="shared" si="436"/>
        <v>298790.53244777123</v>
      </c>
      <c r="AJ208" s="938">
        <f t="shared" si="436"/>
        <v>290119.49639559904</v>
      </c>
      <c r="AK208" s="938">
        <f t="shared" si="436"/>
        <v>327491.32678076369</v>
      </c>
      <c r="AL208" s="938">
        <f t="shared" si="436"/>
        <v>351147.64373288315</v>
      </c>
      <c r="AM208" s="938">
        <f t="shared" si="436"/>
        <v>373269.60544369649</v>
      </c>
      <c r="AN208" s="942"/>
      <c r="AO208" s="942"/>
      <c r="AP208" s="942"/>
      <c r="AQ208" s="942"/>
      <c r="AR208" s="942"/>
      <c r="AS208" s="942"/>
      <c r="AT208" s="942"/>
      <c r="AU208" s="942"/>
      <c r="AV208" s="942"/>
      <c r="AW208" s="942"/>
      <c r="AX208" s="942"/>
      <c r="AY208" s="942"/>
      <c r="AZ208" s="942"/>
      <c r="BA208" s="942"/>
      <c r="BB208" s="942"/>
      <c r="BC208" s="942"/>
      <c r="BD208" s="942"/>
      <c r="BE208" s="942"/>
      <c r="BF208" s="942"/>
      <c r="BG208" s="942"/>
      <c r="BH208" s="942"/>
      <c r="BI208" s="942"/>
      <c r="BJ208" s="942"/>
      <c r="BK208" s="942"/>
      <c r="BL208" s="942"/>
      <c r="BM208" s="942"/>
      <c r="BN208" s="942"/>
      <c r="BO208" s="942"/>
      <c r="BP208" s="942"/>
      <c r="BQ208" s="942"/>
      <c r="BR208" s="942"/>
    </row>
    <row r="209" spans="2:70">
      <c r="B209" s="593" t="s">
        <v>214</v>
      </c>
      <c r="D209" s="383">
        <f t="shared" ref="D209:AM209" si="437">-D112</f>
        <v>1353.7619047619048</v>
      </c>
      <c r="E209" s="383">
        <f t="shared" si="437"/>
        <v>1353.7619047619048</v>
      </c>
      <c r="F209" s="383">
        <f t="shared" si="437"/>
        <v>1353.7619047619048</v>
      </c>
      <c r="G209" s="383">
        <f t="shared" si="437"/>
        <v>1353.7619047619048</v>
      </c>
      <c r="H209" s="383">
        <f t="shared" si="437"/>
        <v>1353.7619047619048</v>
      </c>
      <c r="I209" s="383">
        <f t="shared" si="437"/>
        <v>1353.7619047619048</v>
      </c>
      <c r="J209" s="383">
        <f t="shared" si="437"/>
        <v>1353.7619047619048</v>
      </c>
      <c r="K209" s="383">
        <f t="shared" si="437"/>
        <v>1353.7619047619048</v>
      </c>
      <c r="L209" s="383">
        <f t="shared" si="437"/>
        <v>1353.7619047619048</v>
      </c>
      <c r="M209" s="383">
        <f t="shared" si="437"/>
        <v>1353.7619047619048</v>
      </c>
      <c r="N209" s="383">
        <f t="shared" si="437"/>
        <v>1353.7619047619048</v>
      </c>
      <c r="O209" s="640">
        <f t="shared" si="437"/>
        <v>1353.7619047619048</v>
      </c>
      <c r="P209" s="606">
        <f t="shared" si="437"/>
        <v>2627.6309523809523</v>
      </c>
      <c r="Q209" s="604">
        <f t="shared" si="437"/>
        <v>2627.6309523809523</v>
      </c>
      <c r="R209" s="604">
        <f t="shared" si="437"/>
        <v>2627.6309523809523</v>
      </c>
      <c r="S209" s="604">
        <f t="shared" si="437"/>
        <v>2627.6309523809523</v>
      </c>
      <c r="T209" s="604">
        <f t="shared" si="437"/>
        <v>2627.6309523809523</v>
      </c>
      <c r="U209" s="604">
        <f t="shared" si="437"/>
        <v>2627.6309523809523</v>
      </c>
      <c r="V209" s="604">
        <f t="shared" si="437"/>
        <v>2627.6309523809523</v>
      </c>
      <c r="W209" s="604">
        <f t="shared" si="437"/>
        <v>2627.6309523809523</v>
      </c>
      <c r="X209" s="604">
        <f t="shared" si="437"/>
        <v>2627.6309523809523</v>
      </c>
      <c r="Y209" s="604">
        <f t="shared" si="437"/>
        <v>2627.6309523809523</v>
      </c>
      <c r="Z209" s="604">
        <f t="shared" si="437"/>
        <v>2627.6309523809523</v>
      </c>
      <c r="AA209" s="605">
        <f t="shared" si="437"/>
        <v>2627.6309523809523</v>
      </c>
      <c r="AB209" s="606">
        <f t="shared" si="437"/>
        <v>5088.4880952380954</v>
      </c>
      <c r="AC209" s="383">
        <f t="shared" si="437"/>
        <v>5088.4880952380954</v>
      </c>
      <c r="AD209" s="383">
        <f t="shared" si="437"/>
        <v>5088.4880952380954</v>
      </c>
      <c r="AE209" s="383">
        <f t="shared" si="437"/>
        <v>5088.4880952380954</v>
      </c>
      <c r="AF209" s="383">
        <f t="shared" si="437"/>
        <v>5088.4880952380954</v>
      </c>
      <c r="AG209" s="383">
        <f t="shared" si="437"/>
        <v>5088.4880952380954</v>
      </c>
      <c r="AH209" s="383">
        <f t="shared" si="437"/>
        <v>5088.4880952380954</v>
      </c>
      <c r="AI209" s="383">
        <f t="shared" si="437"/>
        <v>5088.4880952380954</v>
      </c>
      <c r="AJ209" s="383">
        <f t="shared" si="437"/>
        <v>5088.4880952380954</v>
      </c>
      <c r="AK209" s="383">
        <f t="shared" si="437"/>
        <v>5088.4880952380954</v>
      </c>
      <c r="AL209" s="383">
        <f t="shared" si="437"/>
        <v>5088.4880952380954</v>
      </c>
      <c r="AM209" s="383">
        <f t="shared" si="437"/>
        <v>5088.4880952380954</v>
      </c>
      <c r="AN209" s="383"/>
      <c r="AO209" s="383"/>
      <c r="AP209" s="383"/>
      <c r="AQ209" s="383"/>
      <c r="AR209" s="383"/>
      <c r="AS209" s="383"/>
      <c r="AT209" s="383"/>
      <c r="AU209" s="383"/>
      <c r="AV209" s="383"/>
      <c r="AW209" s="383"/>
      <c r="AX209" s="383"/>
      <c r="AY209" s="383"/>
      <c r="AZ209" s="383"/>
      <c r="BA209" s="383"/>
      <c r="BB209" s="383"/>
      <c r="BC209" s="383"/>
      <c r="BD209" s="383"/>
      <c r="BE209" s="383"/>
      <c r="BF209" s="383"/>
      <c r="BG209" s="383"/>
      <c r="BH209" s="383"/>
      <c r="BI209" s="383"/>
      <c r="BJ209" s="383"/>
      <c r="BK209" s="383"/>
      <c r="BL209" s="383"/>
      <c r="BM209" s="383"/>
      <c r="BN209" s="383"/>
      <c r="BO209" s="383"/>
      <c r="BP209" s="383"/>
      <c r="BQ209" s="383"/>
      <c r="BR209" s="383"/>
    </row>
    <row r="210" spans="2:70">
      <c r="B210" s="593" t="s">
        <v>215</v>
      </c>
      <c r="D210" s="383">
        <f>-G60</f>
        <v>-49800</v>
      </c>
      <c r="E210" s="383"/>
      <c r="F210" s="383"/>
      <c r="G210" s="383"/>
      <c r="H210" s="383"/>
      <c r="I210" s="383"/>
      <c r="J210" s="383"/>
      <c r="K210" s="383"/>
      <c r="L210" s="383"/>
      <c r="M210" s="383"/>
      <c r="N210" s="383"/>
      <c r="O210" s="640"/>
      <c r="P210" s="606">
        <f>-H60</f>
        <v>-44380</v>
      </c>
      <c r="Q210" s="604"/>
      <c r="R210" s="604"/>
      <c r="S210" s="604"/>
      <c r="T210" s="604"/>
      <c r="U210" s="604"/>
      <c r="V210" s="604"/>
      <c r="W210" s="604"/>
      <c r="X210" s="604"/>
      <c r="Y210" s="604"/>
      <c r="Z210" s="604"/>
      <c r="AA210" s="605"/>
      <c r="AB210" s="606">
        <f>-I60</f>
        <v>-82480</v>
      </c>
      <c r="AC210" s="383"/>
      <c r="AD210" s="383"/>
      <c r="AE210" s="383"/>
      <c r="AF210" s="383"/>
      <c r="AG210" s="383"/>
      <c r="AH210" s="383"/>
      <c r="AI210" s="383"/>
      <c r="AJ210" s="383"/>
      <c r="AK210" s="383"/>
      <c r="AL210" s="383"/>
      <c r="AM210" s="383"/>
      <c r="AN210" s="383"/>
      <c r="AO210" s="383"/>
      <c r="AP210" s="383"/>
      <c r="AQ210" s="383"/>
      <c r="AR210" s="383"/>
      <c r="AS210" s="383"/>
      <c r="AT210" s="383"/>
      <c r="AU210" s="383"/>
      <c r="AV210" s="383"/>
      <c r="AW210" s="383"/>
      <c r="AX210" s="383"/>
      <c r="AY210" s="383"/>
      <c r="AZ210" s="383"/>
      <c r="BA210" s="383"/>
      <c r="BB210" s="383"/>
      <c r="BC210" s="383"/>
      <c r="BD210" s="383"/>
      <c r="BE210" s="383"/>
      <c r="BF210" s="383"/>
      <c r="BG210" s="383"/>
      <c r="BH210" s="383"/>
      <c r="BI210" s="383"/>
      <c r="BJ210" s="383"/>
      <c r="BK210" s="383"/>
      <c r="BL210" s="383"/>
      <c r="BM210" s="383"/>
      <c r="BN210" s="383"/>
      <c r="BO210" s="383"/>
      <c r="BP210" s="383"/>
      <c r="BQ210" s="383"/>
      <c r="BR210" s="383"/>
    </row>
    <row r="211" spans="2:70">
      <c r="B211" s="593" t="s">
        <v>62</v>
      </c>
      <c r="D211" s="383">
        <f>SUM(D208:D210)</f>
        <v>-65841.166666666657</v>
      </c>
      <c r="E211" s="383">
        <f t="shared" ref="E211:AM211" si="438">SUM(E208:E210)</f>
        <v>-14106.53215213053</v>
      </c>
      <c r="F211" s="383">
        <f t="shared" si="438"/>
        <v>-10619.569993783833</v>
      </c>
      <c r="G211" s="383">
        <f t="shared" si="438"/>
        <v>-8906.4796597773493</v>
      </c>
      <c r="H211" s="383">
        <f t="shared" si="438"/>
        <v>-5371.8606160458457</v>
      </c>
      <c r="I211" s="383">
        <f t="shared" si="438"/>
        <v>-2510.6123262987921</v>
      </c>
      <c r="J211" s="383">
        <f t="shared" si="438"/>
        <v>985.56574798887573</v>
      </c>
      <c r="K211" s="383">
        <f t="shared" si="438"/>
        <v>952.78914758607652</v>
      </c>
      <c r="L211" s="383">
        <f t="shared" si="438"/>
        <v>2762.0134155149281</v>
      </c>
      <c r="M211" s="383">
        <f t="shared" si="438"/>
        <v>5870.0840970601457</v>
      </c>
      <c r="N211" s="383">
        <f t="shared" si="438"/>
        <v>8590.5187397784794</v>
      </c>
      <c r="O211" s="640">
        <f t="shared" si="438"/>
        <v>12085.716893508135</v>
      </c>
      <c r="P211" s="383">
        <f>SUM(P208:P210)</f>
        <v>-23319.408556288348</v>
      </c>
      <c r="Q211" s="383">
        <f t="shared" si="438"/>
        <v>32885.64627815214</v>
      </c>
      <c r="R211" s="383">
        <f t="shared" si="438"/>
        <v>48547.706286902801</v>
      </c>
      <c r="S211" s="383">
        <f t="shared" si="438"/>
        <v>63000.272029023254</v>
      </c>
      <c r="T211" s="383">
        <f t="shared" si="438"/>
        <v>71506.801065902531</v>
      </c>
      <c r="U211" s="383">
        <f t="shared" si="438"/>
        <v>81106.440961268832</v>
      </c>
      <c r="V211" s="383">
        <f t="shared" si="438"/>
        <v>90906.459281199117</v>
      </c>
      <c r="W211" s="383">
        <f t="shared" si="438"/>
        <v>88767.182894129146</v>
      </c>
      <c r="X211" s="383">
        <f t="shared" si="438"/>
        <v>106606.04747086305</v>
      </c>
      <c r="Y211" s="383">
        <f t="shared" si="438"/>
        <v>119422.29048458333</v>
      </c>
      <c r="Z211" s="383">
        <f t="shared" si="438"/>
        <v>133589.78521086078</v>
      </c>
      <c r="AA211" s="640">
        <f t="shared" si="438"/>
        <v>132725.58642766441</v>
      </c>
      <c r="AB211" s="383">
        <f>SUM(AB208:AB210)</f>
        <v>38651.480788704677</v>
      </c>
      <c r="AC211" s="383">
        <f t="shared" si="438"/>
        <v>140037.67747011044</v>
      </c>
      <c r="AD211" s="383">
        <f t="shared" si="438"/>
        <v>176593.56041043866</v>
      </c>
      <c r="AE211" s="383">
        <f t="shared" si="438"/>
        <v>182274.37785735165</v>
      </c>
      <c r="AF211" s="383">
        <f t="shared" si="438"/>
        <v>208742.16314096007</v>
      </c>
      <c r="AG211" s="383">
        <f t="shared" si="438"/>
        <v>255898.58913383354</v>
      </c>
      <c r="AH211" s="383">
        <f t="shared" si="438"/>
        <v>293148.45785101067</v>
      </c>
      <c r="AI211" s="383">
        <f t="shared" si="438"/>
        <v>303879.02054300933</v>
      </c>
      <c r="AJ211" s="383">
        <f t="shared" si="438"/>
        <v>295207.98449083715</v>
      </c>
      <c r="AK211" s="383">
        <f t="shared" si="438"/>
        <v>332579.81487600179</v>
      </c>
      <c r="AL211" s="383">
        <f t="shared" si="438"/>
        <v>356236.13182812126</v>
      </c>
      <c r="AM211" s="383">
        <f t="shared" si="438"/>
        <v>378358.0935389346</v>
      </c>
      <c r="AN211" s="383"/>
      <c r="AO211" s="383"/>
      <c r="AP211" s="383"/>
      <c r="AQ211" s="383"/>
      <c r="AR211" s="383"/>
      <c r="AS211" s="383"/>
      <c r="AT211" s="383"/>
      <c r="AU211" s="383"/>
      <c r="AV211" s="383"/>
      <c r="AW211" s="383"/>
      <c r="AX211" s="383"/>
      <c r="AY211" s="383"/>
      <c r="AZ211" s="383"/>
      <c r="BA211" s="383"/>
      <c r="BB211" s="383"/>
      <c r="BC211" s="383"/>
      <c r="BD211" s="383"/>
      <c r="BE211" s="383"/>
      <c r="BF211" s="383"/>
      <c r="BG211" s="383"/>
      <c r="BH211" s="383"/>
      <c r="BI211" s="383"/>
      <c r="BJ211" s="383"/>
      <c r="BK211" s="383"/>
      <c r="BL211" s="383"/>
      <c r="BM211" s="383"/>
      <c r="BN211" s="383"/>
      <c r="BO211" s="383"/>
      <c r="BP211" s="383"/>
      <c r="BQ211" s="383"/>
      <c r="BR211" s="383"/>
    </row>
    <row r="212" spans="2:70">
      <c r="B212" s="593" t="s">
        <v>121</v>
      </c>
      <c r="D212" s="333">
        <f>MIN(SUM($D211:D211),0)</f>
        <v>-65841.166666666657</v>
      </c>
      <c r="E212" s="333">
        <f>MIN(SUM($D211:E211),0)</f>
        <v>-79947.698818797187</v>
      </c>
      <c r="F212" s="333">
        <f>MIN(SUM($D211:F211),0)</f>
        <v>-90567.268812581024</v>
      </c>
      <c r="G212" s="333">
        <f>MIN(SUM($D211:G211),0)</f>
        <v>-99473.748472358377</v>
      </c>
      <c r="H212" s="333">
        <f>MIN(SUM($D211:H211),0)</f>
        <v>-104845.60908840422</v>
      </c>
      <c r="I212" s="333">
        <f>MIN(SUM($D211:I211),0)</f>
        <v>-107356.22141470302</v>
      </c>
      <c r="J212" s="333">
        <f>MIN(SUM($D211:J211),0)</f>
        <v>-106370.65566671414</v>
      </c>
      <c r="K212" s="333">
        <f>MIN(SUM($D211:K211),0)</f>
        <v>-105417.86651912806</v>
      </c>
      <c r="L212" s="333">
        <f>MIN(SUM($D211:L211),0)</f>
        <v>-102655.85310361313</v>
      </c>
      <c r="M212" s="333">
        <f>MIN(SUM($D211:M211),0)</f>
        <v>-96785.76900655299</v>
      </c>
      <c r="N212" s="333">
        <f>MIN(SUM($D211:N211),0)</f>
        <v>-88195.250266774514</v>
      </c>
      <c r="O212" s="597">
        <f>MIN(SUM($D211:O211),0)</f>
        <v>-76109.533373266371</v>
      </c>
      <c r="P212" s="333">
        <f>MIN(SUM($D211:P211),0)</f>
        <v>-99428.941929554712</v>
      </c>
      <c r="Q212" s="333">
        <f>MIN(SUM($D211:Q211),0)</f>
        <v>-66543.295651402572</v>
      </c>
      <c r="R212" s="333">
        <f>MIN(SUM($D211:R211),0)</f>
        <v>-17995.58936449977</v>
      </c>
      <c r="S212" s="333">
        <f>MIN(SUM($D211:S211),0)</f>
        <v>0</v>
      </c>
      <c r="T212" s="333">
        <f>MIN(SUM($D211:T211),0)</f>
        <v>0</v>
      </c>
      <c r="U212" s="333">
        <f>MIN(SUM($D211:U211),0)</f>
        <v>0</v>
      </c>
      <c r="V212" s="333">
        <f>MIN(SUM($D211:V211),0)</f>
        <v>0</v>
      </c>
      <c r="W212" s="333">
        <f>MIN(SUM($D211:W211),0)</f>
        <v>0</v>
      </c>
      <c r="X212" s="333">
        <f>MIN(SUM($D211:X211),0)</f>
        <v>0</v>
      </c>
      <c r="Y212" s="333">
        <f>MIN(SUM($D211:Y211),0)</f>
        <v>0</v>
      </c>
      <c r="Z212" s="333">
        <f>MIN(SUM($D211:Z211),0)</f>
        <v>0</v>
      </c>
      <c r="AA212" s="597">
        <f>MIN(SUM($D211:AA211),0)</f>
        <v>0</v>
      </c>
      <c r="AB212" s="333">
        <f>MIN(SUM($D211:AB211),0)</f>
        <v>0</v>
      </c>
      <c r="AC212" s="333">
        <f>MIN(SUM($D211:AC211),0)</f>
        <v>0</v>
      </c>
      <c r="AD212" s="333">
        <f>MIN(SUM($D211:AD211),0)</f>
        <v>0</v>
      </c>
      <c r="AE212" s="333">
        <f>MIN(SUM($D211:AE211),0)</f>
        <v>0</v>
      </c>
      <c r="AF212" s="333">
        <f>MIN(SUM($D211:AF211),0)</f>
        <v>0</v>
      </c>
      <c r="AG212" s="333">
        <f>MIN(SUM($D211:AG211),0)</f>
        <v>0</v>
      </c>
      <c r="AH212" s="333">
        <f>MIN(SUM($D211:AH211),0)</f>
        <v>0</v>
      </c>
      <c r="AI212" s="333">
        <f>MIN(SUM($D211:AI211),0)</f>
        <v>0</v>
      </c>
      <c r="AJ212" s="333">
        <f>MIN(SUM($D211:AJ211),0)</f>
        <v>0</v>
      </c>
      <c r="AK212" s="333">
        <f>MIN(SUM($D211:AK211),0)</f>
        <v>0</v>
      </c>
      <c r="AL212" s="333">
        <f>MIN(SUM($D211:AL211),0)</f>
        <v>0</v>
      </c>
      <c r="AM212" s="333">
        <f>MIN(SUM($D211:AM211),0)</f>
        <v>0</v>
      </c>
      <c r="AN212" s="333"/>
      <c r="AO212" s="333"/>
      <c r="AP212" s="333"/>
      <c r="AQ212" s="333"/>
      <c r="AR212" s="333"/>
      <c r="AS212" s="333"/>
      <c r="AT212" s="333"/>
      <c r="AU212" s="333"/>
      <c r="AV212" s="333"/>
      <c r="AW212" s="333"/>
      <c r="AX212" s="333"/>
      <c r="AY212" s="333"/>
      <c r="AZ212" s="333"/>
      <c r="BA212" s="333"/>
      <c r="BB212" s="333"/>
      <c r="BC212" s="333"/>
      <c r="BD212" s="333"/>
      <c r="BE212" s="333"/>
      <c r="BF212" s="333"/>
      <c r="BG212" s="333"/>
      <c r="BH212" s="333"/>
      <c r="BI212" s="333"/>
      <c r="BJ212" s="333"/>
      <c r="BK212" s="333"/>
      <c r="BL212" s="333"/>
      <c r="BM212" s="333"/>
      <c r="BN212" s="333"/>
      <c r="BO212" s="333"/>
      <c r="BP212" s="333"/>
      <c r="BQ212" s="333"/>
      <c r="BR212" s="333"/>
    </row>
    <row r="213" spans="2:70">
      <c r="B213" s="593" t="s">
        <v>122</v>
      </c>
      <c r="D213" s="333">
        <f>MIN(MAX(SUM($D211:D211),0),MAX(D211,0))</f>
        <v>0</v>
      </c>
      <c r="E213" s="333">
        <f>MIN(MAX(SUM($D211:E211),0),MAX(E211,0))</f>
        <v>0</v>
      </c>
      <c r="F213" s="333">
        <f>MIN(MAX(SUM($D211:F211),0),MAX(F211,0))</f>
        <v>0</v>
      </c>
      <c r="G213" s="333">
        <f>MIN(MAX(SUM($D211:G211),0),MAX(G211,0))</f>
        <v>0</v>
      </c>
      <c r="H213" s="333">
        <f>MIN(MAX(SUM($D211:H211),0),MAX(H211,0))</f>
        <v>0</v>
      </c>
      <c r="I213" s="333">
        <f>MIN(MAX(SUM($D211:I211),0),MAX(I211,0))</f>
        <v>0</v>
      </c>
      <c r="J213" s="333">
        <f>MIN(MAX(SUM($D211:J211),0),MAX(J211,0))</f>
        <v>0</v>
      </c>
      <c r="K213" s="333">
        <f>MIN(MAX(SUM($D211:K211),0),MAX(K211,0))</f>
        <v>0</v>
      </c>
      <c r="L213" s="333">
        <f>MIN(MAX(SUM($D211:L211),0),MAX(L211,0))</f>
        <v>0</v>
      </c>
      <c r="M213" s="333">
        <f>MIN(MAX(SUM($D211:M211),0),MAX(M211,0))</f>
        <v>0</v>
      </c>
      <c r="N213" s="333">
        <f>MIN(MAX(SUM($D211:N211),0),MAX(N211,0))</f>
        <v>0</v>
      </c>
      <c r="O213" s="597">
        <f>MIN(MAX(SUM($D211:O211),0),MAX(O211,0))</f>
        <v>0</v>
      </c>
      <c r="P213" s="333">
        <f>MIN(MAX(SUM($D211:P211),0),MAX(P211,0))</f>
        <v>0</v>
      </c>
      <c r="Q213" s="333">
        <f>MIN(MAX(SUM($D211:Q211),0),MAX(Q211,0))</f>
        <v>0</v>
      </c>
      <c r="R213" s="333">
        <f>MIN(MAX(SUM($D211:R211),0),MAX(R211,0))</f>
        <v>0</v>
      </c>
      <c r="S213" s="333">
        <f>MIN(MAX(SUM($D211:S211),0),MAX(S211,0))</f>
        <v>45004.682664523483</v>
      </c>
      <c r="T213" s="333">
        <f>MIN(MAX(SUM($D211:T211),0),MAX(T211,0))</f>
        <v>71506.801065902531</v>
      </c>
      <c r="U213" s="333">
        <f>MIN(MAX(SUM($D211:U211),0),MAX(U211,0))</f>
        <v>81106.440961268832</v>
      </c>
      <c r="V213" s="333">
        <f>MIN(MAX(SUM($D211:V211),0),MAX(V211,0))</f>
        <v>90906.459281199117</v>
      </c>
      <c r="W213" s="333">
        <f>MIN(MAX(SUM($D211:W211),0),MAX(W211,0))</f>
        <v>88767.182894129146</v>
      </c>
      <c r="X213" s="333">
        <f>MIN(MAX(SUM($D211:X211),0),MAX(X211,0))</f>
        <v>106606.04747086305</v>
      </c>
      <c r="Y213" s="333">
        <f>MIN(MAX(SUM($D211:Y211),0),MAX(Y211,0))</f>
        <v>119422.29048458333</v>
      </c>
      <c r="Z213" s="333">
        <f>MIN(MAX(SUM($D211:Z211),0),MAX(Z211,0))</f>
        <v>133589.78521086078</v>
      </c>
      <c r="AA213" s="597">
        <f>MIN(MAX(SUM($D211:AA211),0),MAX(AA211,0))</f>
        <v>132725.58642766441</v>
      </c>
      <c r="AB213" s="333">
        <f>MIN(MAX(SUM($D211:AB211),0),MAX(AB211,0))</f>
        <v>38651.480788704677</v>
      </c>
      <c r="AC213" s="333">
        <f>MIN(MAX(SUM($D211:AC211),0),MAX(AC211,0))</f>
        <v>140037.67747011044</v>
      </c>
      <c r="AD213" s="333">
        <f>MIN(MAX(SUM($D211:AD211),0),MAX(AD211,0))</f>
        <v>176593.56041043866</v>
      </c>
      <c r="AE213" s="333">
        <f>MIN(MAX(SUM($D211:AE211),0),MAX(AE211,0))</f>
        <v>182274.37785735165</v>
      </c>
      <c r="AF213" s="333">
        <f>MIN(MAX(SUM($D211:AF211),0),MAX(AF211,0))</f>
        <v>208742.16314096007</v>
      </c>
      <c r="AG213" s="333">
        <f>MIN(MAX(SUM($D211:AG211),0),MAX(AG211,0))</f>
        <v>255898.58913383354</v>
      </c>
      <c r="AH213" s="333">
        <f>MIN(MAX(SUM($D211:AH211),0),MAX(AH211,0))</f>
        <v>293148.45785101067</v>
      </c>
      <c r="AI213" s="333">
        <f>MIN(MAX(SUM($D211:AI211),0),MAX(AI211,0))</f>
        <v>303879.02054300933</v>
      </c>
      <c r="AJ213" s="333">
        <f>MIN(MAX(SUM($D211:AJ211),0),MAX(AJ211,0))</f>
        <v>295207.98449083715</v>
      </c>
      <c r="AK213" s="333">
        <f>MIN(MAX(SUM($D211:AK211),0),MAX(AK211,0))</f>
        <v>332579.81487600179</v>
      </c>
      <c r="AL213" s="333">
        <f>MIN(MAX(SUM($D211:AL211),0),MAX(AL211,0))</f>
        <v>356236.13182812126</v>
      </c>
      <c r="AM213" s="333">
        <f>MIN(MAX(SUM($D211:AM211),0),MAX(AM211,0))</f>
        <v>378358.0935389346</v>
      </c>
      <c r="AN213" s="333"/>
      <c r="AO213" s="333"/>
      <c r="AP213" s="333"/>
      <c r="AQ213" s="333"/>
      <c r="AR213" s="333"/>
      <c r="AS213" s="333"/>
      <c r="AT213" s="333"/>
      <c r="AU213" s="333"/>
      <c r="AV213" s="333"/>
      <c r="AW213" s="333"/>
      <c r="AX213" s="333"/>
      <c r="AY213" s="333"/>
      <c r="AZ213" s="333"/>
      <c r="BA213" s="333"/>
      <c r="BB213" s="333"/>
      <c r="BC213" s="333"/>
      <c r="BD213" s="333"/>
      <c r="BE213" s="333"/>
      <c r="BF213" s="333"/>
      <c r="BG213" s="333"/>
      <c r="BH213" s="333"/>
      <c r="BI213" s="333"/>
      <c r="BJ213" s="333"/>
      <c r="BK213" s="333"/>
      <c r="BL213" s="333"/>
      <c r="BM213" s="333"/>
      <c r="BN213" s="333"/>
      <c r="BO213" s="333"/>
      <c r="BP213" s="333"/>
      <c r="BQ213" s="333"/>
      <c r="BR213" s="333"/>
    </row>
    <row r="214" spans="2:70">
      <c r="B214" s="593" t="s">
        <v>162</v>
      </c>
      <c r="D214" s="333">
        <f>$D$84*D213</f>
        <v>0</v>
      </c>
      <c r="E214" s="333">
        <f t="shared" ref="E214:AM214" si="439">$D$84*E213</f>
        <v>0</v>
      </c>
      <c r="F214" s="333">
        <f t="shared" si="439"/>
        <v>0</v>
      </c>
      <c r="G214" s="333">
        <f t="shared" si="439"/>
        <v>0</v>
      </c>
      <c r="H214" s="333">
        <f t="shared" si="439"/>
        <v>0</v>
      </c>
      <c r="I214" s="333">
        <f t="shared" si="439"/>
        <v>0</v>
      </c>
      <c r="J214" s="333">
        <f t="shared" si="439"/>
        <v>0</v>
      </c>
      <c r="K214" s="333">
        <f t="shared" si="439"/>
        <v>0</v>
      </c>
      <c r="L214" s="333">
        <f t="shared" si="439"/>
        <v>0</v>
      </c>
      <c r="M214" s="333">
        <f t="shared" si="439"/>
        <v>0</v>
      </c>
      <c r="N214" s="333">
        <f t="shared" si="439"/>
        <v>0</v>
      </c>
      <c r="O214" s="597">
        <f t="shared" si="439"/>
        <v>0</v>
      </c>
      <c r="P214" s="333">
        <f t="shared" si="439"/>
        <v>0</v>
      </c>
      <c r="Q214" s="333">
        <f t="shared" si="439"/>
        <v>0</v>
      </c>
      <c r="R214" s="333">
        <f t="shared" si="439"/>
        <v>0</v>
      </c>
      <c r="S214" s="333">
        <f t="shared" si="439"/>
        <v>11251.170666130871</v>
      </c>
      <c r="T214" s="333">
        <f t="shared" si="439"/>
        <v>17876.700266475633</v>
      </c>
      <c r="U214" s="333">
        <f t="shared" si="439"/>
        <v>20276.610240317208</v>
      </c>
      <c r="V214" s="333">
        <f t="shared" si="439"/>
        <v>22726.614820299779</v>
      </c>
      <c r="W214" s="333">
        <f t="shared" si="439"/>
        <v>22191.795723532287</v>
      </c>
      <c r="X214" s="333">
        <f t="shared" si="439"/>
        <v>26651.511867715762</v>
      </c>
      <c r="Y214" s="333">
        <f t="shared" si="439"/>
        <v>29855.572621145831</v>
      </c>
      <c r="Z214" s="333">
        <f t="shared" si="439"/>
        <v>33397.446302715194</v>
      </c>
      <c r="AA214" s="597">
        <f t="shared" si="439"/>
        <v>33181.396606916103</v>
      </c>
      <c r="AB214" s="333">
        <f t="shared" si="439"/>
        <v>9662.8701971761693</v>
      </c>
      <c r="AC214" s="333">
        <f t="shared" si="439"/>
        <v>35009.419367527611</v>
      </c>
      <c r="AD214" s="333">
        <f t="shared" si="439"/>
        <v>44148.390102609665</v>
      </c>
      <c r="AE214" s="333">
        <f t="shared" si="439"/>
        <v>45568.594464337912</v>
      </c>
      <c r="AF214" s="333">
        <f t="shared" si="439"/>
        <v>52185.540785240017</v>
      </c>
      <c r="AG214" s="333">
        <f t="shared" si="439"/>
        <v>63974.647283458384</v>
      </c>
      <c r="AH214" s="333">
        <f t="shared" si="439"/>
        <v>73287.114462752666</v>
      </c>
      <c r="AI214" s="333">
        <f t="shared" si="439"/>
        <v>75969.755135752333</v>
      </c>
      <c r="AJ214" s="333">
        <f t="shared" si="439"/>
        <v>73801.996122709286</v>
      </c>
      <c r="AK214" s="333">
        <f t="shared" si="439"/>
        <v>83144.953719000448</v>
      </c>
      <c r="AL214" s="333">
        <f t="shared" si="439"/>
        <v>89059.032957030315</v>
      </c>
      <c r="AM214" s="333">
        <f t="shared" si="439"/>
        <v>94589.523384733649</v>
      </c>
      <c r="AN214" s="333"/>
      <c r="AO214" s="333"/>
      <c r="AP214" s="333"/>
      <c r="AQ214" s="333"/>
      <c r="AR214" s="333"/>
      <c r="AS214" s="333"/>
      <c r="AT214" s="333"/>
      <c r="AU214" s="333"/>
      <c r="AV214" s="333"/>
      <c r="AW214" s="333"/>
      <c r="AX214" s="333"/>
      <c r="AY214" s="333"/>
      <c r="AZ214" s="333"/>
      <c r="BA214" s="333"/>
      <c r="BB214" s="333"/>
      <c r="BC214" s="333"/>
      <c r="BD214" s="333"/>
      <c r="BE214" s="333"/>
      <c r="BF214" s="333"/>
      <c r="BG214" s="333"/>
      <c r="BH214" s="333"/>
      <c r="BI214" s="333"/>
      <c r="BJ214" s="333"/>
      <c r="BK214" s="333"/>
      <c r="BL214" s="333"/>
      <c r="BM214" s="333"/>
      <c r="BN214" s="333"/>
      <c r="BO214" s="333"/>
      <c r="BP214" s="333"/>
      <c r="BQ214" s="333"/>
      <c r="BR214" s="333"/>
    </row>
    <row r="215" spans="2:70">
      <c r="D215" s="333"/>
      <c r="E215" s="333"/>
      <c r="F215" s="333"/>
      <c r="G215" s="333"/>
      <c r="H215" s="333"/>
      <c r="I215" s="333"/>
      <c r="J215" s="333"/>
      <c r="K215" s="333"/>
      <c r="L215" s="333"/>
      <c r="M215" s="333"/>
      <c r="N215" s="333"/>
      <c r="O215" s="597"/>
      <c r="P215" s="333"/>
      <c r="Q215" s="333"/>
      <c r="R215" s="333"/>
      <c r="S215" s="333"/>
      <c r="T215" s="333"/>
      <c r="U215" s="333"/>
      <c r="V215" s="333"/>
      <c r="W215" s="333"/>
      <c r="X215" s="333"/>
      <c r="Y215" s="333"/>
      <c r="Z215" s="333"/>
      <c r="AA215" s="597"/>
      <c r="AB215" s="333"/>
      <c r="AC215" s="333"/>
      <c r="AD215" s="333"/>
      <c r="AE215" s="333"/>
      <c r="AF215" s="333"/>
      <c r="AG215" s="333"/>
      <c r="AH215" s="333"/>
      <c r="AI215" s="333"/>
      <c r="AJ215" s="333"/>
      <c r="AK215" s="333"/>
      <c r="AL215" s="333"/>
      <c r="AM215" s="333"/>
      <c r="AN215" s="333"/>
      <c r="AO215" s="333"/>
      <c r="AP215" s="333"/>
      <c r="AQ215" s="333"/>
      <c r="AR215" s="333"/>
      <c r="AS215" s="333"/>
      <c r="AT215" s="333"/>
      <c r="AU215" s="333"/>
      <c r="AV215" s="333"/>
      <c r="AW215" s="333"/>
      <c r="AX215" s="333"/>
      <c r="AY215" s="333"/>
      <c r="AZ215" s="333"/>
      <c r="BA215" s="333"/>
      <c r="BB215" s="333"/>
      <c r="BC215" s="333"/>
      <c r="BD215" s="333"/>
      <c r="BE215" s="333"/>
      <c r="BF215" s="333"/>
      <c r="BG215" s="333"/>
      <c r="BH215" s="333"/>
      <c r="BI215" s="333"/>
      <c r="BJ215" s="333"/>
      <c r="BK215" s="333"/>
      <c r="BL215" s="333"/>
      <c r="BM215" s="333"/>
      <c r="BN215" s="333"/>
      <c r="BO215" s="333"/>
      <c r="BP215" s="333"/>
      <c r="BQ215" s="333"/>
      <c r="BR215" s="333"/>
    </row>
    <row r="216" spans="2:70">
      <c r="D216" s="333"/>
      <c r="E216" s="333"/>
      <c r="F216" s="333"/>
      <c r="G216" s="333"/>
      <c r="H216" s="333"/>
      <c r="I216" s="333"/>
      <c r="J216" s="333"/>
      <c r="K216" s="333"/>
      <c r="L216" s="333"/>
      <c r="M216" s="333"/>
      <c r="N216" s="333"/>
      <c r="O216" s="597"/>
      <c r="P216" s="333"/>
      <c r="Q216" s="333"/>
      <c r="R216" s="333"/>
      <c r="S216" s="333"/>
      <c r="T216" s="333"/>
      <c r="U216" s="333"/>
      <c r="V216" s="333"/>
      <c r="W216" s="333"/>
      <c r="X216" s="333"/>
      <c r="Y216" s="333"/>
      <c r="Z216" s="333"/>
      <c r="AA216" s="597"/>
      <c r="AB216" s="333"/>
      <c r="AC216" s="333"/>
      <c r="AD216" s="333"/>
      <c r="AE216" s="333"/>
      <c r="AF216" s="333"/>
      <c r="AG216" s="333"/>
      <c r="AH216" s="333"/>
      <c r="AI216" s="333"/>
      <c r="AJ216" s="333"/>
      <c r="AK216" s="333"/>
      <c r="AL216" s="333"/>
      <c r="AM216" s="333"/>
      <c r="AN216" s="333"/>
      <c r="AO216" s="333"/>
      <c r="AP216" s="333"/>
      <c r="AQ216" s="333"/>
      <c r="AR216" s="333"/>
      <c r="AS216" s="333"/>
      <c r="AT216" s="333"/>
      <c r="AU216" s="333"/>
      <c r="AV216" s="333"/>
      <c r="AW216" s="333"/>
      <c r="AX216" s="333"/>
      <c r="AY216" s="333"/>
      <c r="AZ216" s="333"/>
      <c r="BA216" s="333"/>
      <c r="BB216" s="333"/>
      <c r="BC216" s="333"/>
      <c r="BD216" s="333"/>
      <c r="BE216" s="333"/>
      <c r="BF216" s="333"/>
      <c r="BG216" s="333"/>
      <c r="BH216" s="333"/>
      <c r="BI216" s="333"/>
      <c r="BJ216" s="333"/>
      <c r="BK216" s="333"/>
      <c r="BL216" s="333"/>
      <c r="BM216" s="333"/>
      <c r="BN216" s="333"/>
      <c r="BO216" s="333"/>
      <c r="BP216" s="333"/>
      <c r="BQ216" s="333"/>
      <c r="BR216" s="333"/>
    </row>
    <row r="217" spans="2:70">
      <c r="D217" s="333"/>
      <c r="E217" s="333"/>
      <c r="F217" s="333"/>
      <c r="G217" s="333"/>
      <c r="H217" s="333"/>
      <c r="I217" s="333"/>
      <c r="J217" s="333"/>
      <c r="K217" s="333"/>
      <c r="L217" s="333"/>
      <c r="M217" s="333"/>
      <c r="N217" s="333"/>
      <c r="O217" s="597"/>
      <c r="P217" s="333"/>
      <c r="Q217" s="333"/>
      <c r="R217" s="333"/>
      <c r="S217" s="333"/>
      <c r="T217" s="333"/>
      <c r="U217" s="333"/>
      <c r="V217" s="333"/>
      <c r="W217" s="333"/>
      <c r="X217" s="333"/>
      <c r="Y217" s="333"/>
      <c r="Z217" s="333"/>
      <c r="AA217" s="597"/>
      <c r="AB217" s="333"/>
      <c r="AC217" s="333"/>
      <c r="AD217" s="333"/>
      <c r="AE217" s="333"/>
      <c r="AF217" s="333"/>
      <c r="AG217" s="333"/>
      <c r="AH217" s="333"/>
      <c r="AI217" s="333"/>
      <c r="AJ217" s="333"/>
      <c r="AK217" s="333"/>
      <c r="AL217" s="333"/>
      <c r="AM217" s="333"/>
      <c r="AN217" s="333"/>
      <c r="AO217" s="333"/>
      <c r="AP217" s="333"/>
      <c r="AQ217" s="333"/>
      <c r="AR217" s="333"/>
      <c r="AS217" s="333"/>
      <c r="AT217" s="333"/>
      <c r="AU217" s="333"/>
      <c r="AV217" s="333"/>
      <c r="AW217" s="333"/>
      <c r="AX217" s="333"/>
      <c r="AY217" s="333"/>
      <c r="AZ217" s="333"/>
      <c r="BA217" s="333"/>
      <c r="BB217" s="333"/>
      <c r="BC217" s="333"/>
      <c r="BD217" s="333"/>
      <c r="BE217" s="333"/>
      <c r="BF217" s="333"/>
      <c r="BG217" s="333"/>
      <c r="BH217" s="333"/>
      <c r="BI217" s="333"/>
      <c r="BJ217" s="333"/>
      <c r="BK217" s="333"/>
      <c r="BL217" s="333"/>
      <c r="BM217" s="333"/>
      <c r="BN217" s="333"/>
      <c r="BO217" s="333"/>
      <c r="BP217" s="333"/>
      <c r="BQ217" s="333"/>
      <c r="BR217" s="333"/>
    </row>
    <row r="218" spans="2:70">
      <c r="D218" s="333"/>
      <c r="E218" s="333"/>
      <c r="F218" s="333"/>
      <c r="G218" s="333"/>
      <c r="H218" s="333"/>
      <c r="I218" s="333"/>
      <c r="J218" s="333"/>
      <c r="K218" s="333"/>
      <c r="L218" s="333"/>
      <c r="M218" s="333"/>
      <c r="N218" s="333"/>
      <c r="O218" s="597"/>
      <c r="P218" s="333"/>
      <c r="Q218" s="333"/>
      <c r="R218" s="333"/>
      <c r="S218" s="333"/>
      <c r="T218" s="333"/>
      <c r="U218" s="333"/>
      <c r="V218" s="333"/>
      <c r="W218" s="333"/>
      <c r="X218" s="333"/>
      <c r="Y218" s="333"/>
      <c r="Z218" s="333"/>
      <c r="AA218" s="597"/>
      <c r="AB218" s="333"/>
      <c r="AC218" s="333"/>
      <c r="AD218" s="333"/>
      <c r="AE218" s="333"/>
      <c r="AF218" s="333"/>
      <c r="AG218" s="333"/>
      <c r="AH218" s="333"/>
      <c r="AI218" s="333"/>
      <c r="AJ218" s="333"/>
      <c r="AK218" s="333"/>
      <c r="AL218" s="333"/>
      <c r="AM218" s="333"/>
      <c r="AN218" s="333"/>
      <c r="AO218" s="333"/>
      <c r="AP218" s="333"/>
      <c r="AQ218" s="333"/>
      <c r="AR218" s="333"/>
      <c r="AS218" s="333"/>
      <c r="AT218" s="333"/>
      <c r="AU218" s="333"/>
      <c r="AV218" s="333"/>
      <c r="AW218" s="333"/>
      <c r="AX218" s="333"/>
      <c r="AY218" s="333"/>
      <c r="AZ218" s="333"/>
      <c r="BA218" s="333"/>
      <c r="BB218" s="333"/>
      <c r="BC218" s="333"/>
      <c r="BD218" s="333"/>
      <c r="BE218" s="333"/>
      <c r="BF218" s="333"/>
      <c r="BG218" s="333"/>
      <c r="BH218" s="333"/>
      <c r="BI218" s="333"/>
      <c r="BJ218" s="333"/>
      <c r="BK218" s="333"/>
      <c r="BL218" s="333"/>
      <c r="BM218" s="333"/>
      <c r="BN218" s="333"/>
      <c r="BO218" s="333"/>
      <c r="BP218" s="333"/>
      <c r="BQ218" s="333"/>
      <c r="BR218" s="333"/>
    </row>
    <row r="219" spans="2:70">
      <c r="D219" s="333"/>
      <c r="E219" s="333"/>
      <c r="F219" s="333"/>
      <c r="G219" s="333"/>
      <c r="H219" s="333"/>
      <c r="I219" s="333"/>
      <c r="J219" s="333"/>
      <c r="K219" s="333"/>
      <c r="L219" s="333"/>
      <c r="M219" s="333"/>
      <c r="N219" s="333"/>
      <c r="O219" s="597"/>
      <c r="P219" s="333"/>
      <c r="Q219" s="333"/>
      <c r="R219" s="333"/>
      <c r="S219" s="333"/>
      <c r="T219" s="333"/>
      <c r="U219" s="333"/>
      <c r="V219" s="333"/>
      <c r="W219" s="333"/>
      <c r="X219" s="333"/>
      <c r="Y219" s="333"/>
      <c r="Z219" s="333"/>
      <c r="AA219" s="597"/>
      <c r="AB219" s="333"/>
      <c r="AC219" s="333"/>
      <c r="AD219" s="333"/>
      <c r="AE219" s="333"/>
      <c r="AF219" s="333"/>
      <c r="AG219" s="333"/>
      <c r="AH219" s="333"/>
      <c r="AI219" s="333"/>
      <c r="AJ219" s="333"/>
      <c r="AK219" s="333"/>
      <c r="AL219" s="333"/>
      <c r="AM219" s="333"/>
      <c r="AN219" s="333"/>
      <c r="AO219" s="333"/>
      <c r="AP219" s="333"/>
      <c r="AQ219" s="333"/>
      <c r="AR219" s="333"/>
      <c r="AS219" s="333"/>
      <c r="AT219" s="333"/>
      <c r="AU219" s="333"/>
      <c r="AV219" s="333"/>
      <c r="AW219" s="333"/>
      <c r="AX219" s="333"/>
      <c r="AY219" s="333"/>
      <c r="AZ219" s="333"/>
      <c r="BA219" s="333"/>
      <c r="BB219" s="333"/>
      <c r="BC219" s="333"/>
      <c r="BD219" s="333"/>
      <c r="BE219" s="333"/>
      <c r="BF219" s="333"/>
      <c r="BG219" s="333"/>
      <c r="BH219" s="333"/>
      <c r="BI219" s="333"/>
      <c r="BJ219" s="333"/>
      <c r="BK219" s="333"/>
      <c r="BL219" s="333"/>
      <c r="BM219" s="333"/>
      <c r="BN219" s="333"/>
      <c r="BO219" s="333"/>
      <c r="BP219" s="333"/>
      <c r="BQ219" s="333"/>
      <c r="BR219" s="333"/>
    </row>
    <row r="220" spans="2:70">
      <c r="D220" s="333"/>
      <c r="E220" s="333"/>
      <c r="F220" s="333"/>
      <c r="G220" s="333"/>
      <c r="H220" s="333"/>
      <c r="I220" s="333"/>
      <c r="J220" s="333"/>
      <c r="K220" s="333"/>
      <c r="L220" s="333"/>
      <c r="M220" s="333"/>
      <c r="N220" s="333"/>
      <c r="O220" s="597"/>
      <c r="P220" s="333"/>
      <c r="Q220" s="333"/>
      <c r="R220" s="333"/>
      <c r="S220" s="333"/>
      <c r="T220" s="333"/>
      <c r="U220" s="333"/>
      <c r="V220" s="333"/>
      <c r="W220" s="333"/>
      <c r="X220" s="333"/>
      <c r="Y220" s="333"/>
      <c r="Z220" s="333"/>
      <c r="AA220" s="597"/>
      <c r="AB220" s="333"/>
      <c r="AC220" s="333"/>
      <c r="AD220" s="333"/>
      <c r="AE220" s="333"/>
      <c r="AF220" s="333"/>
      <c r="AG220" s="333"/>
      <c r="AH220" s="333"/>
      <c r="AI220" s="333"/>
      <c r="AJ220" s="333"/>
      <c r="AK220" s="333"/>
      <c r="AL220" s="333"/>
      <c r="AM220" s="333"/>
      <c r="AN220" s="333"/>
      <c r="AO220" s="333"/>
      <c r="AP220" s="333"/>
      <c r="AQ220" s="333"/>
      <c r="AR220" s="333"/>
      <c r="AS220" s="333"/>
      <c r="AT220" s="333"/>
      <c r="AU220" s="333"/>
      <c r="AV220" s="333"/>
      <c r="AW220" s="333"/>
      <c r="AX220" s="333"/>
      <c r="AY220" s="333"/>
      <c r="AZ220" s="333"/>
      <c r="BA220" s="333"/>
      <c r="BB220" s="333"/>
      <c r="BC220" s="333"/>
      <c r="BD220" s="333"/>
      <c r="BE220" s="333"/>
      <c r="BF220" s="333"/>
      <c r="BG220" s="333"/>
      <c r="BH220" s="333"/>
      <c r="BI220" s="333"/>
      <c r="BJ220" s="333"/>
      <c r="BK220" s="333"/>
      <c r="BL220" s="333"/>
      <c r="BM220" s="333"/>
      <c r="BN220" s="333"/>
      <c r="BO220" s="333"/>
      <c r="BP220" s="333"/>
      <c r="BQ220" s="333"/>
      <c r="BR220" s="333"/>
    </row>
    <row r="221" spans="2:70">
      <c r="D221" s="333"/>
      <c r="E221" s="333"/>
      <c r="F221" s="333"/>
      <c r="G221" s="333"/>
      <c r="H221" s="333"/>
      <c r="I221" s="333"/>
      <c r="J221" s="333"/>
      <c r="K221" s="333"/>
      <c r="L221" s="333"/>
      <c r="M221" s="333"/>
      <c r="N221" s="333"/>
      <c r="O221" s="597"/>
      <c r="P221" s="333"/>
      <c r="Q221" s="333"/>
      <c r="R221" s="333"/>
      <c r="S221" s="333"/>
      <c r="T221" s="333"/>
      <c r="U221" s="333"/>
      <c r="V221" s="333"/>
      <c r="W221" s="333"/>
      <c r="X221" s="333"/>
      <c r="Y221" s="333"/>
      <c r="Z221" s="333"/>
      <c r="AA221" s="597"/>
      <c r="AB221" s="333"/>
      <c r="AC221" s="333"/>
      <c r="AD221" s="333"/>
      <c r="AE221" s="333"/>
      <c r="AF221" s="333"/>
      <c r="AG221" s="333"/>
      <c r="AH221" s="333"/>
      <c r="AI221" s="333"/>
      <c r="AJ221" s="333"/>
      <c r="AK221" s="333"/>
      <c r="AL221" s="333"/>
      <c r="AM221" s="333"/>
      <c r="AN221" s="333"/>
      <c r="AO221" s="333"/>
      <c r="AP221" s="333"/>
      <c r="AQ221" s="333"/>
      <c r="AR221" s="333"/>
      <c r="AS221" s="333"/>
      <c r="AT221" s="333"/>
      <c r="AU221" s="333"/>
      <c r="AV221" s="333"/>
      <c r="AW221" s="333"/>
      <c r="AX221" s="333"/>
      <c r="AY221" s="333"/>
      <c r="AZ221" s="333"/>
      <c r="BA221" s="333"/>
      <c r="BB221" s="333"/>
      <c r="BC221" s="333"/>
      <c r="BD221" s="333"/>
      <c r="BE221" s="333"/>
      <c r="BF221" s="333"/>
      <c r="BG221" s="333"/>
      <c r="BH221" s="333"/>
      <c r="BI221" s="333"/>
      <c r="BJ221" s="333"/>
      <c r="BK221" s="333"/>
      <c r="BL221" s="333"/>
      <c r="BM221" s="333"/>
      <c r="BN221" s="333"/>
      <c r="BO221" s="333"/>
      <c r="BP221" s="333"/>
      <c r="BQ221" s="333"/>
      <c r="BR221" s="333"/>
    </row>
    <row r="222" spans="2:70">
      <c r="D222" s="333"/>
      <c r="E222" s="333"/>
      <c r="F222" s="333"/>
      <c r="G222" s="333"/>
      <c r="H222" s="333"/>
      <c r="I222" s="333"/>
      <c r="J222" s="333"/>
      <c r="K222" s="333"/>
      <c r="L222" s="333"/>
      <c r="M222" s="333"/>
      <c r="N222" s="333"/>
      <c r="O222" s="597"/>
      <c r="P222" s="333"/>
      <c r="Q222" s="333"/>
      <c r="R222" s="333"/>
      <c r="S222" s="333"/>
      <c r="T222" s="333"/>
      <c r="U222" s="333"/>
      <c r="V222" s="333"/>
      <c r="W222" s="333"/>
      <c r="X222" s="333"/>
      <c r="Y222" s="333"/>
      <c r="Z222" s="333"/>
      <c r="AA222" s="597"/>
      <c r="AB222" s="333"/>
      <c r="AC222" s="333"/>
      <c r="AD222" s="333"/>
      <c r="AE222" s="333"/>
      <c r="AF222" s="333"/>
      <c r="AG222" s="333"/>
      <c r="AH222" s="333"/>
      <c r="AI222" s="333"/>
      <c r="AJ222" s="333"/>
      <c r="AK222" s="333"/>
      <c r="AL222" s="333"/>
      <c r="AM222" s="333"/>
      <c r="AN222" s="333"/>
      <c r="AO222" s="333"/>
      <c r="AP222" s="333"/>
      <c r="AQ222" s="333"/>
      <c r="AR222" s="333"/>
      <c r="AS222" s="333"/>
      <c r="AT222" s="333"/>
      <c r="AU222" s="333"/>
      <c r="AV222" s="333"/>
      <c r="AW222" s="333"/>
      <c r="AX222" s="333"/>
      <c r="AY222" s="333"/>
      <c r="AZ222" s="333"/>
      <c r="BA222" s="333"/>
      <c r="BB222" s="333"/>
      <c r="BC222" s="333"/>
      <c r="BD222" s="333"/>
      <c r="BE222" s="333"/>
      <c r="BF222" s="333"/>
      <c r="BG222" s="333"/>
      <c r="BH222" s="333"/>
      <c r="BI222" s="333"/>
      <c r="BJ222" s="333"/>
      <c r="BK222" s="333"/>
      <c r="BL222" s="333"/>
      <c r="BM222" s="333"/>
      <c r="BN222" s="333"/>
      <c r="BO222" s="333"/>
      <c r="BP222" s="333"/>
      <c r="BQ222" s="333"/>
      <c r="BR222" s="333"/>
    </row>
    <row r="223" spans="2:70" ht="17.399999999999999">
      <c r="D223" s="333"/>
      <c r="E223" s="333"/>
      <c r="F223" s="641"/>
      <c r="G223" s="333"/>
      <c r="H223" s="333"/>
      <c r="I223" s="333"/>
      <c r="J223" s="333"/>
      <c r="K223" s="333"/>
      <c r="L223" s="333"/>
      <c r="M223" s="333"/>
      <c r="N223" s="333"/>
      <c r="O223" s="597"/>
      <c r="P223" s="333"/>
      <c r="Q223" s="333"/>
      <c r="R223" s="333"/>
      <c r="S223" s="333"/>
      <c r="T223" s="333"/>
      <c r="U223" s="333"/>
      <c r="V223" s="333"/>
      <c r="W223" s="333"/>
      <c r="X223" s="333"/>
      <c r="Y223" s="333"/>
      <c r="Z223" s="333"/>
      <c r="AA223" s="597"/>
      <c r="AB223" s="333"/>
      <c r="AC223" s="333"/>
      <c r="AD223" s="333"/>
      <c r="AE223" s="333"/>
      <c r="AF223" s="333"/>
      <c r="AG223" s="333"/>
      <c r="AH223" s="333"/>
      <c r="AI223" s="333"/>
      <c r="AJ223" s="333"/>
      <c r="AK223" s="333"/>
      <c r="AL223" s="333"/>
      <c r="AM223" s="333"/>
      <c r="AN223" s="333"/>
      <c r="AO223" s="333"/>
      <c r="AP223" s="333"/>
      <c r="AQ223" s="333"/>
      <c r="AR223" s="333"/>
      <c r="AS223" s="333"/>
      <c r="AT223" s="333"/>
      <c r="AU223" s="333"/>
      <c r="AV223" s="333"/>
      <c r="AW223" s="333"/>
      <c r="AX223" s="333"/>
      <c r="AY223" s="333"/>
      <c r="AZ223" s="333"/>
      <c r="BA223" s="333"/>
      <c r="BB223" s="333"/>
      <c r="BC223" s="333"/>
      <c r="BD223" s="333"/>
      <c r="BE223" s="333"/>
      <c r="BF223" s="333"/>
      <c r="BG223" s="333"/>
      <c r="BH223" s="333"/>
      <c r="BI223" s="333"/>
      <c r="BJ223" s="333"/>
      <c r="BK223" s="333"/>
      <c r="BL223" s="333"/>
      <c r="BM223" s="333"/>
      <c r="BN223" s="333"/>
      <c r="BO223" s="333"/>
      <c r="BP223" s="333"/>
      <c r="BQ223" s="333"/>
      <c r="BR223" s="333"/>
    </row>
    <row r="224" spans="2:70">
      <c r="D224" s="333"/>
      <c r="E224" s="333"/>
      <c r="F224" s="333"/>
      <c r="G224" s="333"/>
      <c r="H224" s="333"/>
      <c r="I224" s="333"/>
      <c r="J224" s="333"/>
      <c r="K224" s="333"/>
      <c r="L224" s="333"/>
      <c r="M224" s="333"/>
      <c r="N224" s="333"/>
      <c r="O224" s="597"/>
      <c r="P224" s="333"/>
      <c r="Q224" s="333"/>
      <c r="R224" s="333"/>
      <c r="S224" s="333"/>
      <c r="T224" s="333"/>
      <c r="U224" s="333"/>
      <c r="V224" s="333"/>
      <c r="W224" s="333"/>
      <c r="X224" s="333"/>
      <c r="Y224" s="333"/>
      <c r="Z224" s="333"/>
      <c r="AA224" s="597"/>
      <c r="AB224" s="333"/>
      <c r="AC224" s="333"/>
      <c r="AD224" s="333"/>
      <c r="AE224" s="333"/>
      <c r="AF224" s="333"/>
      <c r="AG224" s="333"/>
      <c r="AH224" s="333"/>
      <c r="AI224" s="333"/>
      <c r="AJ224" s="333"/>
      <c r="AK224" s="333"/>
      <c r="AL224" s="333"/>
      <c r="AM224" s="333"/>
      <c r="AN224" s="333"/>
      <c r="AO224" s="333"/>
      <c r="AP224" s="333"/>
      <c r="AQ224" s="333"/>
      <c r="AR224" s="333"/>
      <c r="AS224" s="333"/>
      <c r="AT224" s="333"/>
      <c r="AU224" s="333"/>
      <c r="AV224" s="333"/>
      <c r="AW224" s="333"/>
      <c r="AX224" s="333"/>
      <c r="AY224" s="333"/>
      <c r="AZ224" s="333"/>
      <c r="BA224" s="333"/>
      <c r="BB224" s="333"/>
      <c r="BC224" s="333"/>
      <c r="BD224" s="333"/>
      <c r="BE224" s="333"/>
      <c r="BF224" s="333"/>
      <c r="BG224" s="333"/>
      <c r="BH224" s="333"/>
      <c r="BI224" s="333"/>
      <c r="BJ224" s="333"/>
      <c r="BK224" s="333"/>
      <c r="BL224" s="333"/>
      <c r="BM224" s="333"/>
      <c r="BN224" s="333"/>
      <c r="BO224" s="333"/>
      <c r="BP224" s="333"/>
      <c r="BQ224" s="333"/>
      <c r="BR224" s="333"/>
    </row>
    <row r="225" spans="4:70">
      <c r="D225" s="333"/>
      <c r="E225" s="333"/>
      <c r="F225" s="333"/>
      <c r="G225" s="333"/>
      <c r="H225" s="333"/>
      <c r="I225" s="333"/>
      <c r="J225" s="333"/>
      <c r="K225" s="333"/>
      <c r="L225" s="333"/>
      <c r="M225" s="333"/>
      <c r="N225" s="333"/>
      <c r="O225" s="597"/>
      <c r="P225" s="333"/>
      <c r="Q225" s="333"/>
      <c r="R225" s="333"/>
      <c r="S225" s="333"/>
      <c r="T225" s="333"/>
      <c r="U225" s="333"/>
      <c r="V225" s="333"/>
      <c r="W225" s="333"/>
      <c r="X225" s="333"/>
      <c r="Y225" s="333"/>
      <c r="Z225" s="333"/>
      <c r="AA225" s="597"/>
      <c r="AB225" s="333"/>
      <c r="AC225" s="333"/>
      <c r="AD225" s="333"/>
      <c r="AE225" s="333"/>
      <c r="AF225" s="333"/>
      <c r="AG225" s="333"/>
      <c r="AH225" s="333"/>
      <c r="AI225" s="333"/>
      <c r="AJ225" s="333"/>
      <c r="AK225" s="333"/>
      <c r="AL225" s="333"/>
      <c r="AM225" s="333"/>
      <c r="AN225" s="333"/>
      <c r="AO225" s="333"/>
      <c r="AP225" s="333"/>
      <c r="AQ225" s="333"/>
      <c r="AR225" s="333"/>
      <c r="AS225" s="333"/>
      <c r="AT225" s="333"/>
      <c r="AU225" s="333"/>
      <c r="AV225" s="333"/>
      <c r="AW225" s="333"/>
      <c r="AX225" s="333"/>
      <c r="AY225" s="333"/>
      <c r="AZ225" s="333"/>
      <c r="BA225" s="333"/>
      <c r="BB225" s="333"/>
      <c r="BC225" s="333"/>
      <c r="BD225" s="333"/>
      <c r="BE225" s="333"/>
      <c r="BF225" s="333"/>
      <c r="BG225" s="333"/>
      <c r="BH225" s="333"/>
      <c r="BI225" s="333"/>
      <c r="BJ225" s="333"/>
      <c r="BK225" s="333"/>
      <c r="BL225" s="333"/>
      <c r="BM225" s="333"/>
      <c r="BN225" s="333"/>
      <c r="BO225" s="333"/>
      <c r="BP225" s="333"/>
      <c r="BQ225" s="333"/>
      <c r="BR225" s="333"/>
    </row>
    <row r="226" spans="4:70">
      <c r="D226" s="333"/>
      <c r="E226" s="333"/>
      <c r="F226" s="333"/>
      <c r="G226" s="333"/>
      <c r="H226" s="333"/>
      <c r="I226" s="333"/>
      <c r="J226" s="333"/>
      <c r="K226" s="333"/>
      <c r="L226" s="333"/>
      <c r="M226" s="333"/>
      <c r="N226" s="333"/>
      <c r="O226" s="597"/>
      <c r="P226" s="333"/>
      <c r="Q226" s="333"/>
      <c r="R226" s="333"/>
      <c r="S226" s="333"/>
      <c r="T226" s="333"/>
      <c r="U226" s="333"/>
      <c r="V226" s="333"/>
      <c r="W226" s="333"/>
      <c r="X226" s="333"/>
      <c r="Y226" s="333"/>
      <c r="Z226" s="333"/>
      <c r="AA226" s="597"/>
      <c r="AB226" s="333"/>
      <c r="AC226" s="333"/>
      <c r="AD226" s="333"/>
      <c r="AE226" s="333"/>
      <c r="AF226" s="333"/>
      <c r="AG226" s="333"/>
      <c r="AH226" s="333"/>
      <c r="AI226" s="333"/>
      <c r="AJ226" s="333"/>
      <c r="AK226" s="333"/>
      <c r="AL226" s="333"/>
      <c r="AM226" s="333"/>
      <c r="AN226" s="333"/>
      <c r="AO226" s="333"/>
      <c r="AP226" s="333"/>
      <c r="AQ226" s="333"/>
      <c r="AR226" s="333"/>
      <c r="AS226" s="333"/>
      <c r="AT226" s="333"/>
      <c r="AU226" s="333"/>
      <c r="AV226" s="333"/>
      <c r="AW226" s="333"/>
      <c r="AX226" s="333"/>
      <c r="AY226" s="333"/>
      <c r="AZ226" s="333"/>
      <c r="BA226" s="333"/>
      <c r="BB226" s="333"/>
      <c r="BC226" s="333"/>
      <c r="BD226" s="333"/>
      <c r="BE226" s="333"/>
      <c r="BF226" s="333"/>
      <c r="BG226" s="333"/>
      <c r="BH226" s="333"/>
      <c r="BI226" s="333"/>
      <c r="BJ226" s="333"/>
      <c r="BK226" s="333"/>
      <c r="BL226" s="333"/>
      <c r="BM226" s="333"/>
      <c r="BN226" s="333"/>
      <c r="BO226" s="333"/>
      <c r="BP226" s="333"/>
      <c r="BQ226" s="333"/>
      <c r="BR226" s="333"/>
    </row>
    <row r="227" spans="4:70">
      <c r="D227" s="333"/>
      <c r="E227" s="333"/>
      <c r="F227" s="333"/>
      <c r="G227" s="333"/>
      <c r="H227" s="333"/>
      <c r="I227" s="333"/>
      <c r="J227" s="333"/>
      <c r="K227" s="333"/>
      <c r="L227" s="333"/>
      <c r="M227" s="333"/>
      <c r="N227" s="333"/>
      <c r="O227" s="597"/>
      <c r="P227" s="333"/>
      <c r="Q227" s="333"/>
      <c r="R227" s="333"/>
      <c r="S227" s="333"/>
      <c r="T227" s="333"/>
      <c r="U227" s="333"/>
      <c r="V227" s="333"/>
      <c r="W227" s="333"/>
      <c r="X227" s="333"/>
      <c r="Y227" s="333"/>
      <c r="Z227" s="333"/>
      <c r="AA227" s="597"/>
      <c r="AB227" s="333"/>
      <c r="AC227" s="333"/>
      <c r="AD227" s="333"/>
      <c r="AE227" s="333"/>
      <c r="AF227" s="333"/>
      <c r="AG227" s="333"/>
      <c r="AH227" s="333"/>
      <c r="AI227" s="333"/>
      <c r="AJ227" s="333"/>
      <c r="AK227" s="333"/>
      <c r="AL227" s="333"/>
      <c r="AM227" s="333"/>
      <c r="AN227" s="333"/>
      <c r="AO227" s="333"/>
      <c r="AP227" s="333"/>
      <c r="AQ227" s="333"/>
      <c r="AR227" s="333"/>
      <c r="AS227" s="333"/>
      <c r="AT227" s="333"/>
      <c r="AU227" s="333"/>
      <c r="AV227" s="333"/>
      <c r="AW227" s="333"/>
      <c r="AX227" s="333"/>
      <c r="AY227" s="333"/>
      <c r="AZ227" s="333"/>
      <c r="BA227" s="333"/>
      <c r="BB227" s="333"/>
      <c r="BC227" s="333"/>
      <c r="BD227" s="333"/>
      <c r="BE227" s="333"/>
      <c r="BF227" s="333"/>
      <c r="BG227" s="333"/>
      <c r="BH227" s="333"/>
      <c r="BI227" s="333"/>
      <c r="BJ227" s="333"/>
      <c r="BK227" s="333"/>
      <c r="BL227" s="333"/>
      <c r="BM227" s="333"/>
      <c r="BN227" s="333"/>
      <c r="BO227" s="333"/>
      <c r="BP227" s="333"/>
      <c r="BQ227" s="333"/>
      <c r="BR227" s="333"/>
    </row>
    <row r="228" spans="4:70">
      <c r="D228" s="333"/>
      <c r="E228" s="333"/>
      <c r="F228" s="333"/>
      <c r="G228" s="333"/>
      <c r="H228" s="333"/>
      <c r="I228" s="333"/>
      <c r="J228" s="333"/>
      <c r="K228" s="333"/>
      <c r="L228" s="333"/>
      <c r="M228" s="333"/>
      <c r="N228" s="333"/>
      <c r="O228" s="597"/>
      <c r="P228" s="333"/>
      <c r="Q228" s="333"/>
      <c r="R228" s="333"/>
      <c r="S228" s="333"/>
      <c r="T228" s="333"/>
      <c r="U228" s="333"/>
      <c r="V228" s="333"/>
      <c r="W228" s="333"/>
      <c r="X228" s="333"/>
      <c r="Y228" s="333"/>
      <c r="Z228" s="333"/>
      <c r="AA228" s="597"/>
      <c r="AB228" s="333"/>
      <c r="AC228" s="333"/>
      <c r="AD228" s="333"/>
      <c r="AE228" s="333"/>
      <c r="AF228" s="333"/>
      <c r="AG228" s="333"/>
      <c r="AH228" s="333"/>
      <c r="AI228" s="333"/>
      <c r="AJ228" s="333"/>
      <c r="AK228" s="333"/>
      <c r="AL228" s="333"/>
      <c r="AM228" s="333"/>
      <c r="AN228" s="333"/>
      <c r="AO228" s="333"/>
      <c r="AP228" s="333"/>
      <c r="AQ228" s="333"/>
      <c r="AR228" s="333"/>
      <c r="AS228" s="333"/>
      <c r="AT228" s="333"/>
      <c r="AU228" s="333"/>
      <c r="AV228" s="333"/>
      <c r="AW228" s="333"/>
      <c r="AX228" s="333"/>
      <c r="AY228" s="333"/>
      <c r="AZ228" s="333"/>
      <c r="BA228" s="333"/>
      <c r="BB228" s="333"/>
      <c r="BC228" s="333"/>
      <c r="BD228" s="333"/>
      <c r="BE228" s="333"/>
      <c r="BF228" s="333"/>
      <c r="BG228" s="333"/>
      <c r="BH228" s="333"/>
      <c r="BI228" s="333"/>
      <c r="BJ228" s="333"/>
      <c r="BK228" s="333"/>
      <c r="BL228" s="333"/>
      <c r="BM228" s="333"/>
      <c r="BN228" s="333"/>
      <c r="BO228" s="333"/>
      <c r="BP228" s="333"/>
      <c r="BQ228" s="333"/>
      <c r="BR228" s="333"/>
    </row>
    <row r="229" spans="4:70">
      <c r="D229" s="333"/>
      <c r="E229" s="333"/>
      <c r="F229" s="333"/>
      <c r="G229" s="333"/>
      <c r="H229" s="333"/>
      <c r="I229" s="333"/>
      <c r="J229" s="333"/>
      <c r="K229" s="333"/>
      <c r="L229" s="333"/>
      <c r="M229" s="333"/>
      <c r="N229" s="333"/>
      <c r="O229" s="597"/>
      <c r="P229" s="333"/>
      <c r="Q229" s="333"/>
      <c r="R229" s="333"/>
      <c r="S229" s="333"/>
      <c r="T229" s="333"/>
      <c r="U229" s="333"/>
      <c r="V229" s="333"/>
      <c r="W229" s="333"/>
      <c r="X229" s="333"/>
      <c r="Y229" s="333"/>
      <c r="Z229" s="333"/>
      <c r="AA229" s="597"/>
      <c r="AB229" s="333"/>
      <c r="AC229" s="333"/>
      <c r="AD229" s="333"/>
      <c r="AE229" s="333"/>
      <c r="AF229" s="333"/>
      <c r="AG229" s="333"/>
      <c r="AH229" s="333"/>
      <c r="AI229" s="333"/>
      <c r="AJ229" s="333"/>
      <c r="AK229" s="333"/>
      <c r="AL229" s="333"/>
      <c r="AM229" s="333"/>
      <c r="AN229" s="333"/>
      <c r="AO229" s="333"/>
      <c r="AP229" s="333"/>
      <c r="AQ229" s="333"/>
      <c r="AR229" s="333"/>
      <c r="AS229" s="333"/>
      <c r="AT229" s="333"/>
      <c r="AU229" s="333"/>
      <c r="AV229" s="333"/>
      <c r="AW229" s="333"/>
      <c r="AX229" s="333"/>
      <c r="AY229" s="333"/>
      <c r="AZ229" s="333"/>
      <c r="BA229" s="333"/>
      <c r="BB229" s="333"/>
      <c r="BC229" s="333"/>
      <c r="BD229" s="333"/>
      <c r="BE229" s="333"/>
      <c r="BF229" s="333"/>
      <c r="BG229" s="333"/>
      <c r="BH229" s="333"/>
      <c r="BI229" s="333"/>
      <c r="BJ229" s="333"/>
      <c r="BK229" s="333"/>
      <c r="BL229" s="333"/>
      <c r="BM229" s="333"/>
      <c r="BN229" s="333"/>
      <c r="BO229" s="333"/>
      <c r="BP229" s="333"/>
      <c r="BQ229" s="333"/>
      <c r="BR229" s="333"/>
    </row>
    <row r="230" spans="4:70">
      <c r="D230" s="333"/>
      <c r="E230" s="333"/>
      <c r="F230" s="333"/>
      <c r="G230" s="333"/>
      <c r="H230" s="333"/>
      <c r="I230" s="333"/>
      <c r="J230" s="333"/>
      <c r="K230" s="333"/>
      <c r="L230" s="333"/>
      <c r="M230" s="333"/>
      <c r="N230" s="333"/>
      <c r="O230" s="597"/>
      <c r="P230" s="333"/>
      <c r="Q230" s="333"/>
      <c r="R230" s="333"/>
      <c r="S230" s="333"/>
      <c r="T230" s="333"/>
      <c r="U230" s="333"/>
      <c r="V230" s="333"/>
      <c r="W230" s="333"/>
      <c r="X230" s="333"/>
      <c r="Y230" s="333"/>
      <c r="Z230" s="333"/>
      <c r="AA230" s="597"/>
      <c r="AB230" s="333"/>
      <c r="AC230" s="333"/>
      <c r="AD230" s="333"/>
      <c r="AE230" s="333"/>
      <c r="AF230" s="333"/>
      <c r="AG230" s="333"/>
      <c r="AH230" s="333"/>
      <c r="AI230" s="333"/>
      <c r="AJ230" s="333"/>
      <c r="AK230" s="333"/>
      <c r="AL230" s="333"/>
      <c r="AM230" s="333"/>
      <c r="AN230" s="333"/>
      <c r="AO230" s="333"/>
      <c r="AP230" s="333"/>
      <c r="AQ230" s="333"/>
      <c r="AR230" s="333"/>
      <c r="AS230" s="333"/>
      <c r="AT230" s="333"/>
      <c r="AU230" s="333"/>
      <c r="AV230" s="333"/>
      <c r="AW230" s="333"/>
      <c r="AX230" s="333"/>
      <c r="AY230" s="333"/>
      <c r="AZ230" s="333"/>
      <c r="BA230" s="333"/>
      <c r="BB230" s="333"/>
      <c r="BC230" s="333"/>
      <c r="BD230" s="333"/>
      <c r="BE230" s="333"/>
      <c r="BF230" s="333"/>
      <c r="BG230" s="333"/>
      <c r="BH230" s="333"/>
      <c r="BI230" s="333"/>
      <c r="BJ230" s="333"/>
      <c r="BK230" s="333"/>
      <c r="BL230" s="333"/>
      <c r="BM230" s="333"/>
      <c r="BN230" s="333"/>
      <c r="BO230" s="333"/>
      <c r="BP230" s="333"/>
      <c r="BQ230" s="333"/>
      <c r="BR230" s="333"/>
    </row>
    <row r="231" spans="4:70">
      <c r="D231" s="333"/>
      <c r="E231" s="333"/>
      <c r="F231" s="333"/>
      <c r="G231" s="333"/>
      <c r="H231" s="333"/>
      <c r="I231" s="333"/>
      <c r="J231" s="333"/>
      <c r="K231" s="333"/>
      <c r="L231" s="333"/>
      <c r="M231" s="333"/>
      <c r="N231" s="333"/>
      <c r="O231" s="597"/>
      <c r="P231" s="333"/>
      <c r="Q231" s="333"/>
      <c r="R231" s="333"/>
      <c r="S231" s="333"/>
      <c r="T231" s="333"/>
      <c r="U231" s="333"/>
      <c r="V231" s="333"/>
      <c r="W231" s="333"/>
      <c r="X231" s="333"/>
      <c r="Y231" s="333"/>
      <c r="Z231" s="333"/>
      <c r="AA231" s="597"/>
      <c r="AB231" s="333"/>
      <c r="AC231" s="333"/>
      <c r="AD231" s="333"/>
      <c r="AE231" s="333"/>
      <c r="AF231" s="333"/>
      <c r="AG231" s="333"/>
      <c r="AH231" s="333"/>
      <c r="AI231" s="333"/>
      <c r="AJ231" s="333"/>
      <c r="AK231" s="333"/>
      <c r="AL231" s="333"/>
      <c r="AM231" s="333"/>
      <c r="AN231" s="333"/>
      <c r="AO231" s="333"/>
      <c r="AP231" s="333"/>
      <c r="AQ231" s="333"/>
      <c r="AR231" s="333"/>
      <c r="AS231" s="333"/>
      <c r="AT231" s="333"/>
      <c r="AU231" s="333"/>
      <c r="AV231" s="333"/>
      <c r="AW231" s="333"/>
      <c r="AX231" s="333"/>
      <c r="AY231" s="333"/>
      <c r="AZ231" s="333"/>
      <c r="BA231" s="333"/>
      <c r="BB231" s="333"/>
      <c r="BC231" s="333"/>
      <c r="BD231" s="333"/>
      <c r="BE231" s="333"/>
      <c r="BF231" s="333"/>
      <c r="BG231" s="333"/>
      <c r="BH231" s="333"/>
      <c r="BI231" s="333"/>
      <c r="BJ231" s="333"/>
      <c r="BK231" s="333"/>
      <c r="BL231" s="333"/>
      <c r="BM231" s="333"/>
      <c r="BN231" s="333"/>
      <c r="BO231" s="333"/>
      <c r="BP231" s="333"/>
      <c r="BQ231" s="333"/>
      <c r="BR231" s="333"/>
    </row>
    <row r="232" spans="4:70">
      <c r="D232" s="333"/>
      <c r="E232" s="333"/>
      <c r="F232" s="333"/>
      <c r="G232" s="333"/>
      <c r="H232" s="333"/>
      <c r="I232" s="333"/>
      <c r="J232" s="333"/>
      <c r="K232" s="333"/>
      <c r="L232" s="333"/>
      <c r="M232" s="333"/>
      <c r="N232" s="333"/>
      <c r="O232" s="597"/>
      <c r="P232" s="333"/>
      <c r="Q232" s="333"/>
      <c r="R232" s="333"/>
      <c r="S232" s="333"/>
      <c r="T232" s="333"/>
      <c r="U232" s="333"/>
      <c r="V232" s="333"/>
      <c r="W232" s="333"/>
      <c r="X232" s="333"/>
      <c r="Y232" s="333"/>
      <c r="Z232" s="333"/>
      <c r="AA232" s="597"/>
      <c r="AB232" s="333"/>
      <c r="AC232" s="333"/>
      <c r="AD232" s="333"/>
      <c r="AE232" s="333"/>
      <c r="AF232" s="333"/>
      <c r="AG232" s="333"/>
      <c r="AH232" s="333"/>
      <c r="AI232" s="333"/>
      <c r="AJ232" s="333"/>
      <c r="AK232" s="333"/>
      <c r="AL232" s="333"/>
      <c r="AM232" s="333"/>
      <c r="AN232" s="333"/>
      <c r="AO232" s="333"/>
      <c r="AP232" s="333"/>
      <c r="AQ232" s="333"/>
      <c r="AR232" s="333"/>
      <c r="AS232" s="333"/>
      <c r="AT232" s="333"/>
      <c r="AU232" s="333"/>
      <c r="AV232" s="333"/>
      <c r="AW232" s="333"/>
      <c r="AX232" s="333"/>
      <c r="AY232" s="333"/>
      <c r="AZ232" s="333"/>
      <c r="BA232" s="333"/>
      <c r="BB232" s="333"/>
      <c r="BC232" s="333"/>
      <c r="BD232" s="333"/>
      <c r="BE232" s="333"/>
      <c r="BF232" s="333"/>
      <c r="BG232" s="333"/>
      <c r="BH232" s="333"/>
      <c r="BI232" s="333"/>
      <c r="BJ232" s="333"/>
      <c r="BK232" s="333"/>
      <c r="BL232" s="333"/>
      <c r="BM232" s="333"/>
      <c r="BN232" s="333"/>
      <c r="BO232" s="333"/>
      <c r="BP232" s="333"/>
      <c r="BQ232" s="333"/>
      <c r="BR232" s="333"/>
    </row>
    <row r="233" spans="4:70">
      <c r="D233" s="333"/>
      <c r="E233" s="333"/>
      <c r="F233" s="333"/>
      <c r="G233" s="333"/>
      <c r="H233" s="333"/>
      <c r="I233" s="333"/>
      <c r="J233" s="333"/>
      <c r="K233" s="333"/>
      <c r="L233" s="333"/>
      <c r="M233" s="333"/>
      <c r="N233" s="333"/>
      <c r="O233" s="597"/>
      <c r="P233" s="333"/>
      <c r="Q233" s="333"/>
      <c r="R233" s="333"/>
      <c r="S233" s="333"/>
      <c r="T233" s="333"/>
      <c r="U233" s="333"/>
      <c r="V233" s="333"/>
      <c r="W233" s="333"/>
      <c r="X233" s="333"/>
      <c r="Y233" s="333"/>
      <c r="Z233" s="333"/>
      <c r="AA233" s="597"/>
      <c r="AB233" s="333"/>
      <c r="AC233" s="333"/>
      <c r="AD233" s="333"/>
      <c r="AE233" s="333"/>
      <c r="AF233" s="333"/>
      <c r="AG233" s="333"/>
      <c r="AH233" s="333"/>
      <c r="AI233" s="333"/>
      <c r="AJ233" s="333"/>
      <c r="AK233" s="333"/>
      <c r="AL233" s="333"/>
      <c r="AM233" s="333"/>
      <c r="AN233" s="333"/>
      <c r="AO233" s="333"/>
      <c r="AP233" s="333"/>
      <c r="AQ233" s="333"/>
      <c r="AR233" s="333"/>
      <c r="AS233" s="333"/>
      <c r="AT233" s="333"/>
      <c r="AU233" s="333"/>
      <c r="AV233" s="333"/>
      <c r="AW233" s="333"/>
      <c r="AX233" s="333"/>
      <c r="AY233" s="333"/>
      <c r="AZ233" s="333"/>
      <c r="BA233" s="333"/>
      <c r="BB233" s="333"/>
      <c r="BC233" s="333"/>
      <c r="BD233" s="333"/>
      <c r="BE233" s="333"/>
      <c r="BF233" s="333"/>
      <c r="BG233" s="333"/>
      <c r="BH233" s="333"/>
      <c r="BI233" s="333"/>
      <c r="BJ233" s="333"/>
      <c r="BK233" s="333"/>
      <c r="BL233" s="333"/>
      <c r="BM233" s="333"/>
      <c r="BN233" s="333"/>
      <c r="BO233" s="333"/>
      <c r="BP233" s="333"/>
      <c r="BQ233" s="333"/>
      <c r="BR233" s="333"/>
    </row>
    <row r="234" spans="4:70">
      <c r="D234" s="333"/>
      <c r="E234" s="333"/>
      <c r="F234" s="333"/>
      <c r="G234" s="333"/>
      <c r="H234" s="333"/>
      <c r="I234" s="333"/>
      <c r="J234" s="333"/>
      <c r="K234" s="333"/>
      <c r="L234" s="333"/>
      <c r="M234" s="333"/>
      <c r="N234" s="333"/>
      <c r="O234" s="597"/>
      <c r="P234" s="333"/>
      <c r="Q234" s="333"/>
      <c r="R234" s="333"/>
      <c r="S234" s="333"/>
      <c r="T234" s="333"/>
      <c r="U234" s="333"/>
      <c r="V234" s="333"/>
      <c r="W234" s="333"/>
      <c r="X234" s="333"/>
      <c r="Y234" s="333"/>
      <c r="Z234" s="333"/>
      <c r="AA234" s="597"/>
      <c r="AB234" s="333"/>
      <c r="AC234" s="333"/>
      <c r="AD234" s="333"/>
      <c r="AE234" s="333"/>
      <c r="AF234" s="333"/>
      <c r="AG234" s="333"/>
      <c r="AH234" s="333"/>
      <c r="AI234" s="333"/>
      <c r="AJ234" s="333"/>
      <c r="AK234" s="333"/>
      <c r="AL234" s="333"/>
      <c r="AM234" s="333"/>
      <c r="AN234" s="333"/>
      <c r="AO234" s="333"/>
      <c r="AP234" s="333"/>
      <c r="AQ234" s="333"/>
      <c r="AR234" s="333"/>
      <c r="AS234" s="333"/>
      <c r="AT234" s="333"/>
      <c r="AU234" s="333"/>
      <c r="AV234" s="333"/>
      <c r="AW234" s="333"/>
      <c r="AX234" s="333"/>
      <c r="AY234" s="333"/>
      <c r="AZ234" s="333"/>
      <c r="BA234" s="333"/>
      <c r="BB234" s="333"/>
      <c r="BC234" s="333"/>
      <c r="BD234" s="333"/>
      <c r="BE234" s="333"/>
      <c r="BF234" s="333"/>
      <c r="BG234" s="333"/>
      <c r="BH234" s="333"/>
      <c r="BI234" s="333"/>
      <c r="BJ234" s="333"/>
      <c r="BK234" s="333"/>
      <c r="BL234" s="333"/>
      <c r="BM234" s="333"/>
      <c r="BN234" s="333"/>
      <c r="BO234" s="333"/>
      <c r="BP234" s="333"/>
      <c r="BQ234" s="333"/>
      <c r="BR234" s="333"/>
    </row>
    <row r="235" spans="4:70">
      <c r="D235" s="333"/>
      <c r="E235" s="333"/>
      <c r="F235" s="333"/>
      <c r="G235" s="333"/>
      <c r="H235" s="333"/>
      <c r="I235" s="333"/>
      <c r="J235" s="333"/>
      <c r="K235" s="333"/>
      <c r="L235" s="333"/>
      <c r="M235" s="333"/>
      <c r="N235" s="333"/>
      <c r="O235" s="597"/>
      <c r="P235" s="333"/>
      <c r="Q235" s="333"/>
      <c r="R235" s="333"/>
      <c r="S235" s="333"/>
      <c r="T235" s="333"/>
      <c r="U235" s="333"/>
      <c r="V235" s="333"/>
      <c r="W235" s="333"/>
      <c r="X235" s="333"/>
      <c r="Y235" s="333"/>
      <c r="Z235" s="333"/>
      <c r="AA235" s="597"/>
      <c r="AB235" s="333"/>
      <c r="AC235" s="333"/>
      <c r="AD235" s="333"/>
      <c r="AE235" s="333"/>
      <c r="AF235" s="333"/>
      <c r="AG235" s="333"/>
      <c r="AH235" s="333"/>
      <c r="AI235" s="333"/>
      <c r="AJ235" s="333"/>
      <c r="AK235" s="333"/>
      <c r="AL235" s="333"/>
      <c r="AM235" s="333"/>
      <c r="AN235" s="333"/>
      <c r="AO235" s="333"/>
      <c r="AP235" s="333"/>
      <c r="AQ235" s="333"/>
      <c r="AR235" s="333"/>
      <c r="AS235" s="333"/>
      <c r="AT235" s="333"/>
      <c r="AU235" s="333"/>
      <c r="AV235" s="333"/>
      <c r="AW235" s="333"/>
      <c r="AX235" s="333"/>
      <c r="AY235" s="333"/>
      <c r="AZ235" s="333"/>
      <c r="BA235" s="333"/>
      <c r="BB235" s="333"/>
      <c r="BC235" s="333"/>
      <c r="BD235" s="333"/>
      <c r="BE235" s="333"/>
      <c r="BF235" s="333"/>
      <c r="BG235" s="333"/>
      <c r="BH235" s="333"/>
      <c r="BI235" s="333"/>
      <c r="BJ235" s="333"/>
      <c r="BK235" s="333"/>
      <c r="BL235" s="333"/>
      <c r="BM235" s="333"/>
      <c r="BN235" s="333"/>
      <c r="BO235" s="333"/>
      <c r="BP235" s="333"/>
      <c r="BQ235" s="333"/>
      <c r="BR235" s="333"/>
    </row>
    <row r="236" spans="4:70">
      <c r="D236" s="333"/>
      <c r="E236" s="333"/>
      <c r="F236" s="333"/>
      <c r="G236" s="333"/>
      <c r="H236" s="333"/>
      <c r="I236" s="333"/>
      <c r="J236" s="333"/>
      <c r="K236" s="333"/>
      <c r="L236" s="333"/>
      <c r="M236" s="333"/>
      <c r="N236" s="333"/>
      <c r="O236" s="597"/>
      <c r="P236" s="333"/>
      <c r="Q236" s="333"/>
      <c r="R236" s="333"/>
      <c r="S236" s="333"/>
      <c r="T236" s="333"/>
      <c r="U236" s="333"/>
      <c r="V236" s="333"/>
      <c r="W236" s="333"/>
      <c r="X236" s="333"/>
      <c r="Y236" s="333"/>
      <c r="Z236" s="333"/>
      <c r="AA236" s="597"/>
      <c r="AB236" s="333"/>
      <c r="AC236" s="333"/>
      <c r="AD236" s="333"/>
      <c r="AE236" s="333"/>
      <c r="AF236" s="333"/>
      <c r="AG236" s="333"/>
      <c r="AH236" s="333"/>
      <c r="AI236" s="333"/>
      <c r="AJ236" s="333"/>
      <c r="AK236" s="333"/>
      <c r="AL236" s="333"/>
      <c r="AM236" s="333"/>
      <c r="AN236" s="333"/>
      <c r="AO236" s="333"/>
      <c r="AP236" s="333"/>
      <c r="AQ236" s="333"/>
      <c r="AR236" s="333"/>
      <c r="AS236" s="333"/>
      <c r="AT236" s="333"/>
      <c r="AU236" s="333"/>
      <c r="AV236" s="333"/>
      <c r="AW236" s="333"/>
      <c r="AX236" s="333"/>
      <c r="AY236" s="333"/>
      <c r="AZ236" s="333"/>
      <c r="BA236" s="333"/>
      <c r="BB236" s="333"/>
      <c r="BC236" s="333"/>
      <c r="BD236" s="333"/>
      <c r="BE236" s="333"/>
      <c r="BF236" s="333"/>
      <c r="BG236" s="333"/>
      <c r="BH236" s="333"/>
      <c r="BI236" s="333"/>
      <c r="BJ236" s="333"/>
      <c r="BK236" s="333"/>
      <c r="BL236" s="333"/>
      <c r="BM236" s="333"/>
      <c r="BN236" s="333"/>
      <c r="BO236" s="333"/>
      <c r="BP236" s="333"/>
      <c r="BQ236" s="333"/>
      <c r="BR236" s="333"/>
    </row>
    <row r="237" spans="4:70">
      <c r="D237" s="333"/>
      <c r="E237" s="333"/>
      <c r="F237" s="333"/>
      <c r="G237" s="333"/>
      <c r="H237" s="333"/>
      <c r="I237" s="333"/>
      <c r="J237" s="333"/>
      <c r="K237" s="333"/>
      <c r="L237" s="333"/>
      <c r="M237" s="333"/>
      <c r="N237" s="333"/>
      <c r="O237" s="597"/>
      <c r="P237" s="333"/>
      <c r="Q237" s="333"/>
      <c r="R237" s="333"/>
      <c r="S237" s="333"/>
      <c r="T237" s="333"/>
      <c r="U237" s="333"/>
      <c r="V237" s="333"/>
      <c r="W237" s="333"/>
      <c r="X237" s="333"/>
      <c r="Y237" s="333"/>
      <c r="Z237" s="333"/>
      <c r="AA237" s="597"/>
      <c r="AB237" s="333"/>
      <c r="AC237" s="333"/>
      <c r="AD237" s="333"/>
      <c r="AE237" s="333"/>
      <c r="AF237" s="333"/>
      <c r="AG237" s="333"/>
      <c r="AH237" s="333"/>
      <c r="AI237" s="333"/>
      <c r="AJ237" s="333"/>
      <c r="AK237" s="333"/>
      <c r="AL237" s="333"/>
      <c r="AM237" s="333"/>
      <c r="AN237" s="333"/>
      <c r="AO237" s="333"/>
      <c r="AP237" s="333"/>
      <c r="AQ237" s="333"/>
      <c r="AR237" s="333"/>
      <c r="AS237" s="333"/>
      <c r="AT237" s="333"/>
      <c r="AU237" s="333"/>
      <c r="AV237" s="333"/>
      <c r="AW237" s="333"/>
      <c r="AX237" s="333"/>
      <c r="AY237" s="333"/>
      <c r="AZ237" s="333"/>
      <c r="BA237" s="333"/>
      <c r="BB237" s="333"/>
      <c r="BC237" s="333"/>
      <c r="BD237" s="333"/>
      <c r="BE237" s="333"/>
      <c r="BF237" s="333"/>
      <c r="BG237" s="333"/>
      <c r="BH237" s="333"/>
      <c r="BI237" s="333"/>
      <c r="BJ237" s="333"/>
      <c r="BK237" s="333"/>
      <c r="BL237" s="333"/>
      <c r="BM237" s="333"/>
      <c r="BN237" s="333"/>
      <c r="BO237" s="333"/>
      <c r="BP237" s="333"/>
      <c r="BQ237" s="333"/>
      <c r="BR237" s="333"/>
    </row>
    <row r="238" spans="4:70">
      <c r="D238" s="333"/>
      <c r="E238" s="333"/>
      <c r="F238" s="333"/>
      <c r="G238" s="333"/>
      <c r="H238" s="333"/>
      <c r="I238" s="333"/>
      <c r="J238" s="333"/>
      <c r="K238" s="333"/>
      <c r="L238" s="333"/>
      <c r="M238" s="333"/>
      <c r="N238" s="333"/>
      <c r="O238" s="597"/>
      <c r="P238" s="333"/>
      <c r="Q238" s="333"/>
      <c r="R238" s="333"/>
      <c r="S238" s="333"/>
      <c r="T238" s="333"/>
      <c r="U238" s="333"/>
      <c r="V238" s="333"/>
      <c r="W238" s="333"/>
      <c r="X238" s="333"/>
      <c r="Y238" s="333"/>
      <c r="Z238" s="333"/>
      <c r="AA238" s="597"/>
      <c r="AB238" s="333"/>
      <c r="AC238" s="333"/>
      <c r="AD238" s="333"/>
      <c r="AE238" s="333"/>
      <c r="AF238" s="333"/>
      <c r="AG238" s="333"/>
      <c r="AH238" s="333"/>
      <c r="AI238" s="333"/>
      <c r="AJ238" s="333"/>
      <c r="AK238" s="333"/>
      <c r="AL238" s="333"/>
      <c r="AM238" s="333"/>
      <c r="AN238" s="333"/>
      <c r="AO238" s="333"/>
      <c r="AP238" s="333"/>
      <c r="AQ238" s="333"/>
      <c r="AR238" s="333"/>
      <c r="AS238" s="333"/>
      <c r="AT238" s="333"/>
      <c r="AU238" s="333"/>
      <c r="AV238" s="333"/>
      <c r="AW238" s="333"/>
      <c r="AX238" s="333"/>
      <c r="AY238" s="333"/>
      <c r="AZ238" s="333"/>
      <c r="BA238" s="333"/>
      <c r="BB238" s="333"/>
      <c r="BC238" s="333"/>
      <c r="BD238" s="333"/>
      <c r="BE238" s="333"/>
      <c r="BF238" s="333"/>
      <c r="BG238" s="333"/>
      <c r="BH238" s="333"/>
      <c r="BI238" s="333"/>
      <c r="BJ238" s="333"/>
      <c r="BK238" s="333"/>
      <c r="BL238" s="333"/>
      <c r="BM238" s="333"/>
      <c r="BN238" s="333"/>
      <c r="BO238" s="333"/>
      <c r="BP238" s="333"/>
      <c r="BQ238" s="333"/>
      <c r="BR238" s="333"/>
    </row>
    <row r="239" spans="4:70">
      <c r="D239" s="333"/>
      <c r="E239" s="333"/>
      <c r="F239" s="333"/>
      <c r="G239" s="333"/>
      <c r="H239" s="333"/>
      <c r="I239" s="333"/>
      <c r="J239" s="333"/>
      <c r="K239" s="333"/>
      <c r="L239" s="333"/>
      <c r="M239" s="333"/>
      <c r="N239" s="333"/>
      <c r="O239" s="597"/>
      <c r="P239" s="333"/>
      <c r="Q239" s="333"/>
      <c r="R239" s="333"/>
      <c r="S239" s="333"/>
      <c r="T239" s="333"/>
      <c r="U239" s="333"/>
      <c r="V239" s="333"/>
      <c r="W239" s="333"/>
      <c r="X239" s="333"/>
      <c r="Y239" s="333"/>
      <c r="Z239" s="333"/>
      <c r="AA239" s="597"/>
      <c r="AB239" s="333"/>
      <c r="AC239" s="333"/>
      <c r="AD239" s="333"/>
      <c r="AE239" s="333"/>
      <c r="AF239" s="333"/>
      <c r="AG239" s="333"/>
      <c r="AH239" s="333"/>
      <c r="AI239" s="333"/>
      <c r="AJ239" s="333"/>
      <c r="AK239" s="333"/>
      <c r="AL239" s="333"/>
      <c r="AM239" s="333"/>
      <c r="AN239" s="333"/>
      <c r="AO239" s="333"/>
      <c r="AP239" s="333"/>
      <c r="AQ239" s="333"/>
      <c r="AR239" s="333"/>
      <c r="AS239" s="333"/>
      <c r="AT239" s="333"/>
      <c r="AU239" s="333"/>
      <c r="AV239" s="333"/>
      <c r="AW239" s="333"/>
      <c r="AX239" s="333"/>
      <c r="AY239" s="333"/>
      <c r="AZ239" s="333"/>
      <c r="BA239" s="333"/>
      <c r="BB239" s="333"/>
      <c r="BC239" s="333"/>
      <c r="BD239" s="333"/>
      <c r="BE239" s="333"/>
      <c r="BF239" s="333"/>
      <c r="BG239" s="333"/>
      <c r="BH239" s="333"/>
      <c r="BI239" s="333"/>
      <c r="BJ239" s="333"/>
      <c r="BK239" s="333"/>
      <c r="BL239" s="333"/>
      <c r="BM239" s="333"/>
      <c r="BN239" s="333"/>
      <c r="BO239" s="333"/>
      <c r="BP239" s="333"/>
      <c r="BQ239" s="333"/>
      <c r="BR239" s="333"/>
    </row>
    <row r="240" spans="4:70">
      <c r="D240" s="333"/>
      <c r="E240" s="333"/>
      <c r="F240" s="333"/>
      <c r="G240" s="333"/>
      <c r="H240" s="333"/>
      <c r="I240" s="333"/>
      <c r="J240" s="333"/>
      <c r="K240" s="333"/>
      <c r="L240" s="333"/>
      <c r="M240" s="333"/>
      <c r="N240" s="333"/>
      <c r="O240" s="597"/>
      <c r="P240" s="333"/>
      <c r="Q240" s="333"/>
      <c r="R240" s="333"/>
      <c r="S240" s="333"/>
      <c r="T240" s="333"/>
      <c r="U240" s="333"/>
      <c r="V240" s="333"/>
      <c r="W240" s="333"/>
      <c r="X240" s="333"/>
      <c r="Y240" s="333"/>
      <c r="Z240" s="333"/>
      <c r="AA240" s="597"/>
      <c r="AB240" s="333"/>
      <c r="AC240" s="333"/>
      <c r="AD240" s="333"/>
      <c r="AE240" s="333"/>
      <c r="AF240" s="333"/>
      <c r="AG240" s="333"/>
      <c r="AH240" s="333"/>
      <c r="AI240" s="333"/>
      <c r="AJ240" s="333"/>
      <c r="AK240" s="333"/>
      <c r="AL240" s="333"/>
      <c r="AM240" s="333"/>
      <c r="AN240" s="333"/>
      <c r="AO240" s="333"/>
      <c r="AP240" s="333"/>
      <c r="AQ240" s="333"/>
      <c r="AR240" s="333"/>
      <c r="AS240" s="333"/>
      <c r="AT240" s="333"/>
      <c r="AU240" s="333"/>
      <c r="AV240" s="333"/>
      <c r="AW240" s="333"/>
      <c r="AX240" s="333"/>
      <c r="AY240" s="333"/>
      <c r="AZ240" s="333"/>
      <c r="BA240" s="333"/>
      <c r="BB240" s="333"/>
      <c r="BC240" s="333"/>
      <c r="BD240" s="333"/>
      <c r="BE240" s="333"/>
      <c r="BF240" s="333"/>
      <c r="BG240" s="333"/>
      <c r="BH240" s="333"/>
      <c r="BI240" s="333"/>
      <c r="BJ240" s="333"/>
      <c r="BK240" s="333"/>
      <c r="BL240" s="333"/>
      <c r="BM240" s="333"/>
      <c r="BN240" s="333"/>
      <c r="BO240" s="333"/>
      <c r="BP240" s="333"/>
      <c r="BQ240" s="333"/>
      <c r="BR240" s="333"/>
    </row>
    <row r="241" spans="4:70">
      <c r="D241" s="333"/>
      <c r="E241" s="333"/>
      <c r="F241" s="333"/>
      <c r="G241" s="333"/>
      <c r="H241" s="333"/>
      <c r="I241" s="333"/>
      <c r="J241" s="333"/>
      <c r="K241" s="333"/>
      <c r="L241" s="333"/>
      <c r="M241" s="333"/>
      <c r="N241" s="333"/>
      <c r="O241" s="597"/>
      <c r="P241" s="333"/>
      <c r="Q241" s="333"/>
      <c r="R241" s="333"/>
      <c r="S241" s="333"/>
      <c r="T241" s="333"/>
      <c r="U241" s="333"/>
      <c r="V241" s="333"/>
      <c r="W241" s="333"/>
      <c r="X241" s="333"/>
      <c r="Y241" s="333"/>
      <c r="Z241" s="333"/>
      <c r="AA241" s="597"/>
      <c r="AB241" s="333"/>
      <c r="AC241" s="333"/>
      <c r="AD241" s="333"/>
      <c r="AE241" s="333"/>
      <c r="AF241" s="333"/>
      <c r="AG241" s="333"/>
      <c r="AH241" s="333"/>
      <c r="AI241" s="333"/>
      <c r="AJ241" s="333"/>
      <c r="AK241" s="333"/>
      <c r="AL241" s="333"/>
      <c r="AM241" s="333"/>
      <c r="AN241" s="333"/>
      <c r="AO241" s="333"/>
      <c r="AP241" s="333"/>
      <c r="AQ241" s="333"/>
      <c r="AR241" s="333"/>
      <c r="AS241" s="333"/>
      <c r="AT241" s="333"/>
      <c r="AU241" s="333"/>
      <c r="AV241" s="333"/>
      <c r="AW241" s="333"/>
      <c r="AX241" s="333"/>
      <c r="AY241" s="333"/>
      <c r="AZ241" s="333"/>
      <c r="BA241" s="333"/>
      <c r="BB241" s="333"/>
      <c r="BC241" s="333"/>
      <c r="BD241" s="333"/>
      <c r="BE241" s="333"/>
      <c r="BF241" s="333"/>
      <c r="BG241" s="333"/>
      <c r="BH241" s="333"/>
      <c r="BI241" s="333"/>
      <c r="BJ241" s="333"/>
      <c r="BK241" s="333"/>
      <c r="BL241" s="333"/>
      <c r="BM241" s="333"/>
      <c r="BN241" s="333"/>
      <c r="BO241" s="333"/>
      <c r="BP241" s="333"/>
      <c r="BQ241" s="333"/>
      <c r="BR241" s="333"/>
    </row>
    <row r="242" spans="4:70">
      <c r="D242" s="333"/>
      <c r="E242" s="333"/>
      <c r="F242" s="333"/>
      <c r="G242" s="333"/>
      <c r="H242" s="333"/>
      <c r="I242" s="333"/>
      <c r="J242" s="333"/>
      <c r="K242" s="333"/>
      <c r="L242" s="333"/>
      <c r="M242" s="333"/>
      <c r="N242" s="333"/>
      <c r="O242" s="597"/>
      <c r="P242" s="333"/>
      <c r="Q242" s="333"/>
      <c r="R242" s="333"/>
      <c r="S242" s="333"/>
      <c r="T242" s="333"/>
      <c r="U242" s="333"/>
      <c r="V242" s="333"/>
      <c r="W242" s="333"/>
      <c r="X242" s="333"/>
      <c r="Y242" s="333"/>
      <c r="Z242" s="333"/>
      <c r="AA242" s="597"/>
      <c r="AB242" s="333"/>
      <c r="AC242" s="333"/>
      <c r="AD242" s="333"/>
      <c r="AE242" s="333"/>
      <c r="AF242" s="333"/>
      <c r="AG242" s="333"/>
      <c r="AH242" s="333"/>
      <c r="AI242" s="333"/>
      <c r="AJ242" s="333"/>
      <c r="AK242" s="333"/>
      <c r="AL242" s="333"/>
      <c r="AM242" s="333"/>
      <c r="AN242" s="333"/>
      <c r="AO242" s="333"/>
      <c r="AP242" s="333"/>
      <c r="AQ242" s="333"/>
      <c r="AR242" s="333"/>
      <c r="AS242" s="333"/>
      <c r="AT242" s="333"/>
      <c r="AU242" s="333"/>
      <c r="AV242" s="333"/>
      <c r="AW242" s="333"/>
      <c r="AX242" s="333"/>
      <c r="AY242" s="333"/>
      <c r="AZ242" s="333"/>
      <c r="BA242" s="333"/>
      <c r="BB242" s="333"/>
      <c r="BC242" s="333"/>
      <c r="BD242" s="333"/>
      <c r="BE242" s="333"/>
      <c r="BF242" s="333"/>
      <c r="BG242" s="333"/>
      <c r="BH242" s="333"/>
      <c r="BI242" s="333"/>
      <c r="BJ242" s="333"/>
      <c r="BK242" s="333"/>
      <c r="BL242" s="333"/>
      <c r="BM242" s="333"/>
      <c r="BN242" s="333"/>
      <c r="BO242" s="333"/>
      <c r="BP242" s="333"/>
      <c r="BQ242" s="333"/>
      <c r="BR242" s="333"/>
    </row>
    <row r="243" spans="4:70">
      <c r="D243" s="333"/>
      <c r="E243" s="333"/>
      <c r="F243" s="333"/>
      <c r="G243" s="333"/>
      <c r="H243" s="333"/>
      <c r="I243" s="333"/>
      <c r="J243" s="333"/>
      <c r="K243" s="333"/>
      <c r="L243" s="333"/>
      <c r="M243" s="333"/>
      <c r="N243" s="333"/>
      <c r="O243" s="597"/>
      <c r="P243" s="333"/>
      <c r="Q243" s="333"/>
      <c r="R243" s="333"/>
      <c r="S243" s="333"/>
      <c r="T243" s="333"/>
      <c r="U243" s="333"/>
      <c r="V243" s="333"/>
      <c r="W243" s="333"/>
      <c r="X243" s="333"/>
      <c r="Y243" s="333"/>
      <c r="Z243" s="333"/>
      <c r="AA243" s="597"/>
      <c r="AB243" s="333"/>
      <c r="AC243" s="333"/>
      <c r="AD243" s="333"/>
      <c r="AE243" s="333"/>
      <c r="AF243" s="333"/>
      <c r="AG243" s="333"/>
      <c r="AH243" s="333"/>
      <c r="AI243" s="333"/>
      <c r="AJ243" s="333"/>
      <c r="AK243" s="333"/>
      <c r="AL243" s="333"/>
      <c r="AM243" s="333"/>
      <c r="AN243" s="333"/>
      <c r="AO243" s="333"/>
      <c r="AP243" s="333"/>
      <c r="AQ243" s="333"/>
      <c r="AR243" s="333"/>
      <c r="AS243" s="333"/>
      <c r="AT243" s="333"/>
      <c r="AU243" s="333"/>
      <c r="AV243" s="333"/>
      <c r="AW243" s="333"/>
      <c r="AX243" s="333"/>
      <c r="AY243" s="333"/>
      <c r="AZ243" s="333"/>
      <c r="BA243" s="333"/>
      <c r="BB243" s="333"/>
      <c r="BC243" s="333"/>
      <c r="BD243" s="333"/>
      <c r="BE243" s="333"/>
      <c r="BF243" s="333"/>
      <c r="BG243" s="333"/>
      <c r="BH243" s="333"/>
      <c r="BI243" s="333"/>
      <c r="BJ243" s="333"/>
      <c r="BK243" s="333"/>
      <c r="BL243" s="333"/>
      <c r="BM243" s="333"/>
      <c r="BN243" s="333"/>
      <c r="BO243" s="333"/>
      <c r="BP243" s="333"/>
      <c r="BQ243" s="333"/>
      <c r="BR243" s="333"/>
    </row>
    <row r="244" spans="4:70">
      <c r="D244" s="333"/>
      <c r="E244" s="333"/>
      <c r="F244" s="333"/>
      <c r="G244" s="333"/>
      <c r="H244" s="333"/>
      <c r="I244" s="333"/>
      <c r="J244" s="333"/>
      <c r="K244" s="333"/>
      <c r="L244" s="333"/>
      <c r="M244" s="333"/>
      <c r="N244" s="333"/>
      <c r="O244" s="597"/>
      <c r="P244" s="333"/>
      <c r="Q244" s="333"/>
      <c r="R244" s="333"/>
      <c r="S244" s="333"/>
      <c r="T244" s="333"/>
      <c r="U244" s="333"/>
      <c r="V244" s="333"/>
      <c r="W244" s="333"/>
      <c r="X244" s="333"/>
      <c r="Y244" s="333"/>
      <c r="Z244" s="333"/>
      <c r="AA244" s="597"/>
      <c r="AB244" s="333"/>
      <c r="AC244" s="333"/>
      <c r="AD244" s="333"/>
      <c r="AE244" s="333"/>
      <c r="AF244" s="333"/>
      <c r="AG244" s="333"/>
      <c r="AH244" s="333"/>
      <c r="AI244" s="333"/>
      <c r="AJ244" s="333"/>
      <c r="AK244" s="333"/>
      <c r="AL244" s="333"/>
      <c r="AM244" s="333"/>
      <c r="AN244" s="333"/>
      <c r="AO244" s="333"/>
      <c r="AP244" s="333"/>
      <c r="AQ244" s="333"/>
      <c r="AR244" s="333"/>
      <c r="AS244" s="333"/>
      <c r="AT244" s="333"/>
      <c r="AU244" s="333"/>
      <c r="AV244" s="333"/>
      <c r="AW244" s="333"/>
      <c r="AX244" s="333"/>
      <c r="AY244" s="333"/>
      <c r="AZ244" s="333"/>
      <c r="BA244" s="333"/>
      <c r="BB244" s="333"/>
      <c r="BC244" s="333"/>
      <c r="BD244" s="333"/>
      <c r="BE244" s="333"/>
      <c r="BF244" s="333"/>
      <c r="BG244" s="333"/>
      <c r="BH244" s="333"/>
      <c r="BI244" s="333"/>
      <c r="BJ244" s="333"/>
      <c r="BK244" s="333"/>
      <c r="BL244" s="333"/>
      <c r="BM244" s="333"/>
      <c r="BN244" s="333"/>
      <c r="BO244" s="333"/>
      <c r="BP244" s="333"/>
      <c r="BQ244" s="333"/>
      <c r="BR244" s="333"/>
    </row>
    <row r="245" spans="4:70">
      <c r="D245" s="333"/>
      <c r="E245" s="333"/>
      <c r="F245" s="333"/>
      <c r="G245" s="333"/>
      <c r="H245" s="333"/>
      <c r="I245" s="333"/>
      <c r="J245" s="333"/>
      <c r="K245" s="333"/>
      <c r="L245" s="333"/>
      <c r="M245" s="333"/>
      <c r="N245" s="333"/>
      <c r="O245" s="597"/>
      <c r="P245" s="333"/>
      <c r="Q245" s="333"/>
      <c r="R245" s="333"/>
      <c r="S245" s="333"/>
      <c r="T245" s="333"/>
      <c r="U245" s="333"/>
      <c r="V245" s="333"/>
      <c r="W245" s="333"/>
      <c r="X245" s="333"/>
      <c r="Y245" s="333"/>
      <c r="Z245" s="333"/>
      <c r="AA245" s="597"/>
      <c r="AB245" s="333"/>
      <c r="AC245" s="333"/>
      <c r="AD245" s="333"/>
      <c r="AE245" s="333"/>
      <c r="AF245" s="333"/>
      <c r="AG245" s="333"/>
      <c r="AH245" s="333"/>
      <c r="AI245" s="333"/>
      <c r="AJ245" s="333"/>
      <c r="AK245" s="333"/>
      <c r="AL245" s="333"/>
      <c r="AM245" s="333"/>
      <c r="AN245" s="333"/>
      <c r="AO245" s="333"/>
      <c r="AP245" s="333"/>
      <c r="AQ245" s="333"/>
      <c r="AR245" s="333"/>
      <c r="AS245" s="333"/>
      <c r="AT245" s="333"/>
      <c r="AU245" s="333"/>
      <c r="AV245" s="333"/>
      <c r="AW245" s="333"/>
      <c r="AX245" s="333"/>
      <c r="AY245" s="333"/>
      <c r="AZ245" s="333"/>
      <c r="BA245" s="333"/>
      <c r="BB245" s="333"/>
      <c r="BC245" s="333"/>
      <c r="BD245" s="333"/>
      <c r="BE245" s="333"/>
      <c r="BF245" s="333"/>
      <c r="BG245" s="333"/>
      <c r="BH245" s="333"/>
      <c r="BI245" s="333"/>
      <c r="BJ245" s="333"/>
      <c r="BK245" s="333"/>
      <c r="BL245" s="333"/>
      <c r="BM245" s="333"/>
      <c r="BN245" s="333"/>
      <c r="BO245" s="333"/>
      <c r="BP245" s="333"/>
      <c r="BQ245" s="333"/>
      <c r="BR245" s="333"/>
    </row>
    <row r="246" spans="4:70">
      <c r="D246" s="333"/>
      <c r="E246" s="333"/>
      <c r="F246" s="333"/>
      <c r="G246" s="333"/>
      <c r="H246" s="333"/>
      <c r="I246" s="333"/>
      <c r="J246" s="333"/>
      <c r="K246" s="333"/>
      <c r="L246" s="333"/>
      <c r="M246" s="333"/>
      <c r="N246" s="333"/>
      <c r="O246" s="597"/>
      <c r="P246" s="333"/>
      <c r="Q246" s="333"/>
      <c r="R246" s="333"/>
      <c r="S246" s="333"/>
      <c r="T246" s="333"/>
      <c r="U246" s="333"/>
      <c r="V246" s="333"/>
      <c r="W246" s="333"/>
      <c r="X246" s="333"/>
      <c r="Y246" s="333"/>
      <c r="Z246" s="333"/>
      <c r="AA246" s="597"/>
      <c r="AB246" s="333"/>
      <c r="AC246" s="333"/>
      <c r="AD246" s="333"/>
      <c r="AE246" s="333"/>
      <c r="AF246" s="333"/>
      <c r="AG246" s="333"/>
      <c r="AH246" s="333"/>
      <c r="AI246" s="333"/>
      <c r="AJ246" s="333"/>
      <c r="AK246" s="333"/>
      <c r="AL246" s="333"/>
      <c r="AM246" s="333"/>
      <c r="AN246" s="333"/>
      <c r="AO246" s="333"/>
      <c r="AP246" s="333"/>
      <c r="AQ246" s="333"/>
      <c r="AR246" s="333"/>
      <c r="AS246" s="333"/>
      <c r="AT246" s="333"/>
      <c r="AU246" s="333"/>
      <c r="AV246" s="333"/>
      <c r="AW246" s="333"/>
      <c r="AX246" s="333"/>
      <c r="AY246" s="333"/>
      <c r="AZ246" s="333"/>
      <c r="BA246" s="333"/>
      <c r="BB246" s="333"/>
      <c r="BC246" s="333"/>
      <c r="BD246" s="333"/>
      <c r="BE246" s="333"/>
      <c r="BF246" s="333"/>
      <c r="BG246" s="333"/>
      <c r="BH246" s="333"/>
      <c r="BI246" s="333"/>
      <c r="BJ246" s="333"/>
      <c r="BK246" s="333"/>
      <c r="BL246" s="333"/>
      <c r="BM246" s="333"/>
      <c r="BN246" s="333"/>
      <c r="BO246" s="333"/>
      <c r="BP246" s="333"/>
      <c r="BQ246" s="333"/>
      <c r="BR246" s="333"/>
    </row>
    <row r="247" spans="4:70">
      <c r="D247" s="333"/>
      <c r="E247" s="333"/>
      <c r="F247" s="333"/>
      <c r="G247" s="333"/>
      <c r="H247" s="333"/>
      <c r="I247" s="333"/>
      <c r="J247" s="333"/>
      <c r="K247" s="333"/>
      <c r="L247" s="333"/>
      <c r="M247" s="333"/>
      <c r="N247" s="333"/>
      <c r="O247" s="597"/>
      <c r="P247" s="333"/>
      <c r="Q247" s="333"/>
      <c r="R247" s="333"/>
      <c r="S247" s="333"/>
      <c r="T247" s="333"/>
      <c r="U247" s="333"/>
      <c r="V247" s="333"/>
      <c r="W247" s="333"/>
      <c r="X247" s="333"/>
      <c r="Y247" s="333"/>
      <c r="Z247" s="333"/>
      <c r="AA247" s="597"/>
      <c r="AB247" s="333"/>
      <c r="AC247" s="333"/>
      <c r="AD247" s="333"/>
      <c r="AE247" s="333"/>
      <c r="AF247" s="333"/>
      <c r="AG247" s="333"/>
      <c r="AH247" s="333"/>
      <c r="AI247" s="333"/>
      <c r="AJ247" s="333"/>
      <c r="AK247" s="333"/>
      <c r="AL247" s="333"/>
      <c r="AM247" s="333"/>
      <c r="AN247" s="333"/>
      <c r="AO247" s="333"/>
      <c r="AP247" s="333"/>
      <c r="AQ247" s="333"/>
      <c r="AR247" s="333"/>
      <c r="AS247" s="333"/>
      <c r="AT247" s="333"/>
      <c r="AU247" s="333"/>
      <c r="AV247" s="333"/>
      <c r="AW247" s="333"/>
      <c r="AX247" s="333"/>
      <c r="AY247" s="333"/>
      <c r="AZ247" s="333"/>
      <c r="BA247" s="333"/>
      <c r="BB247" s="333"/>
      <c r="BC247" s="333"/>
      <c r="BD247" s="333"/>
      <c r="BE247" s="333"/>
      <c r="BF247" s="333"/>
      <c r="BG247" s="333"/>
      <c r="BH247" s="333"/>
      <c r="BI247" s="333"/>
      <c r="BJ247" s="333"/>
      <c r="BK247" s="333"/>
      <c r="BL247" s="333"/>
      <c r="BM247" s="333"/>
      <c r="BN247" s="333"/>
      <c r="BO247" s="333"/>
      <c r="BP247" s="333"/>
      <c r="BQ247" s="333"/>
      <c r="BR247" s="333"/>
    </row>
    <row r="248" spans="4:70">
      <c r="D248" s="333"/>
      <c r="E248" s="333"/>
      <c r="F248" s="333"/>
      <c r="G248" s="333"/>
      <c r="H248" s="333"/>
      <c r="I248" s="333"/>
      <c r="J248" s="333"/>
      <c r="K248" s="333"/>
      <c r="L248" s="333"/>
      <c r="M248" s="333"/>
      <c r="N248" s="333"/>
      <c r="O248" s="597"/>
      <c r="P248" s="333"/>
      <c r="Q248" s="333"/>
      <c r="R248" s="333"/>
      <c r="S248" s="333"/>
      <c r="T248" s="333"/>
      <c r="U248" s="333"/>
      <c r="V248" s="333"/>
      <c r="W248" s="333"/>
      <c r="X248" s="333"/>
      <c r="Y248" s="333"/>
      <c r="Z248" s="333"/>
      <c r="AA248" s="597"/>
      <c r="AB248" s="333"/>
      <c r="AC248" s="333"/>
      <c r="AD248" s="333"/>
      <c r="AE248" s="333"/>
      <c r="AF248" s="333"/>
      <c r="AG248" s="333"/>
      <c r="AH248" s="333"/>
      <c r="AI248" s="333"/>
      <c r="AJ248" s="333"/>
      <c r="AK248" s="333"/>
      <c r="AL248" s="333"/>
      <c r="AM248" s="333"/>
      <c r="AN248" s="333"/>
      <c r="AO248" s="333"/>
      <c r="AP248" s="333"/>
      <c r="AQ248" s="333"/>
      <c r="AR248" s="333"/>
      <c r="AS248" s="333"/>
      <c r="AT248" s="333"/>
      <c r="AU248" s="333"/>
      <c r="AV248" s="333"/>
      <c r="AW248" s="333"/>
      <c r="AX248" s="333"/>
      <c r="AY248" s="333"/>
      <c r="AZ248" s="333"/>
      <c r="BA248" s="333"/>
      <c r="BB248" s="333"/>
      <c r="BC248" s="333"/>
      <c r="BD248" s="333"/>
      <c r="BE248" s="333"/>
      <c r="BF248" s="333"/>
      <c r="BG248" s="333"/>
      <c r="BH248" s="333"/>
      <c r="BI248" s="333"/>
      <c r="BJ248" s="333"/>
      <c r="BK248" s="333"/>
      <c r="BL248" s="333"/>
      <c r="BM248" s="333"/>
      <c r="BN248" s="333"/>
      <c r="BO248" s="333"/>
      <c r="BP248" s="333"/>
      <c r="BQ248" s="333"/>
      <c r="BR248" s="333"/>
    </row>
    <row r="249" spans="4:70">
      <c r="D249" s="333"/>
      <c r="E249" s="333"/>
      <c r="F249" s="333"/>
      <c r="G249" s="333"/>
      <c r="H249" s="333"/>
      <c r="I249" s="333"/>
      <c r="J249" s="333"/>
      <c r="K249" s="333"/>
      <c r="L249" s="333"/>
      <c r="M249" s="333"/>
      <c r="N249" s="333"/>
      <c r="O249" s="597"/>
      <c r="P249" s="333"/>
      <c r="Q249" s="333"/>
      <c r="R249" s="333"/>
      <c r="S249" s="333"/>
      <c r="T249" s="333"/>
      <c r="U249" s="333"/>
      <c r="V249" s="333"/>
      <c r="W249" s="333"/>
      <c r="X249" s="333"/>
      <c r="Y249" s="333"/>
      <c r="Z249" s="333"/>
      <c r="AA249" s="597"/>
      <c r="AB249" s="333"/>
      <c r="AC249" s="333"/>
      <c r="AD249" s="333"/>
      <c r="AE249" s="333"/>
      <c r="AF249" s="333"/>
      <c r="AG249" s="333"/>
      <c r="AH249" s="333"/>
      <c r="AI249" s="333"/>
      <c r="AJ249" s="333"/>
      <c r="AK249" s="333"/>
      <c r="AL249" s="333"/>
      <c r="AM249" s="333"/>
      <c r="AN249" s="333"/>
      <c r="AO249" s="333"/>
      <c r="AP249" s="333"/>
      <c r="AQ249" s="333"/>
      <c r="AR249" s="333"/>
      <c r="AS249" s="333"/>
      <c r="AT249" s="333"/>
      <c r="AU249" s="333"/>
      <c r="AV249" s="333"/>
      <c r="AW249" s="333"/>
      <c r="AX249" s="333"/>
      <c r="AY249" s="333"/>
      <c r="AZ249" s="333"/>
      <c r="BA249" s="333"/>
      <c r="BB249" s="333"/>
      <c r="BC249" s="333"/>
      <c r="BD249" s="333"/>
      <c r="BE249" s="333"/>
      <c r="BF249" s="333"/>
      <c r="BG249" s="333"/>
      <c r="BH249" s="333"/>
      <c r="BI249" s="333"/>
      <c r="BJ249" s="333"/>
      <c r="BK249" s="333"/>
      <c r="BL249" s="333"/>
      <c r="BM249" s="333"/>
      <c r="BN249" s="333"/>
      <c r="BO249" s="333"/>
      <c r="BP249" s="333"/>
      <c r="BQ249" s="333"/>
      <c r="BR249" s="333"/>
    </row>
    <row r="250" spans="4:70">
      <c r="D250" s="333"/>
      <c r="E250" s="333"/>
      <c r="F250" s="333"/>
      <c r="G250" s="333"/>
      <c r="H250" s="333"/>
      <c r="I250" s="333"/>
      <c r="J250" s="333"/>
      <c r="K250" s="333"/>
      <c r="L250" s="333"/>
      <c r="M250" s="333"/>
      <c r="N250" s="333"/>
      <c r="O250" s="597"/>
      <c r="P250" s="333"/>
      <c r="Q250" s="333"/>
      <c r="R250" s="333"/>
      <c r="S250" s="333"/>
      <c r="T250" s="333"/>
      <c r="U250" s="333"/>
      <c r="V250" s="333"/>
      <c r="W250" s="333"/>
      <c r="X250" s="333"/>
      <c r="Y250" s="333"/>
      <c r="Z250" s="333"/>
      <c r="AA250" s="597"/>
      <c r="AB250" s="333"/>
      <c r="AC250" s="333"/>
      <c r="AD250" s="333"/>
      <c r="AE250" s="333"/>
      <c r="AF250" s="333"/>
      <c r="AG250" s="333"/>
      <c r="AH250" s="333"/>
      <c r="AI250" s="333"/>
      <c r="AJ250" s="333"/>
      <c r="AK250" s="333"/>
      <c r="AL250" s="333"/>
      <c r="AM250" s="333"/>
      <c r="AN250" s="333"/>
      <c r="AO250" s="333"/>
      <c r="AP250" s="333"/>
      <c r="AQ250" s="333"/>
      <c r="AR250" s="333"/>
      <c r="AS250" s="333"/>
      <c r="AT250" s="333"/>
      <c r="AU250" s="333"/>
      <c r="AV250" s="333"/>
      <c r="AW250" s="333"/>
      <c r="AX250" s="333"/>
      <c r="AY250" s="333"/>
      <c r="AZ250" s="333"/>
      <c r="BA250" s="333"/>
      <c r="BB250" s="333"/>
      <c r="BC250" s="333"/>
      <c r="BD250" s="333"/>
      <c r="BE250" s="333"/>
      <c r="BF250" s="333"/>
      <c r="BG250" s="333"/>
      <c r="BH250" s="333"/>
      <c r="BI250" s="333"/>
      <c r="BJ250" s="333"/>
      <c r="BK250" s="333"/>
      <c r="BL250" s="333"/>
      <c r="BM250" s="333"/>
      <c r="BN250" s="333"/>
      <c r="BO250" s="333"/>
      <c r="BP250" s="333"/>
      <c r="BQ250" s="333"/>
      <c r="BR250" s="333"/>
    </row>
    <row r="251" spans="4:70">
      <c r="D251" s="333"/>
      <c r="E251" s="333"/>
      <c r="F251" s="333"/>
      <c r="G251" s="333"/>
      <c r="H251" s="333"/>
      <c r="I251" s="333"/>
      <c r="J251" s="333"/>
      <c r="K251" s="333"/>
      <c r="L251" s="333"/>
      <c r="M251" s="333"/>
      <c r="N251" s="333"/>
      <c r="O251" s="597"/>
      <c r="P251" s="333"/>
      <c r="Q251" s="333"/>
      <c r="R251" s="333"/>
      <c r="S251" s="333"/>
      <c r="T251" s="333"/>
      <c r="U251" s="333"/>
      <c r="V251" s="333"/>
      <c r="W251" s="333"/>
      <c r="X251" s="333"/>
      <c r="Y251" s="333"/>
      <c r="Z251" s="333"/>
      <c r="AA251" s="597"/>
      <c r="AB251" s="333"/>
      <c r="AC251" s="333"/>
      <c r="AD251" s="333"/>
      <c r="AE251" s="333"/>
      <c r="AF251" s="333"/>
      <c r="AG251" s="333"/>
      <c r="AH251" s="333"/>
      <c r="AI251" s="333"/>
      <c r="AJ251" s="333"/>
      <c r="AK251" s="333"/>
      <c r="AL251" s="333"/>
      <c r="AM251" s="333"/>
      <c r="AN251" s="333"/>
      <c r="AO251" s="333"/>
      <c r="AP251" s="333"/>
      <c r="AQ251" s="333"/>
      <c r="AR251" s="333"/>
      <c r="AS251" s="333"/>
      <c r="AT251" s="333"/>
      <c r="AU251" s="333"/>
      <c r="AV251" s="333"/>
      <c r="AW251" s="333"/>
      <c r="AX251" s="333"/>
      <c r="AY251" s="333"/>
      <c r="AZ251" s="333"/>
      <c r="BA251" s="333"/>
      <c r="BB251" s="333"/>
      <c r="BC251" s="333"/>
      <c r="BD251" s="333"/>
      <c r="BE251" s="333"/>
      <c r="BF251" s="333"/>
      <c r="BG251" s="333"/>
      <c r="BH251" s="333"/>
      <c r="BI251" s="333"/>
      <c r="BJ251" s="333"/>
      <c r="BK251" s="333"/>
      <c r="BL251" s="333"/>
      <c r="BM251" s="333"/>
      <c r="BN251" s="333"/>
      <c r="BO251" s="333"/>
      <c r="BP251" s="333"/>
      <c r="BQ251" s="333"/>
      <c r="BR251" s="333"/>
    </row>
    <row r="252" spans="4:70">
      <c r="D252" s="333"/>
      <c r="E252" s="333"/>
      <c r="F252" s="333"/>
      <c r="G252" s="333"/>
      <c r="H252" s="333"/>
      <c r="I252" s="333"/>
      <c r="J252" s="333"/>
      <c r="K252" s="333"/>
      <c r="L252" s="333"/>
      <c r="M252" s="333"/>
      <c r="N252" s="333"/>
      <c r="O252" s="597"/>
      <c r="P252" s="333"/>
      <c r="Q252" s="333"/>
      <c r="R252" s="333"/>
      <c r="S252" s="333"/>
      <c r="T252" s="333"/>
      <c r="U252" s="333"/>
      <c r="V252" s="333"/>
      <c r="W252" s="333"/>
      <c r="X252" s="333"/>
      <c r="Y252" s="333"/>
      <c r="Z252" s="333"/>
      <c r="AA252" s="597"/>
      <c r="AB252" s="333"/>
      <c r="AC252" s="333"/>
      <c r="AD252" s="333"/>
      <c r="AE252" s="333"/>
      <c r="AF252" s="333"/>
      <c r="AG252" s="333"/>
      <c r="AH252" s="333"/>
      <c r="AI252" s="333"/>
      <c r="AJ252" s="333"/>
      <c r="AK252" s="333"/>
      <c r="AL252" s="333"/>
      <c r="AM252" s="333"/>
      <c r="AN252" s="333"/>
      <c r="AO252" s="333"/>
      <c r="AP252" s="333"/>
      <c r="AQ252" s="333"/>
      <c r="AR252" s="333"/>
      <c r="AS252" s="333"/>
      <c r="AT252" s="333"/>
      <c r="AU252" s="333"/>
      <c r="AV252" s="333"/>
      <c r="AW252" s="333"/>
      <c r="AX252" s="333"/>
      <c r="AY252" s="333"/>
      <c r="AZ252" s="333"/>
      <c r="BA252" s="333"/>
      <c r="BB252" s="333"/>
      <c r="BC252" s="333"/>
      <c r="BD252" s="333"/>
      <c r="BE252" s="333"/>
      <c r="BF252" s="333"/>
      <c r="BG252" s="333"/>
      <c r="BH252" s="333"/>
      <c r="BI252" s="333"/>
      <c r="BJ252" s="333"/>
      <c r="BK252" s="333"/>
      <c r="BL252" s="333"/>
      <c r="BM252" s="333"/>
      <c r="BN252" s="333"/>
      <c r="BO252" s="333"/>
      <c r="BP252" s="333"/>
      <c r="BQ252" s="333"/>
      <c r="BR252" s="333"/>
    </row>
    <row r="253" spans="4:70">
      <c r="D253" s="333"/>
      <c r="E253" s="333"/>
      <c r="F253" s="333"/>
      <c r="G253" s="333"/>
      <c r="H253" s="333"/>
      <c r="I253" s="333"/>
      <c r="J253" s="333"/>
      <c r="K253" s="333"/>
      <c r="L253" s="333"/>
      <c r="M253" s="333"/>
      <c r="N253" s="333"/>
      <c r="O253" s="597"/>
      <c r="P253" s="333"/>
      <c r="Q253" s="333"/>
      <c r="R253" s="333"/>
      <c r="S253" s="333"/>
      <c r="T253" s="333"/>
      <c r="U253" s="333"/>
      <c r="V253" s="333"/>
      <c r="W253" s="333"/>
      <c r="X253" s="333"/>
      <c r="Y253" s="333"/>
      <c r="Z253" s="333"/>
      <c r="AA253" s="597"/>
      <c r="AB253" s="333"/>
      <c r="AC253" s="333"/>
      <c r="AD253" s="333"/>
      <c r="AE253" s="333"/>
      <c r="AF253" s="333"/>
      <c r="AG253" s="333"/>
      <c r="AH253" s="333"/>
      <c r="AI253" s="333"/>
      <c r="AJ253" s="333"/>
      <c r="AK253" s="333"/>
      <c r="AL253" s="333"/>
      <c r="AM253" s="333"/>
      <c r="AN253" s="333"/>
      <c r="AO253" s="333"/>
      <c r="AP253" s="333"/>
      <c r="AQ253" s="333"/>
      <c r="AR253" s="333"/>
      <c r="AS253" s="333"/>
      <c r="AT253" s="333"/>
      <c r="AU253" s="333"/>
      <c r="AV253" s="333"/>
      <c r="AW253" s="333"/>
      <c r="AX253" s="333"/>
      <c r="AY253" s="333"/>
      <c r="AZ253" s="333"/>
      <c r="BA253" s="333"/>
      <c r="BB253" s="333"/>
      <c r="BC253" s="333"/>
      <c r="BD253" s="333"/>
      <c r="BE253" s="333"/>
      <c r="BF253" s="333"/>
      <c r="BG253" s="333"/>
      <c r="BH253" s="333"/>
      <c r="BI253" s="333"/>
      <c r="BJ253" s="333"/>
      <c r="BK253" s="333"/>
      <c r="BL253" s="333"/>
      <c r="BM253" s="333"/>
      <c r="BN253" s="333"/>
      <c r="BO253" s="333"/>
      <c r="BP253" s="333"/>
      <c r="BQ253" s="333"/>
      <c r="BR253" s="333"/>
    </row>
    <row r="254" spans="4:70">
      <c r="D254" s="333"/>
      <c r="E254" s="333"/>
      <c r="F254" s="333"/>
      <c r="G254" s="333"/>
      <c r="H254" s="333"/>
      <c r="I254" s="333"/>
      <c r="J254" s="333"/>
      <c r="K254" s="333"/>
      <c r="L254" s="333"/>
      <c r="M254" s="333"/>
      <c r="N254" s="333"/>
      <c r="O254" s="597"/>
      <c r="P254" s="333"/>
      <c r="Q254" s="333"/>
      <c r="R254" s="333"/>
      <c r="S254" s="333"/>
      <c r="T254" s="333"/>
      <c r="U254" s="333"/>
      <c r="V254" s="333"/>
      <c r="W254" s="333"/>
      <c r="X254" s="333"/>
      <c r="Y254" s="333"/>
      <c r="Z254" s="333"/>
      <c r="AA254" s="597"/>
      <c r="AB254" s="333"/>
      <c r="AC254" s="333"/>
      <c r="AD254" s="333"/>
      <c r="AE254" s="333"/>
      <c r="AF254" s="333"/>
      <c r="AG254" s="333"/>
      <c r="AH254" s="333"/>
      <c r="AI254" s="333"/>
      <c r="AJ254" s="333"/>
      <c r="AK254" s="333"/>
      <c r="AL254" s="333"/>
      <c r="AM254" s="333"/>
      <c r="AN254" s="333"/>
      <c r="AO254" s="333"/>
      <c r="AP254" s="333"/>
      <c r="AQ254" s="333"/>
      <c r="AR254" s="333"/>
      <c r="AS254" s="333"/>
      <c r="AT254" s="333"/>
      <c r="AU254" s="333"/>
      <c r="AV254" s="333"/>
      <c r="AW254" s="333"/>
      <c r="AX254" s="333"/>
      <c r="AY254" s="333"/>
      <c r="AZ254" s="333"/>
      <c r="BA254" s="333"/>
      <c r="BB254" s="333"/>
      <c r="BC254" s="333"/>
      <c r="BD254" s="333"/>
      <c r="BE254" s="333"/>
      <c r="BF254" s="333"/>
      <c r="BG254" s="333"/>
      <c r="BH254" s="333"/>
      <c r="BI254" s="333"/>
      <c r="BJ254" s="333"/>
      <c r="BK254" s="333"/>
      <c r="BL254" s="333"/>
      <c r="BM254" s="333"/>
      <c r="BN254" s="333"/>
      <c r="BO254" s="333"/>
      <c r="BP254" s="333"/>
      <c r="BQ254" s="333"/>
      <c r="BR254" s="333"/>
    </row>
    <row r="255" spans="4:70">
      <c r="D255" s="333"/>
      <c r="E255" s="333"/>
      <c r="F255" s="333"/>
      <c r="G255" s="333"/>
      <c r="H255" s="333"/>
      <c r="I255" s="333"/>
      <c r="J255" s="333"/>
      <c r="K255" s="333"/>
      <c r="L255" s="333"/>
      <c r="M255" s="333"/>
      <c r="N255" s="333"/>
      <c r="O255" s="597"/>
      <c r="P255" s="333"/>
      <c r="Q255" s="333"/>
      <c r="R255" s="333"/>
      <c r="S255" s="333"/>
      <c r="T255" s="333"/>
      <c r="U255" s="333"/>
      <c r="V255" s="333"/>
      <c r="W255" s="333"/>
      <c r="X255" s="333"/>
      <c r="Y255" s="333"/>
      <c r="Z255" s="333"/>
      <c r="AA255" s="597"/>
      <c r="AB255" s="333"/>
      <c r="AC255" s="333"/>
      <c r="AD255" s="333"/>
      <c r="AE255" s="333"/>
      <c r="AF255" s="333"/>
      <c r="AG255" s="333"/>
      <c r="AH255" s="333"/>
      <c r="AI255" s="333"/>
      <c r="AJ255" s="333"/>
      <c r="AK255" s="333"/>
      <c r="AL255" s="333"/>
      <c r="AM255" s="333"/>
      <c r="AN255" s="333"/>
      <c r="AO255" s="333"/>
      <c r="AP255" s="333"/>
      <c r="AQ255" s="333"/>
      <c r="AR255" s="333"/>
      <c r="AS255" s="333"/>
      <c r="AT255" s="333"/>
      <c r="AU255" s="333"/>
      <c r="AV255" s="333"/>
      <c r="AW255" s="333"/>
      <c r="AX255" s="333"/>
      <c r="AY255" s="333"/>
      <c r="AZ255" s="333"/>
      <c r="BA255" s="333"/>
      <c r="BB255" s="333"/>
      <c r="BC255" s="333"/>
      <c r="BD255" s="333"/>
      <c r="BE255" s="333"/>
      <c r="BF255" s="333"/>
      <c r="BG255" s="333"/>
      <c r="BH255" s="333"/>
      <c r="BI255" s="333"/>
      <c r="BJ255" s="333"/>
      <c r="BK255" s="333"/>
      <c r="BL255" s="333"/>
      <c r="BM255" s="333"/>
      <c r="BN255" s="333"/>
      <c r="BO255" s="333"/>
      <c r="BP255" s="333"/>
      <c r="BQ255" s="333"/>
      <c r="BR255" s="333"/>
    </row>
    <row r="256" spans="4:70">
      <c r="D256" s="333"/>
      <c r="E256" s="333"/>
      <c r="F256" s="333"/>
      <c r="G256" s="333"/>
      <c r="H256" s="333"/>
      <c r="I256" s="333"/>
      <c r="J256" s="333"/>
      <c r="K256" s="333"/>
      <c r="L256" s="333"/>
      <c r="M256" s="333"/>
      <c r="N256" s="333"/>
      <c r="O256" s="597"/>
      <c r="P256" s="333"/>
      <c r="Q256" s="333"/>
      <c r="R256" s="333"/>
      <c r="S256" s="333"/>
      <c r="T256" s="333"/>
      <c r="U256" s="333"/>
      <c r="V256" s="333"/>
      <c r="W256" s="333"/>
      <c r="X256" s="333"/>
      <c r="Y256" s="333"/>
      <c r="Z256" s="333"/>
      <c r="AA256" s="597"/>
      <c r="AB256" s="333"/>
      <c r="AC256" s="333"/>
      <c r="AD256" s="333"/>
      <c r="AE256" s="333"/>
      <c r="AF256" s="333"/>
      <c r="AG256" s="333"/>
      <c r="AH256" s="333"/>
      <c r="AI256" s="333"/>
      <c r="AJ256" s="333"/>
      <c r="AK256" s="333"/>
      <c r="AL256" s="333"/>
      <c r="AM256" s="333"/>
      <c r="AN256" s="333"/>
      <c r="AO256" s="333"/>
      <c r="AP256" s="333"/>
      <c r="AQ256" s="333"/>
      <c r="AR256" s="333"/>
      <c r="AS256" s="333"/>
      <c r="AT256" s="333"/>
      <c r="AU256" s="333"/>
      <c r="AV256" s="333"/>
      <c r="AW256" s="333"/>
      <c r="AX256" s="333"/>
      <c r="AY256" s="333"/>
      <c r="AZ256" s="333"/>
      <c r="BA256" s="333"/>
      <c r="BB256" s="333"/>
      <c r="BC256" s="333"/>
      <c r="BD256" s="333"/>
      <c r="BE256" s="333"/>
      <c r="BF256" s="333"/>
      <c r="BG256" s="333"/>
      <c r="BH256" s="333"/>
      <c r="BI256" s="333"/>
      <c r="BJ256" s="333"/>
      <c r="BK256" s="333"/>
      <c r="BL256" s="333"/>
      <c r="BM256" s="333"/>
      <c r="BN256" s="333"/>
      <c r="BO256" s="333"/>
      <c r="BP256" s="333"/>
      <c r="BQ256" s="333"/>
      <c r="BR256" s="333"/>
    </row>
    <row r="257" spans="4:70">
      <c r="D257" s="333"/>
      <c r="E257" s="333"/>
      <c r="F257" s="333"/>
      <c r="G257" s="333"/>
      <c r="H257" s="333"/>
      <c r="I257" s="333"/>
      <c r="J257" s="333"/>
      <c r="K257" s="333"/>
      <c r="L257" s="333"/>
      <c r="M257" s="333"/>
      <c r="N257" s="333"/>
      <c r="O257" s="597"/>
      <c r="P257" s="333"/>
      <c r="Q257" s="333"/>
      <c r="R257" s="333"/>
      <c r="S257" s="333"/>
      <c r="T257" s="333"/>
      <c r="U257" s="333"/>
      <c r="V257" s="333"/>
      <c r="W257" s="333"/>
      <c r="X257" s="333"/>
      <c r="Y257" s="333"/>
      <c r="Z257" s="333"/>
      <c r="AA257" s="597"/>
      <c r="AB257" s="333"/>
      <c r="AC257" s="333"/>
      <c r="AD257" s="333"/>
      <c r="AE257" s="333"/>
      <c r="AF257" s="333"/>
      <c r="AG257" s="333"/>
      <c r="AH257" s="333"/>
      <c r="AI257" s="333"/>
      <c r="AJ257" s="333"/>
      <c r="AK257" s="333"/>
      <c r="AL257" s="333"/>
      <c r="AM257" s="333"/>
      <c r="AN257" s="333"/>
      <c r="AO257" s="333"/>
      <c r="AP257" s="333"/>
      <c r="AQ257" s="333"/>
      <c r="AR257" s="333"/>
      <c r="AS257" s="333"/>
      <c r="AT257" s="333"/>
      <c r="AU257" s="333"/>
      <c r="AV257" s="333"/>
      <c r="AW257" s="333"/>
      <c r="AX257" s="333"/>
      <c r="AY257" s="333"/>
      <c r="AZ257" s="333"/>
      <c r="BA257" s="333"/>
      <c r="BB257" s="333"/>
      <c r="BC257" s="333"/>
      <c r="BD257" s="333"/>
      <c r="BE257" s="333"/>
      <c r="BF257" s="333"/>
      <c r="BG257" s="333"/>
      <c r="BH257" s="333"/>
      <c r="BI257" s="333"/>
      <c r="BJ257" s="333"/>
      <c r="BK257" s="333"/>
      <c r="BL257" s="333"/>
      <c r="BM257" s="333"/>
      <c r="BN257" s="333"/>
      <c r="BO257" s="333"/>
      <c r="BP257" s="333"/>
      <c r="BQ257" s="333"/>
      <c r="BR257" s="333"/>
    </row>
    <row r="258" spans="4:70">
      <c r="D258" s="333"/>
      <c r="E258" s="333"/>
      <c r="F258" s="333"/>
      <c r="G258" s="333"/>
      <c r="H258" s="333"/>
      <c r="I258" s="333"/>
      <c r="J258" s="333"/>
      <c r="K258" s="333"/>
      <c r="L258" s="333"/>
      <c r="M258" s="333"/>
      <c r="N258" s="333"/>
      <c r="O258" s="597"/>
      <c r="P258" s="333"/>
      <c r="Q258" s="333"/>
      <c r="R258" s="333"/>
      <c r="S258" s="333"/>
      <c r="T258" s="333"/>
      <c r="U258" s="333"/>
      <c r="V258" s="333"/>
      <c r="W258" s="333"/>
      <c r="X258" s="333"/>
      <c r="Y258" s="333"/>
      <c r="Z258" s="333"/>
      <c r="AA258" s="597"/>
      <c r="AB258" s="333"/>
      <c r="AC258" s="333"/>
      <c r="AD258" s="333"/>
      <c r="AE258" s="333"/>
      <c r="AF258" s="333"/>
      <c r="AG258" s="333"/>
      <c r="AH258" s="333"/>
      <c r="AI258" s="333"/>
      <c r="AJ258" s="333"/>
      <c r="AK258" s="333"/>
      <c r="AL258" s="333"/>
      <c r="AM258" s="333"/>
      <c r="AN258" s="333"/>
      <c r="AO258" s="333"/>
      <c r="AP258" s="333"/>
      <c r="AQ258" s="333"/>
      <c r="AR258" s="333"/>
      <c r="AS258" s="333"/>
      <c r="AT258" s="333"/>
      <c r="AU258" s="333"/>
      <c r="AV258" s="333"/>
      <c r="AW258" s="333"/>
      <c r="AX258" s="333"/>
      <c r="AY258" s="333"/>
      <c r="AZ258" s="333"/>
      <c r="BA258" s="333"/>
      <c r="BB258" s="333"/>
      <c r="BC258" s="333"/>
      <c r="BD258" s="333"/>
      <c r="BE258" s="333"/>
      <c r="BF258" s="333"/>
      <c r="BG258" s="333"/>
      <c r="BH258" s="333"/>
      <c r="BI258" s="333"/>
      <c r="BJ258" s="333"/>
      <c r="BK258" s="333"/>
      <c r="BL258" s="333"/>
      <c r="BM258" s="333"/>
      <c r="BN258" s="333"/>
      <c r="BO258" s="333"/>
      <c r="BP258" s="333"/>
      <c r="BQ258" s="333"/>
      <c r="BR258" s="333"/>
    </row>
    <row r="259" spans="4:70">
      <c r="D259" s="333"/>
      <c r="E259" s="333"/>
      <c r="F259" s="333"/>
      <c r="G259" s="333"/>
      <c r="H259" s="333"/>
      <c r="I259" s="333"/>
      <c r="J259" s="333"/>
      <c r="K259" s="333"/>
      <c r="L259" s="333"/>
      <c r="M259" s="333"/>
      <c r="N259" s="333"/>
      <c r="O259" s="597"/>
      <c r="P259" s="333"/>
      <c r="Q259" s="333"/>
      <c r="R259" s="333"/>
      <c r="S259" s="333"/>
      <c r="T259" s="333"/>
      <c r="U259" s="333"/>
      <c r="V259" s="333"/>
      <c r="W259" s="333"/>
      <c r="X259" s="333"/>
      <c r="Y259" s="333"/>
      <c r="Z259" s="333"/>
      <c r="AA259" s="597"/>
      <c r="AB259" s="333"/>
      <c r="AC259" s="333"/>
      <c r="AD259" s="333"/>
      <c r="AE259" s="333"/>
      <c r="AF259" s="333"/>
      <c r="AG259" s="333"/>
      <c r="AH259" s="333"/>
      <c r="AI259" s="333"/>
      <c r="AJ259" s="333"/>
      <c r="AK259" s="333"/>
      <c r="AL259" s="333"/>
      <c r="AM259" s="333"/>
      <c r="AN259" s="333"/>
      <c r="AO259" s="333"/>
      <c r="AP259" s="333"/>
      <c r="AQ259" s="333"/>
      <c r="AR259" s="333"/>
      <c r="AS259" s="333"/>
      <c r="AT259" s="333"/>
      <c r="AU259" s="333"/>
      <c r="AV259" s="333"/>
      <c r="AW259" s="333"/>
      <c r="AX259" s="333"/>
      <c r="AY259" s="333"/>
      <c r="AZ259" s="333"/>
      <c r="BA259" s="333"/>
      <c r="BB259" s="333"/>
      <c r="BC259" s="333"/>
      <c r="BD259" s="333"/>
      <c r="BE259" s="333"/>
      <c r="BF259" s="333"/>
      <c r="BG259" s="333"/>
      <c r="BH259" s="333"/>
      <c r="BI259" s="333"/>
      <c r="BJ259" s="333"/>
      <c r="BK259" s="333"/>
      <c r="BL259" s="333"/>
      <c r="BM259" s="333"/>
      <c r="BN259" s="333"/>
      <c r="BO259" s="333"/>
      <c r="BP259" s="333"/>
      <c r="BQ259" s="333"/>
      <c r="BR259" s="333"/>
    </row>
    <row r="260" spans="4:70">
      <c r="D260" s="333"/>
      <c r="E260" s="333"/>
      <c r="F260" s="333"/>
      <c r="G260" s="333"/>
      <c r="H260" s="333"/>
      <c r="I260" s="333"/>
      <c r="J260" s="333"/>
      <c r="K260" s="333"/>
      <c r="L260" s="333"/>
      <c r="M260" s="333"/>
      <c r="N260" s="333"/>
      <c r="O260" s="597"/>
      <c r="P260" s="333"/>
      <c r="Q260" s="333"/>
      <c r="R260" s="333"/>
      <c r="S260" s="333"/>
      <c r="T260" s="333"/>
      <c r="U260" s="333"/>
      <c r="V260" s="333"/>
      <c r="W260" s="333"/>
      <c r="X260" s="333"/>
      <c r="Y260" s="333"/>
      <c r="Z260" s="333"/>
      <c r="AA260" s="597"/>
      <c r="AB260" s="333"/>
      <c r="AC260" s="333"/>
      <c r="AD260" s="333"/>
      <c r="AE260" s="333"/>
      <c r="AF260" s="333"/>
      <c r="AG260" s="333"/>
      <c r="AH260" s="333"/>
      <c r="AI260" s="333"/>
      <c r="AJ260" s="333"/>
      <c r="AK260" s="333"/>
      <c r="AL260" s="333"/>
      <c r="AM260" s="333"/>
      <c r="AN260" s="333"/>
      <c r="AO260" s="333"/>
      <c r="AP260" s="333"/>
      <c r="AQ260" s="333"/>
      <c r="AR260" s="333"/>
      <c r="AS260" s="333"/>
      <c r="AT260" s="333"/>
      <c r="AU260" s="333"/>
      <c r="AV260" s="333"/>
      <c r="AW260" s="333"/>
      <c r="AX260" s="333"/>
      <c r="AY260" s="333"/>
      <c r="AZ260" s="333"/>
      <c r="BA260" s="333"/>
      <c r="BB260" s="333"/>
      <c r="BC260" s="333"/>
      <c r="BD260" s="333"/>
      <c r="BE260" s="333"/>
      <c r="BF260" s="333"/>
      <c r="BG260" s="333"/>
      <c r="BH260" s="333"/>
      <c r="BI260" s="333"/>
      <c r="BJ260" s="333"/>
      <c r="BK260" s="333"/>
      <c r="BL260" s="333"/>
      <c r="BM260" s="333"/>
      <c r="BN260" s="333"/>
      <c r="BO260" s="333"/>
      <c r="BP260" s="333"/>
      <c r="BQ260" s="333"/>
      <c r="BR260" s="333"/>
    </row>
    <row r="261" spans="4:70">
      <c r="D261" s="333"/>
      <c r="E261" s="333"/>
      <c r="F261" s="333"/>
      <c r="G261" s="333"/>
      <c r="H261" s="333"/>
      <c r="I261" s="333"/>
      <c r="J261" s="333"/>
      <c r="K261" s="333"/>
      <c r="L261" s="333"/>
      <c r="M261" s="333"/>
      <c r="N261" s="333"/>
      <c r="O261" s="597"/>
      <c r="P261" s="333"/>
      <c r="Q261" s="333"/>
      <c r="R261" s="333"/>
      <c r="S261" s="333"/>
      <c r="T261" s="333"/>
      <c r="U261" s="333"/>
      <c r="V261" s="333"/>
      <c r="W261" s="333"/>
      <c r="X261" s="333"/>
      <c r="Y261" s="333"/>
      <c r="Z261" s="333"/>
      <c r="AA261" s="597"/>
      <c r="AB261" s="333"/>
      <c r="AC261" s="333"/>
      <c r="AD261" s="333"/>
      <c r="AE261" s="333"/>
      <c r="AF261" s="333"/>
      <c r="AG261" s="333"/>
      <c r="AH261" s="333"/>
      <c r="AI261" s="333"/>
      <c r="AJ261" s="333"/>
      <c r="AK261" s="333"/>
      <c r="AL261" s="333"/>
      <c r="AM261" s="333"/>
      <c r="AN261" s="333"/>
      <c r="AO261" s="333"/>
      <c r="AP261" s="333"/>
      <c r="AQ261" s="333"/>
      <c r="AR261" s="333"/>
      <c r="AS261" s="333"/>
      <c r="AT261" s="333"/>
      <c r="AU261" s="333"/>
      <c r="AV261" s="333"/>
      <c r="AW261" s="333"/>
      <c r="AX261" s="333"/>
      <c r="AY261" s="333"/>
      <c r="AZ261" s="333"/>
      <c r="BA261" s="333"/>
      <c r="BB261" s="333"/>
      <c r="BC261" s="333"/>
      <c r="BD261" s="333"/>
      <c r="BE261" s="333"/>
      <c r="BF261" s="333"/>
      <c r="BG261" s="333"/>
      <c r="BH261" s="333"/>
      <c r="BI261" s="333"/>
      <c r="BJ261" s="333"/>
      <c r="BK261" s="333"/>
      <c r="BL261" s="333"/>
      <c r="BM261" s="333"/>
      <c r="BN261" s="333"/>
      <c r="BO261" s="333"/>
      <c r="BP261" s="333"/>
      <c r="BQ261" s="333"/>
      <c r="BR261" s="333"/>
    </row>
    <row r="262" spans="4:70">
      <c r="D262" s="333"/>
      <c r="E262" s="333"/>
      <c r="F262" s="333"/>
      <c r="G262" s="333"/>
      <c r="H262" s="333"/>
      <c r="I262" s="333"/>
      <c r="J262" s="333"/>
      <c r="K262" s="333"/>
      <c r="L262" s="333"/>
      <c r="M262" s="333"/>
      <c r="N262" s="333"/>
      <c r="O262" s="597"/>
      <c r="P262" s="333"/>
      <c r="Q262" s="333"/>
      <c r="R262" s="333"/>
      <c r="S262" s="333"/>
      <c r="T262" s="333"/>
      <c r="U262" s="333"/>
      <c r="V262" s="333"/>
      <c r="W262" s="333"/>
      <c r="X262" s="333"/>
      <c r="Y262" s="333"/>
      <c r="Z262" s="333"/>
      <c r="AA262" s="597"/>
      <c r="AB262" s="333"/>
      <c r="AC262" s="333"/>
      <c r="AD262" s="333"/>
      <c r="AE262" s="333"/>
      <c r="AF262" s="333"/>
      <c r="AG262" s="333"/>
      <c r="AH262" s="333"/>
      <c r="AI262" s="333"/>
      <c r="AJ262" s="333"/>
      <c r="AK262" s="333"/>
      <c r="AL262" s="333"/>
      <c r="AM262" s="333"/>
      <c r="AN262" s="333"/>
      <c r="AO262" s="333"/>
      <c r="AP262" s="333"/>
      <c r="AQ262" s="333"/>
      <c r="AR262" s="333"/>
      <c r="AS262" s="333"/>
      <c r="AT262" s="333"/>
      <c r="AU262" s="333"/>
      <c r="AV262" s="333"/>
      <c r="AW262" s="333"/>
      <c r="AX262" s="333"/>
      <c r="AY262" s="333"/>
      <c r="AZ262" s="333"/>
      <c r="BA262" s="333"/>
      <c r="BB262" s="333"/>
      <c r="BC262" s="333"/>
      <c r="BD262" s="333"/>
      <c r="BE262" s="333"/>
      <c r="BF262" s="333"/>
      <c r="BG262" s="333"/>
      <c r="BH262" s="333"/>
      <c r="BI262" s="333"/>
      <c r="BJ262" s="333"/>
      <c r="BK262" s="333"/>
      <c r="BL262" s="333"/>
      <c r="BM262" s="333"/>
      <c r="BN262" s="333"/>
      <c r="BO262" s="333"/>
      <c r="BP262" s="333"/>
      <c r="BQ262" s="333"/>
      <c r="BR262" s="333"/>
    </row>
    <row r="263" spans="4:70">
      <c r="D263" s="333"/>
      <c r="E263" s="333"/>
      <c r="F263" s="333"/>
      <c r="G263" s="333"/>
      <c r="H263" s="333"/>
      <c r="I263" s="333"/>
      <c r="J263" s="333"/>
      <c r="K263" s="333"/>
      <c r="L263" s="333"/>
      <c r="M263" s="333"/>
      <c r="N263" s="333"/>
      <c r="O263" s="597"/>
      <c r="P263" s="333"/>
      <c r="Q263" s="333"/>
      <c r="R263" s="333"/>
      <c r="S263" s="333"/>
      <c r="T263" s="333"/>
      <c r="U263" s="333"/>
      <c r="V263" s="333"/>
      <c r="W263" s="333"/>
      <c r="X263" s="333"/>
      <c r="Y263" s="333"/>
      <c r="Z263" s="333"/>
      <c r="AA263" s="597"/>
      <c r="AB263" s="333"/>
      <c r="AC263" s="333"/>
      <c r="AD263" s="333"/>
      <c r="AE263" s="333"/>
      <c r="AF263" s="333"/>
      <c r="AG263" s="333"/>
      <c r="AH263" s="333"/>
      <c r="AI263" s="333"/>
      <c r="AJ263" s="333"/>
      <c r="AK263" s="333"/>
      <c r="AL263" s="333"/>
      <c r="AM263" s="333"/>
      <c r="AN263" s="333"/>
      <c r="AO263" s="333"/>
      <c r="AP263" s="333"/>
      <c r="AQ263" s="333"/>
      <c r="AR263" s="333"/>
      <c r="AS263" s="333"/>
      <c r="AT263" s="333"/>
      <c r="AU263" s="333"/>
      <c r="AV263" s="333"/>
      <c r="AW263" s="333"/>
      <c r="AX263" s="333"/>
      <c r="AY263" s="333"/>
      <c r="AZ263" s="333"/>
      <c r="BA263" s="333"/>
      <c r="BB263" s="333"/>
      <c r="BC263" s="333"/>
      <c r="BD263" s="333"/>
      <c r="BE263" s="333"/>
      <c r="BF263" s="333"/>
      <c r="BG263" s="333"/>
      <c r="BH263" s="333"/>
      <c r="BI263" s="333"/>
      <c r="BJ263" s="333"/>
      <c r="BK263" s="333"/>
      <c r="BL263" s="333"/>
      <c r="BM263" s="333"/>
      <c r="BN263" s="333"/>
      <c r="BO263" s="333"/>
      <c r="BP263" s="333"/>
      <c r="BQ263" s="333"/>
      <c r="BR263" s="333"/>
    </row>
    <row r="264" spans="4:70">
      <c r="D264" s="333"/>
      <c r="E264" s="333"/>
      <c r="F264" s="333"/>
      <c r="G264" s="333"/>
      <c r="H264" s="333"/>
      <c r="I264" s="333"/>
      <c r="J264" s="333"/>
      <c r="K264" s="333"/>
      <c r="L264" s="333"/>
      <c r="M264" s="333"/>
      <c r="N264" s="333"/>
      <c r="O264" s="597"/>
      <c r="P264" s="333"/>
      <c r="Q264" s="333"/>
      <c r="R264" s="333"/>
      <c r="S264" s="333"/>
      <c r="T264" s="333"/>
      <c r="U264" s="333"/>
      <c r="V264" s="333"/>
      <c r="W264" s="333"/>
      <c r="X264" s="333"/>
      <c r="Y264" s="333"/>
      <c r="Z264" s="333"/>
      <c r="AA264" s="597"/>
      <c r="AB264" s="333"/>
      <c r="AC264" s="333"/>
      <c r="AD264" s="333"/>
      <c r="AE264" s="333"/>
      <c r="AF264" s="333"/>
      <c r="AG264" s="333"/>
      <c r="AH264" s="333"/>
      <c r="AI264" s="333"/>
      <c r="AJ264" s="333"/>
      <c r="AK264" s="333"/>
      <c r="AL264" s="333"/>
      <c r="AM264" s="333"/>
      <c r="AN264" s="333"/>
      <c r="AO264" s="333"/>
      <c r="AP264" s="333"/>
      <c r="AQ264" s="333"/>
      <c r="AR264" s="333"/>
      <c r="AS264" s="333"/>
      <c r="AT264" s="333"/>
      <c r="AU264" s="333"/>
      <c r="AV264" s="333"/>
      <c r="AW264" s="333"/>
      <c r="AX264" s="333"/>
      <c r="AY264" s="333"/>
      <c r="AZ264" s="333"/>
      <c r="BA264" s="333"/>
      <c r="BB264" s="333"/>
      <c r="BC264" s="333"/>
      <c r="BD264" s="333"/>
      <c r="BE264" s="333"/>
      <c r="BF264" s="333"/>
      <c r="BG264" s="333"/>
      <c r="BH264" s="333"/>
      <c r="BI264" s="333"/>
      <c r="BJ264" s="333"/>
      <c r="BK264" s="333"/>
      <c r="BL264" s="333"/>
      <c r="BM264" s="333"/>
      <c r="BN264" s="333"/>
      <c r="BO264" s="333"/>
      <c r="BP264" s="333"/>
      <c r="BQ264" s="333"/>
      <c r="BR264" s="333"/>
    </row>
    <row r="265" spans="4:70">
      <c r="D265" s="333"/>
      <c r="E265" s="333"/>
      <c r="F265" s="333"/>
      <c r="G265" s="333"/>
      <c r="H265" s="333"/>
      <c r="I265" s="333"/>
      <c r="J265" s="333"/>
      <c r="K265" s="333"/>
      <c r="L265" s="333"/>
      <c r="M265" s="333"/>
      <c r="N265" s="333"/>
      <c r="O265" s="597"/>
      <c r="P265" s="333"/>
      <c r="Q265" s="333"/>
      <c r="R265" s="333"/>
      <c r="S265" s="333"/>
      <c r="T265" s="333"/>
      <c r="U265" s="333"/>
      <c r="V265" s="333"/>
      <c r="W265" s="333"/>
      <c r="X265" s="333"/>
      <c r="Y265" s="333"/>
      <c r="Z265" s="333"/>
      <c r="AA265" s="597"/>
      <c r="AB265" s="333"/>
      <c r="AC265" s="333"/>
      <c r="AD265" s="333"/>
      <c r="AE265" s="333"/>
      <c r="AF265" s="333"/>
      <c r="AG265" s="333"/>
      <c r="AH265" s="333"/>
      <c r="AI265" s="333"/>
      <c r="AJ265" s="333"/>
      <c r="AK265" s="333"/>
      <c r="AL265" s="333"/>
      <c r="AM265" s="333"/>
      <c r="AN265" s="333"/>
      <c r="AO265" s="333"/>
      <c r="AP265" s="333"/>
      <c r="AQ265" s="333"/>
      <c r="AR265" s="333"/>
      <c r="AS265" s="333"/>
      <c r="AT265" s="333"/>
      <c r="AU265" s="333"/>
      <c r="AV265" s="333"/>
      <c r="AW265" s="333"/>
      <c r="AX265" s="333"/>
      <c r="AY265" s="333"/>
      <c r="AZ265" s="333"/>
      <c r="BA265" s="333"/>
      <c r="BB265" s="333"/>
      <c r="BC265" s="333"/>
      <c r="BD265" s="333"/>
      <c r="BE265" s="333"/>
      <c r="BF265" s="333"/>
      <c r="BG265" s="333"/>
      <c r="BH265" s="333"/>
      <c r="BI265" s="333"/>
      <c r="BJ265" s="333"/>
      <c r="BK265" s="333"/>
      <c r="BL265" s="333"/>
      <c r="BM265" s="333"/>
      <c r="BN265" s="333"/>
      <c r="BO265" s="333"/>
      <c r="BP265" s="333"/>
      <c r="BQ265" s="333"/>
      <c r="BR265" s="333"/>
    </row>
    <row r="266" spans="4:70">
      <c r="D266" s="333"/>
      <c r="E266" s="333"/>
      <c r="F266" s="333"/>
      <c r="G266" s="333"/>
      <c r="H266" s="333"/>
      <c r="I266" s="333"/>
      <c r="J266" s="333"/>
      <c r="K266" s="333"/>
      <c r="L266" s="333"/>
      <c r="M266" s="333"/>
      <c r="N266" s="333"/>
      <c r="O266" s="597"/>
      <c r="P266" s="333"/>
      <c r="Q266" s="333"/>
      <c r="R266" s="333"/>
      <c r="S266" s="333"/>
      <c r="T266" s="333"/>
      <c r="U266" s="333"/>
      <c r="V266" s="333"/>
      <c r="W266" s="333"/>
      <c r="X266" s="333"/>
      <c r="Y266" s="333"/>
      <c r="Z266" s="333"/>
      <c r="AA266" s="597"/>
      <c r="AB266" s="333"/>
      <c r="AC266" s="333"/>
      <c r="AD266" s="333"/>
      <c r="AE266" s="333"/>
      <c r="AF266" s="333"/>
      <c r="AG266" s="333"/>
      <c r="AH266" s="333"/>
      <c r="AI266" s="333"/>
      <c r="AJ266" s="333"/>
      <c r="AK266" s="333"/>
      <c r="AL266" s="333"/>
      <c r="AM266" s="333"/>
      <c r="AN266" s="333"/>
      <c r="AO266" s="333"/>
      <c r="AP266" s="333"/>
      <c r="AQ266" s="333"/>
      <c r="AR266" s="333"/>
      <c r="AS266" s="333"/>
      <c r="AT266" s="333"/>
      <c r="AU266" s="333"/>
      <c r="AV266" s="333"/>
      <c r="AW266" s="333"/>
      <c r="AX266" s="333"/>
      <c r="AY266" s="333"/>
      <c r="AZ266" s="333"/>
      <c r="BA266" s="333"/>
      <c r="BB266" s="333"/>
      <c r="BC266" s="333"/>
      <c r="BD266" s="333"/>
      <c r="BE266" s="333"/>
      <c r="BF266" s="333"/>
      <c r="BG266" s="333"/>
      <c r="BH266" s="333"/>
      <c r="BI266" s="333"/>
      <c r="BJ266" s="333"/>
      <c r="BK266" s="333"/>
      <c r="BL266" s="333"/>
      <c r="BM266" s="333"/>
      <c r="BN266" s="333"/>
      <c r="BO266" s="333"/>
      <c r="BP266" s="333"/>
      <c r="BQ266" s="333"/>
      <c r="BR266" s="333"/>
    </row>
    <row r="267" spans="4:70">
      <c r="D267" s="333"/>
      <c r="E267" s="333"/>
      <c r="F267" s="333"/>
      <c r="G267" s="333"/>
      <c r="H267" s="333"/>
      <c r="I267" s="333"/>
      <c r="J267" s="333"/>
      <c r="K267" s="333"/>
      <c r="L267" s="333"/>
      <c r="M267" s="333"/>
      <c r="N267" s="333"/>
      <c r="O267" s="597"/>
      <c r="P267" s="333"/>
      <c r="Q267" s="333"/>
      <c r="R267" s="333"/>
      <c r="S267" s="333"/>
      <c r="T267" s="333"/>
      <c r="U267" s="333"/>
      <c r="V267" s="333"/>
      <c r="W267" s="333"/>
      <c r="X267" s="333"/>
      <c r="Y267" s="333"/>
      <c r="Z267" s="333"/>
      <c r="AA267" s="597"/>
      <c r="AB267" s="333"/>
      <c r="AC267" s="333"/>
      <c r="AD267" s="333"/>
      <c r="AE267" s="333"/>
      <c r="AF267" s="333"/>
      <c r="AG267" s="333"/>
      <c r="AH267" s="333"/>
      <c r="AI267" s="333"/>
      <c r="AJ267" s="333"/>
      <c r="AK267" s="333"/>
      <c r="AL267" s="333"/>
      <c r="AM267" s="333"/>
      <c r="AN267" s="333"/>
      <c r="AO267" s="333"/>
      <c r="AP267" s="333"/>
      <c r="AQ267" s="333"/>
      <c r="AR267" s="333"/>
      <c r="AS267" s="333"/>
      <c r="AT267" s="333"/>
      <c r="AU267" s="333"/>
      <c r="AV267" s="333"/>
      <c r="AW267" s="333"/>
      <c r="AX267" s="333"/>
      <c r="AY267" s="333"/>
      <c r="AZ267" s="333"/>
      <c r="BA267" s="333"/>
      <c r="BB267" s="333"/>
      <c r="BC267" s="333"/>
      <c r="BD267" s="333"/>
      <c r="BE267" s="333"/>
      <c r="BF267" s="333"/>
      <c r="BG267" s="333"/>
      <c r="BH267" s="333"/>
      <c r="BI267" s="333"/>
      <c r="BJ267" s="333"/>
      <c r="BK267" s="333"/>
      <c r="BL267" s="333"/>
      <c r="BM267" s="333"/>
      <c r="BN267" s="333"/>
      <c r="BO267" s="333"/>
      <c r="BP267" s="333"/>
      <c r="BQ267" s="333"/>
      <c r="BR267" s="333"/>
    </row>
    <row r="268" spans="4:70">
      <c r="D268" s="333"/>
      <c r="E268" s="333"/>
      <c r="F268" s="333"/>
      <c r="G268" s="333"/>
      <c r="H268" s="333"/>
      <c r="I268" s="333"/>
      <c r="J268" s="333"/>
      <c r="K268" s="333"/>
      <c r="L268" s="333"/>
      <c r="M268" s="333"/>
      <c r="N268" s="333"/>
      <c r="O268" s="597"/>
      <c r="P268" s="333"/>
      <c r="Q268" s="333"/>
      <c r="R268" s="333"/>
      <c r="S268" s="333"/>
      <c r="T268" s="333"/>
      <c r="U268" s="333"/>
      <c r="V268" s="333"/>
      <c r="W268" s="333"/>
      <c r="X268" s="333"/>
      <c r="Y268" s="333"/>
      <c r="Z268" s="333"/>
      <c r="AA268" s="597"/>
      <c r="AB268" s="333"/>
      <c r="AC268" s="333"/>
      <c r="AD268" s="333"/>
      <c r="AE268" s="333"/>
      <c r="AF268" s="333"/>
      <c r="AG268" s="333"/>
      <c r="AH268" s="333"/>
      <c r="AI268" s="333"/>
      <c r="AJ268" s="333"/>
      <c r="AK268" s="333"/>
      <c r="AL268" s="333"/>
      <c r="AM268" s="333"/>
      <c r="AN268" s="333"/>
      <c r="AO268" s="333"/>
      <c r="AP268" s="333"/>
      <c r="AQ268" s="333"/>
      <c r="AR268" s="333"/>
      <c r="AS268" s="333"/>
      <c r="AT268" s="333"/>
      <c r="AU268" s="333"/>
      <c r="AV268" s="333"/>
      <c r="AW268" s="333"/>
      <c r="AX268" s="333"/>
      <c r="AY268" s="333"/>
      <c r="AZ268" s="333"/>
      <c r="BA268" s="333"/>
      <c r="BB268" s="333"/>
      <c r="BC268" s="333"/>
      <c r="BD268" s="333"/>
      <c r="BE268" s="333"/>
      <c r="BF268" s="333"/>
      <c r="BG268" s="333"/>
      <c r="BH268" s="333"/>
      <c r="BI268" s="333"/>
      <c r="BJ268" s="333"/>
      <c r="BK268" s="333"/>
      <c r="BL268" s="333"/>
      <c r="BM268" s="333"/>
      <c r="BN268" s="333"/>
      <c r="BO268" s="333"/>
      <c r="BP268" s="333"/>
      <c r="BQ268" s="333"/>
      <c r="BR268" s="333"/>
    </row>
    <row r="269" spans="4:70">
      <c r="D269" s="333"/>
      <c r="E269" s="333"/>
      <c r="F269" s="333"/>
      <c r="G269" s="333"/>
      <c r="H269" s="333"/>
      <c r="I269" s="333"/>
      <c r="J269" s="333"/>
      <c r="K269" s="333"/>
      <c r="L269" s="333"/>
      <c r="M269" s="333"/>
      <c r="N269" s="333"/>
      <c r="O269" s="597"/>
      <c r="P269" s="333"/>
      <c r="Q269" s="333"/>
      <c r="R269" s="333"/>
      <c r="S269" s="333"/>
      <c r="T269" s="333"/>
      <c r="U269" s="333"/>
      <c r="V269" s="333"/>
      <c r="W269" s="333"/>
      <c r="X269" s="333"/>
      <c r="Y269" s="333"/>
      <c r="Z269" s="333"/>
      <c r="AA269" s="597"/>
      <c r="AB269" s="333"/>
      <c r="AC269" s="333"/>
      <c r="AD269" s="333"/>
      <c r="AE269" s="333"/>
      <c r="AF269" s="333"/>
      <c r="AG269" s="333"/>
      <c r="AH269" s="333"/>
      <c r="AI269" s="333"/>
      <c r="AJ269" s="333"/>
      <c r="AK269" s="333"/>
      <c r="AL269" s="333"/>
      <c r="AM269" s="333"/>
      <c r="AN269" s="333"/>
      <c r="AO269" s="333"/>
      <c r="AP269" s="333"/>
      <c r="AQ269" s="333"/>
      <c r="AR269" s="333"/>
      <c r="AS269" s="333"/>
      <c r="AT269" s="333"/>
      <c r="AU269" s="333"/>
      <c r="AV269" s="333"/>
      <c r="AW269" s="333"/>
      <c r="AX269" s="333"/>
      <c r="AY269" s="333"/>
      <c r="AZ269" s="333"/>
      <c r="BA269" s="333"/>
      <c r="BB269" s="333"/>
      <c r="BC269" s="333"/>
      <c r="BD269" s="333"/>
      <c r="BE269" s="333"/>
      <c r="BF269" s="333"/>
      <c r="BG269" s="333"/>
      <c r="BH269" s="333"/>
      <c r="BI269" s="333"/>
      <c r="BJ269" s="333"/>
      <c r="BK269" s="333"/>
      <c r="BL269" s="333"/>
      <c r="BM269" s="333"/>
      <c r="BN269" s="333"/>
      <c r="BO269" s="333"/>
      <c r="BP269" s="333"/>
      <c r="BQ269" s="333"/>
      <c r="BR269" s="333"/>
    </row>
    <row r="270" spans="4:70">
      <c r="D270" s="333"/>
      <c r="E270" s="333"/>
      <c r="F270" s="333"/>
      <c r="G270" s="333"/>
      <c r="H270" s="333"/>
      <c r="I270" s="333"/>
      <c r="J270" s="333"/>
      <c r="K270" s="333"/>
      <c r="L270" s="333"/>
      <c r="M270" s="333"/>
      <c r="N270" s="333"/>
      <c r="O270" s="597"/>
      <c r="P270" s="333"/>
      <c r="Q270" s="333"/>
      <c r="R270" s="333"/>
      <c r="S270" s="333"/>
      <c r="T270" s="333"/>
      <c r="U270" s="333"/>
      <c r="V270" s="333"/>
      <c r="W270" s="333"/>
      <c r="X270" s="333"/>
      <c r="Y270" s="333"/>
      <c r="Z270" s="333"/>
      <c r="AA270" s="597"/>
      <c r="AB270" s="333"/>
      <c r="AC270" s="333"/>
      <c r="AD270" s="333"/>
      <c r="AE270" s="333"/>
      <c r="AF270" s="333"/>
      <c r="AG270" s="333"/>
      <c r="AH270" s="333"/>
      <c r="AI270" s="333"/>
      <c r="AJ270" s="333"/>
      <c r="AK270" s="333"/>
      <c r="AL270" s="333"/>
      <c r="AM270" s="333"/>
      <c r="AN270" s="333"/>
      <c r="AO270" s="333"/>
      <c r="AP270" s="333"/>
      <c r="AQ270" s="333"/>
      <c r="AR270" s="333"/>
      <c r="AS270" s="333"/>
      <c r="AT270" s="333"/>
      <c r="AU270" s="333"/>
      <c r="AV270" s="333"/>
      <c r="AW270" s="333"/>
      <c r="AX270" s="333"/>
      <c r="AY270" s="333"/>
      <c r="AZ270" s="333"/>
      <c r="BA270" s="333"/>
      <c r="BB270" s="333"/>
      <c r="BC270" s="333"/>
      <c r="BD270" s="333"/>
      <c r="BE270" s="333"/>
      <c r="BF270" s="333"/>
      <c r="BG270" s="333"/>
      <c r="BH270" s="333"/>
      <c r="BI270" s="333"/>
      <c r="BJ270" s="333"/>
      <c r="BK270" s="333"/>
      <c r="BL270" s="333"/>
      <c r="BM270" s="333"/>
      <c r="BN270" s="333"/>
      <c r="BO270" s="333"/>
      <c r="BP270" s="333"/>
      <c r="BQ270" s="333"/>
      <c r="BR270" s="333"/>
    </row>
    <row r="271" spans="4:70">
      <c r="D271" s="333"/>
      <c r="E271" s="333"/>
      <c r="F271" s="333"/>
      <c r="G271" s="333"/>
      <c r="H271" s="333"/>
      <c r="I271" s="333"/>
      <c r="J271" s="333"/>
      <c r="K271" s="333"/>
      <c r="L271" s="333"/>
      <c r="M271" s="333"/>
      <c r="N271" s="333"/>
      <c r="O271" s="597"/>
      <c r="P271" s="333"/>
      <c r="Q271" s="333"/>
      <c r="R271" s="333"/>
      <c r="S271" s="333"/>
      <c r="T271" s="333"/>
      <c r="U271" s="333"/>
      <c r="V271" s="333"/>
      <c r="W271" s="333"/>
      <c r="X271" s="333"/>
      <c r="Y271" s="333"/>
      <c r="Z271" s="333"/>
      <c r="AA271" s="597"/>
      <c r="AB271" s="333"/>
      <c r="AC271" s="333"/>
      <c r="AD271" s="333"/>
      <c r="AE271" s="333"/>
      <c r="AF271" s="333"/>
      <c r="AG271" s="333"/>
      <c r="AH271" s="333"/>
      <c r="AI271" s="333"/>
      <c r="AJ271" s="333"/>
      <c r="AK271" s="333"/>
      <c r="AL271" s="333"/>
      <c r="AM271" s="333"/>
      <c r="AN271" s="333"/>
      <c r="AO271" s="333"/>
      <c r="AP271" s="333"/>
      <c r="AQ271" s="333"/>
      <c r="AR271" s="333"/>
      <c r="AS271" s="333"/>
      <c r="AT271" s="333"/>
      <c r="AU271" s="333"/>
      <c r="AV271" s="333"/>
      <c r="AW271" s="333"/>
      <c r="AX271" s="333"/>
      <c r="AY271" s="333"/>
      <c r="AZ271" s="333"/>
      <c r="BA271" s="333"/>
      <c r="BB271" s="333"/>
      <c r="BC271" s="333"/>
      <c r="BD271" s="333"/>
      <c r="BE271" s="333"/>
      <c r="BF271" s="333"/>
      <c r="BG271" s="333"/>
      <c r="BH271" s="333"/>
      <c r="BI271" s="333"/>
      <c r="BJ271" s="333"/>
      <c r="BK271" s="333"/>
      <c r="BL271" s="333"/>
      <c r="BM271" s="333"/>
      <c r="BN271" s="333"/>
      <c r="BO271" s="333"/>
      <c r="BP271" s="333"/>
      <c r="BQ271" s="333"/>
      <c r="BR271" s="333"/>
    </row>
    <row r="272" spans="4:70">
      <c r="D272" s="333"/>
      <c r="E272" s="333"/>
      <c r="F272" s="333"/>
      <c r="G272" s="333"/>
      <c r="H272" s="333"/>
      <c r="I272" s="333"/>
      <c r="J272" s="333"/>
      <c r="K272" s="333"/>
      <c r="L272" s="333"/>
      <c r="M272" s="333"/>
      <c r="N272" s="333"/>
      <c r="O272" s="597"/>
      <c r="P272" s="333"/>
      <c r="Q272" s="333"/>
      <c r="R272" s="333"/>
      <c r="S272" s="333"/>
      <c r="T272" s="333"/>
      <c r="U272" s="333"/>
      <c r="V272" s="333"/>
      <c r="W272" s="333"/>
      <c r="X272" s="333"/>
      <c r="Y272" s="333"/>
      <c r="Z272" s="333"/>
      <c r="AA272" s="597"/>
      <c r="AB272" s="333"/>
      <c r="AC272" s="333"/>
      <c r="AD272" s="333"/>
      <c r="AE272" s="333"/>
      <c r="AF272" s="333"/>
      <c r="AG272" s="333"/>
      <c r="AH272" s="333"/>
      <c r="AI272" s="333"/>
      <c r="AJ272" s="333"/>
      <c r="AK272" s="333"/>
      <c r="AL272" s="333"/>
      <c r="AM272" s="333"/>
      <c r="AN272" s="333"/>
      <c r="AO272" s="333"/>
      <c r="AP272" s="333"/>
      <c r="AQ272" s="333"/>
      <c r="AR272" s="333"/>
      <c r="AS272" s="333"/>
      <c r="AT272" s="333"/>
      <c r="AU272" s="333"/>
      <c r="AV272" s="333"/>
      <c r="AW272" s="333"/>
      <c r="AX272" s="333"/>
      <c r="AY272" s="333"/>
      <c r="AZ272" s="333"/>
      <c r="BA272" s="333"/>
      <c r="BB272" s="333"/>
      <c r="BC272" s="333"/>
      <c r="BD272" s="333"/>
      <c r="BE272" s="333"/>
      <c r="BF272" s="333"/>
      <c r="BG272" s="333"/>
      <c r="BH272" s="333"/>
      <c r="BI272" s="333"/>
      <c r="BJ272" s="333"/>
      <c r="BK272" s="333"/>
      <c r="BL272" s="333"/>
      <c r="BM272" s="333"/>
      <c r="BN272" s="333"/>
      <c r="BO272" s="333"/>
      <c r="BP272" s="333"/>
      <c r="BQ272" s="333"/>
      <c r="BR272" s="333"/>
    </row>
    <row r="273" spans="4:70">
      <c r="D273" s="333"/>
      <c r="E273" s="333"/>
      <c r="F273" s="333"/>
      <c r="G273" s="333"/>
      <c r="H273" s="333"/>
      <c r="I273" s="333"/>
      <c r="J273" s="333"/>
      <c r="K273" s="333"/>
      <c r="L273" s="333"/>
      <c r="M273" s="333"/>
      <c r="N273" s="333"/>
      <c r="O273" s="597"/>
      <c r="P273" s="333"/>
      <c r="Q273" s="333"/>
      <c r="R273" s="333"/>
      <c r="S273" s="333"/>
      <c r="T273" s="333"/>
      <c r="U273" s="333"/>
      <c r="V273" s="333"/>
      <c r="W273" s="333"/>
      <c r="X273" s="333"/>
      <c r="Y273" s="333"/>
      <c r="Z273" s="333"/>
      <c r="AA273" s="597"/>
      <c r="AB273" s="333"/>
      <c r="AC273" s="333"/>
      <c r="AD273" s="333"/>
      <c r="AE273" s="333"/>
      <c r="AF273" s="333"/>
      <c r="AG273" s="333"/>
      <c r="AH273" s="333"/>
      <c r="AI273" s="333"/>
      <c r="AJ273" s="333"/>
      <c r="AK273" s="333"/>
      <c r="AL273" s="333"/>
      <c r="AM273" s="333"/>
      <c r="AN273" s="333"/>
      <c r="AO273" s="333"/>
      <c r="AP273" s="333"/>
      <c r="AQ273" s="333"/>
      <c r="AR273" s="333"/>
      <c r="AS273" s="333"/>
      <c r="AT273" s="333"/>
      <c r="AU273" s="333"/>
      <c r="AV273" s="333"/>
      <c r="AW273" s="333"/>
      <c r="AX273" s="333"/>
      <c r="AY273" s="333"/>
      <c r="AZ273" s="333"/>
      <c r="BA273" s="333"/>
      <c r="BB273" s="333"/>
      <c r="BC273" s="333"/>
      <c r="BD273" s="333"/>
      <c r="BE273" s="333"/>
      <c r="BF273" s="333"/>
      <c r="BG273" s="333"/>
      <c r="BH273" s="333"/>
      <c r="BI273" s="333"/>
      <c r="BJ273" s="333"/>
      <c r="BK273" s="333"/>
      <c r="BL273" s="333"/>
      <c r="BM273" s="333"/>
      <c r="BN273" s="333"/>
      <c r="BO273" s="333"/>
      <c r="BP273" s="333"/>
      <c r="BQ273" s="333"/>
      <c r="BR273" s="333"/>
    </row>
    <row r="274" spans="4:70">
      <c r="D274" s="333"/>
      <c r="E274" s="333"/>
      <c r="F274" s="333"/>
      <c r="G274" s="333"/>
      <c r="H274" s="333"/>
      <c r="I274" s="333"/>
      <c r="J274" s="333"/>
      <c r="K274" s="333"/>
      <c r="L274" s="333"/>
      <c r="M274" s="333"/>
      <c r="N274" s="333"/>
      <c r="O274" s="597"/>
      <c r="P274" s="333"/>
      <c r="Q274" s="333"/>
      <c r="R274" s="333"/>
      <c r="S274" s="333"/>
      <c r="T274" s="333"/>
      <c r="U274" s="333"/>
      <c r="V274" s="333"/>
      <c r="W274" s="333"/>
      <c r="X274" s="333"/>
      <c r="Y274" s="333"/>
      <c r="Z274" s="333"/>
      <c r="AA274" s="597"/>
      <c r="AB274" s="333"/>
      <c r="AC274" s="333"/>
      <c r="AD274" s="333"/>
      <c r="AE274" s="333"/>
      <c r="AF274" s="333"/>
      <c r="AG274" s="333"/>
      <c r="AH274" s="333"/>
      <c r="AI274" s="333"/>
      <c r="AJ274" s="333"/>
      <c r="AK274" s="333"/>
      <c r="AL274" s="333"/>
      <c r="AM274" s="333"/>
      <c r="AN274" s="333"/>
      <c r="AO274" s="333"/>
      <c r="AP274" s="333"/>
      <c r="AQ274" s="333"/>
      <c r="AR274" s="333"/>
      <c r="AS274" s="333"/>
      <c r="AT274" s="333"/>
      <c r="AU274" s="333"/>
      <c r="AV274" s="333"/>
      <c r="AW274" s="333"/>
      <c r="AX274" s="333"/>
      <c r="AY274" s="333"/>
      <c r="AZ274" s="333"/>
      <c r="BA274" s="333"/>
      <c r="BB274" s="333"/>
      <c r="BC274" s="333"/>
      <c r="BD274" s="333"/>
      <c r="BE274" s="333"/>
      <c r="BF274" s="333"/>
      <c r="BG274" s="333"/>
      <c r="BH274" s="333"/>
      <c r="BI274" s="333"/>
      <c r="BJ274" s="333"/>
      <c r="BK274" s="333"/>
      <c r="BL274" s="333"/>
      <c r="BM274" s="333"/>
      <c r="BN274" s="333"/>
      <c r="BO274" s="333"/>
      <c r="BP274" s="333"/>
      <c r="BQ274" s="333"/>
      <c r="BR274" s="333"/>
    </row>
    <row r="275" spans="4:70">
      <c r="D275" s="333"/>
      <c r="E275" s="333"/>
      <c r="F275" s="333"/>
      <c r="G275" s="333"/>
      <c r="H275" s="333"/>
      <c r="I275" s="333"/>
      <c r="J275" s="333"/>
      <c r="K275" s="333"/>
      <c r="L275" s="333"/>
      <c r="M275" s="333"/>
      <c r="N275" s="333"/>
      <c r="O275" s="597"/>
      <c r="P275" s="333"/>
      <c r="Q275" s="333"/>
      <c r="R275" s="333"/>
      <c r="S275" s="333"/>
      <c r="T275" s="333"/>
      <c r="U275" s="333"/>
      <c r="V275" s="333"/>
      <c r="W275" s="333"/>
      <c r="X275" s="333"/>
      <c r="Y275" s="333"/>
      <c r="Z275" s="333"/>
      <c r="AA275" s="597"/>
      <c r="AB275" s="333"/>
      <c r="AC275" s="333"/>
      <c r="AD275" s="333"/>
      <c r="AE275" s="333"/>
      <c r="AF275" s="333"/>
      <c r="AG275" s="333"/>
      <c r="AH275" s="333"/>
      <c r="AI275" s="333"/>
      <c r="AJ275" s="333"/>
      <c r="AK275" s="333"/>
      <c r="AL275" s="333"/>
      <c r="AM275" s="333"/>
      <c r="AN275" s="333"/>
      <c r="AO275" s="333"/>
      <c r="AP275" s="333"/>
      <c r="AQ275" s="333"/>
      <c r="AR275" s="333"/>
      <c r="AS275" s="333"/>
      <c r="AT275" s="333"/>
      <c r="AU275" s="333"/>
      <c r="AV275" s="333"/>
      <c r="AW275" s="333"/>
      <c r="AX275" s="333"/>
      <c r="AY275" s="333"/>
      <c r="AZ275" s="333"/>
      <c r="BA275" s="333"/>
      <c r="BB275" s="333"/>
      <c r="BC275" s="333"/>
      <c r="BD275" s="333"/>
      <c r="BE275" s="333"/>
      <c r="BF275" s="333"/>
      <c r="BG275" s="333"/>
      <c r="BH275" s="333"/>
      <c r="BI275" s="333"/>
      <c r="BJ275" s="333"/>
      <c r="BK275" s="333"/>
      <c r="BL275" s="333"/>
      <c r="BM275" s="333"/>
      <c r="BN275" s="333"/>
      <c r="BO275" s="333"/>
      <c r="BP275" s="333"/>
      <c r="BQ275" s="333"/>
      <c r="BR275" s="333"/>
    </row>
    <row r="276" spans="4:70">
      <c r="D276" s="333"/>
      <c r="E276" s="333"/>
      <c r="F276" s="333"/>
      <c r="G276" s="333"/>
      <c r="H276" s="333"/>
      <c r="I276" s="333"/>
      <c r="J276" s="333"/>
      <c r="K276" s="333"/>
      <c r="L276" s="333"/>
      <c r="M276" s="333"/>
      <c r="N276" s="333"/>
      <c r="O276" s="597"/>
      <c r="P276" s="333"/>
      <c r="Q276" s="333"/>
      <c r="R276" s="333"/>
      <c r="S276" s="333"/>
      <c r="T276" s="333"/>
      <c r="U276" s="333"/>
      <c r="V276" s="333"/>
      <c r="W276" s="333"/>
      <c r="X276" s="333"/>
      <c r="Y276" s="333"/>
      <c r="Z276" s="333"/>
      <c r="AA276" s="597"/>
      <c r="AB276" s="333"/>
      <c r="AC276" s="333"/>
      <c r="AD276" s="333"/>
      <c r="AE276" s="333"/>
      <c r="AF276" s="333"/>
      <c r="AG276" s="333"/>
      <c r="AH276" s="333"/>
      <c r="AI276" s="333"/>
      <c r="AJ276" s="333"/>
      <c r="AK276" s="333"/>
      <c r="AL276" s="333"/>
      <c r="AM276" s="333"/>
      <c r="AN276" s="333"/>
      <c r="AO276" s="333"/>
      <c r="AP276" s="333"/>
      <c r="AQ276" s="333"/>
      <c r="AR276" s="333"/>
      <c r="AS276" s="333"/>
      <c r="AT276" s="333"/>
      <c r="AU276" s="333"/>
      <c r="AV276" s="333"/>
      <c r="AW276" s="333"/>
      <c r="AX276" s="333"/>
      <c r="AY276" s="333"/>
      <c r="AZ276" s="333"/>
      <c r="BA276" s="333"/>
      <c r="BB276" s="333"/>
      <c r="BC276" s="333"/>
      <c r="BD276" s="333"/>
      <c r="BE276" s="333"/>
      <c r="BF276" s="333"/>
      <c r="BG276" s="333"/>
      <c r="BH276" s="333"/>
      <c r="BI276" s="333"/>
      <c r="BJ276" s="333"/>
      <c r="BK276" s="333"/>
      <c r="BL276" s="333"/>
      <c r="BM276" s="333"/>
      <c r="BN276" s="333"/>
      <c r="BO276" s="333"/>
      <c r="BP276" s="333"/>
      <c r="BQ276" s="333"/>
      <c r="BR276" s="333"/>
    </row>
    <row r="1023" spans="1:1">
      <c r="A1023" s="295">
        <v>30217</v>
      </c>
    </row>
  </sheetData>
  <sheetProtection formatCells="0" formatColumns="0" formatRows="0" insertColumns="0" insertRows="0" insertHyperlinks="0" deleteColumns="0" deleteRows="0" sort="0" autoFilter="0" pivotTables="0"/>
  <mergeCells count="24">
    <mergeCell ref="P90:AA90"/>
    <mergeCell ref="AB90:AM90"/>
    <mergeCell ref="F65:G65"/>
    <mergeCell ref="D125:O125"/>
    <mergeCell ref="P125:AA125"/>
    <mergeCell ref="AB125:AM125"/>
    <mergeCell ref="B75:D75"/>
    <mergeCell ref="F66:G66"/>
    <mergeCell ref="F67:G67"/>
    <mergeCell ref="F68:G68"/>
    <mergeCell ref="B9:I9"/>
    <mergeCell ref="D90:O90"/>
    <mergeCell ref="B48:L48"/>
    <mergeCell ref="B64:D64"/>
    <mergeCell ref="F64:J64"/>
    <mergeCell ref="B26:E26"/>
    <mergeCell ref="G39:J39"/>
    <mergeCell ref="B38:E38"/>
    <mergeCell ref="L22:O22"/>
    <mergeCell ref="L12:O12"/>
    <mergeCell ref="L37:O37"/>
    <mergeCell ref="G33:J33"/>
    <mergeCell ref="G24:J24"/>
    <mergeCell ref="B32:E32"/>
  </mergeCells>
  <phoneticPr fontId="22" type="noConversion"/>
  <pageMargins left="0.75000000000000011" right="0.75000000000000011" top="1" bottom="1" header="0.5" footer="0.5"/>
  <pageSetup paperSize="9" orientation="portrait" horizontalDpi="4294967292" verticalDpi="4294967292" r:id="rId1"/>
  <colBreaks count="3" manualBreakCount="3">
    <brk id="15" max="1048575" man="1"/>
    <brk id="27" max="1048575" man="1"/>
    <brk id="39" max="1048575" man="1"/>
  </colBreaks>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8EB5C-1E4C-4E70-9282-88C0B2E86923}">
  <sheetPr>
    <tabColor rgb="FF5928A0"/>
  </sheetPr>
  <dimension ref="A1:DY1059"/>
  <sheetViews>
    <sheetView showGridLines="0" topLeftCell="A4" zoomScale="70" zoomScaleNormal="70" zoomScalePageLayoutView="120" workbookViewId="0">
      <pane xSplit="2" topLeftCell="C1" activePane="topRight" state="frozen"/>
      <selection activeCell="A94" sqref="A94"/>
      <selection pane="topRight" activeCell="AB118" sqref="AB118"/>
    </sheetView>
  </sheetViews>
  <sheetFormatPr defaultColWidth="10" defaultRowHeight="15.6" outlineLevelRow="1"/>
  <cols>
    <col min="1" max="1" width="4.19921875" style="593" customWidth="1"/>
    <col min="2" max="2" width="37.19921875" style="593" customWidth="1"/>
    <col min="3" max="3" width="10.296875" style="593" bestFit="1" customWidth="1"/>
    <col min="4" max="4" width="16.19921875" style="593" customWidth="1"/>
    <col min="5" max="5" width="13.19921875" style="593" bestFit="1" customWidth="1"/>
    <col min="6" max="6" width="13.296875" style="593" bestFit="1" customWidth="1"/>
    <col min="7" max="7" width="14.296875" style="593" customWidth="1"/>
    <col min="8" max="9" width="13.296875" style="593" bestFit="1" customWidth="1"/>
    <col min="10" max="10" width="18.69921875" style="593" bestFit="1" customWidth="1"/>
    <col min="11" max="11" width="18.296875" style="593" bestFit="1" customWidth="1"/>
    <col min="12" max="12" width="18.19921875" style="593" bestFit="1" customWidth="1"/>
    <col min="13" max="14" width="22.19921875" style="593" bestFit="1" customWidth="1"/>
    <col min="15" max="15" width="22.19921875" style="594" bestFit="1" customWidth="1"/>
    <col min="16" max="16" width="11.69921875" style="593" customWidth="1"/>
    <col min="17" max="17" width="22.296875" style="593" customWidth="1"/>
    <col min="18" max="18" width="11.69921875" style="593" customWidth="1"/>
    <col min="19" max="19" width="14.5" style="593" customWidth="1"/>
    <col min="20" max="20" width="13.296875" style="593" customWidth="1"/>
    <col min="21" max="21" width="12.796875" style="593" customWidth="1"/>
    <col min="22" max="22" width="11" style="593" customWidth="1"/>
    <col min="23" max="23" width="13" style="593" customWidth="1"/>
    <col min="24" max="24" width="14.19921875" style="593" customWidth="1"/>
    <col min="25" max="26" width="11.796875" style="593" bestFit="1" customWidth="1"/>
    <col min="27" max="27" width="11.796875" style="594" bestFit="1" customWidth="1"/>
    <col min="28" max="28" width="11.69921875" style="593" bestFit="1" customWidth="1"/>
    <col min="29" max="29" width="11.796875" style="593" bestFit="1" customWidth="1"/>
    <col min="30" max="34" width="12.19921875" style="593" bestFit="1" customWidth="1"/>
    <col min="35" max="35" width="11.796875" style="593" bestFit="1" customWidth="1"/>
    <col min="36" max="39" width="12.19921875" style="593" bestFit="1" customWidth="1"/>
    <col min="40" max="16384" width="10" style="593"/>
  </cols>
  <sheetData>
    <row r="1" spans="1:28" s="295" customFormat="1" ht="27" customHeight="1">
      <c r="A1" s="592" t="str">
        <f>"v"&amp;'COPYRIGHT PROTECTION'!C14&amp;" "&amp;'COPYRIGHT PROTECTION'!C6</f>
        <v xml:space="preserve">v2023.2 © Simon Hulme and Chris Drew, 2011-2023     IF PART OF AN ACADEMIC ASSIGNMENT, PLEASE DO NOT DELETE THIS SINGLE LINE.  DELETING IT MAY INVALIDATE YOUR SUBMISSION. </v>
      </c>
    </row>
    <row r="2" spans="1:28" s="642" customFormat="1" ht="28.8">
      <c r="B2" s="643" t="s">
        <v>549</v>
      </c>
      <c r="G2" s="644"/>
    </row>
    <row r="3" spans="1:28">
      <c r="O3" s="593"/>
      <c r="AA3" s="593"/>
    </row>
    <row r="4" spans="1:28" s="642" customFormat="1" ht="25.8">
      <c r="B4" s="645" t="s">
        <v>85</v>
      </c>
      <c r="C4" s="646"/>
    </row>
    <row r="5" spans="1:28">
      <c r="O5" s="593"/>
      <c r="AA5" s="593"/>
    </row>
    <row r="6" spans="1:28">
      <c r="O6" s="593"/>
      <c r="AA6" s="593"/>
    </row>
    <row r="7" spans="1:28" s="642" customFormat="1" ht="50.55" customHeight="1">
      <c r="B7" s="647" t="s">
        <v>294</v>
      </c>
      <c r="D7" s="766" t="s">
        <v>9</v>
      </c>
    </row>
    <row r="8" spans="1:28" s="595" customFormat="1" ht="18">
      <c r="B8" s="596"/>
      <c r="D8"/>
    </row>
    <row r="9" spans="1:28" ht="70.8" customHeight="1" thickBot="1">
      <c r="B9" s="1268" t="s">
        <v>418</v>
      </c>
      <c r="C9" s="1268"/>
      <c r="D9" s="1268"/>
      <c r="E9" s="1268"/>
      <c r="F9" s="1268"/>
      <c r="G9" s="1268"/>
      <c r="H9" s="1268"/>
      <c r="I9" s="1268"/>
      <c r="J9" s="661"/>
      <c r="K9" s="661"/>
      <c r="L9" s="661"/>
      <c r="M9" s="661"/>
      <c r="N9" s="661"/>
      <c r="O9" s="661"/>
      <c r="P9" s="661"/>
      <c r="Q9" s="661"/>
      <c r="R9" s="661"/>
      <c r="S9" s="661"/>
      <c r="AA9" s="593"/>
    </row>
    <row r="10" spans="1:28" s="333" customFormat="1" ht="16.2" thickTop="1">
      <c r="B10" s="662" t="s">
        <v>331</v>
      </c>
      <c r="C10" s="753" t="s">
        <v>356</v>
      </c>
      <c r="D10" s="753" t="s">
        <v>357</v>
      </c>
      <c r="E10" s="753" t="s">
        <v>358</v>
      </c>
      <c r="F10" s="753" t="s">
        <v>359</v>
      </c>
      <c r="G10" s="753">
        <v>2024</v>
      </c>
      <c r="H10" s="753">
        <v>2025</v>
      </c>
      <c r="I10" s="754">
        <v>2026</v>
      </c>
      <c r="J10" s="357"/>
      <c r="K10" s="357"/>
      <c r="L10" s="357"/>
      <c r="M10" s="357"/>
      <c r="N10" s="357"/>
      <c r="O10" s="357"/>
      <c r="P10" s="357"/>
      <c r="Q10" s="357"/>
      <c r="R10" s="357"/>
      <c r="S10" s="357"/>
      <c r="Z10" s="603"/>
      <c r="AA10" s="598"/>
      <c r="AB10" s="598"/>
    </row>
    <row r="11" spans="1:28" s="333" customFormat="1" ht="16.2" thickBot="1">
      <c r="B11" s="648" t="s">
        <v>332</v>
      </c>
      <c r="C11" s="663">
        <v>19000</v>
      </c>
      <c r="D11" s="664">
        <v>0</v>
      </c>
      <c r="E11" s="664">
        <v>0</v>
      </c>
      <c r="F11" s="664">
        <v>1</v>
      </c>
      <c r="G11" s="663">
        <v>0</v>
      </c>
      <c r="H11" s="663">
        <v>0</v>
      </c>
      <c r="I11" s="666">
        <f>F11*C11+C11*($O$14)+$O$15+$O$16+($O$17*C11)</f>
        <v>20740</v>
      </c>
      <c r="J11" s="357"/>
      <c r="K11" s="357"/>
      <c r="L11" s="357"/>
      <c r="M11" s="357"/>
      <c r="N11" s="357"/>
      <c r="O11" s="357"/>
      <c r="P11" s="357"/>
      <c r="Q11" s="357"/>
      <c r="R11" s="357"/>
      <c r="S11" s="357"/>
      <c r="U11" s="598"/>
      <c r="Z11" s="603"/>
      <c r="AA11" s="598"/>
      <c r="AB11" s="598"/>
    </row>
    <row r="12" spans="1:28" s="333" customFormat="1" ht="54.45" customHeight="1" thickTop="1">
      <c r="B12" s="648" t="s">
        <v>333</v>
      </c>
      <c r="C12" s="663">
        <v>20000</v>
      </c>
      <c r="D12" s="664">
        <v>0</v>
      </c>
      <c r="E12" s="664">
        <v>0</v>
      </c>
      <c r="F12" s="664">
        <v>1</v>
      </c>
      <c r="G12" s="663">
        <v>0</v>
      </c>
      <c r="H12" s="663">
        <v>0</v>
      </c>
      <c r="I12" s="666">
        <f t="shared" ref="I12:I22" si="0">F12*C12+C12*($O$14)+$O$15+$O$16+($O$17*C12)</f>
        <v>21800</v>
      </c>
      <c r="J12" s="357"/>
      <c r="K12" s="357"/>
      <c r="L12" s="1269" t="s">
        <v>363</v>
      </c>
      <c r="M12" s="1270"/>
      <c r="N12" s="1270"/>
      <c r="O12" s="1271"/>
      <c r="P12" s="357"/>
      <c r="Q12" s="357"/>
      <c r="R12" s="357"/>
      <c r="S12" s="357"/>
      <c r="U12" s="280"/>
      <c r="Z12" s="603"/>
      <c r="AA12" s="598"/>
      <c r="AB12" s="598"/>
    </row>
    <row r="13" spans="1:28" s="333" customFormat="1" ht="21">
      <c r="B13" s="648" t="s">
        <v>472</v>
      </c>
      <c r="C13" s="663">
        <v>25000</v>
      </c>
      <c r="D13" s="664">
        <v>0</v>
      </c>
      <c r="E13" s="664">
        <v>0</v>
      </c>
      <c r="F13" s="664">
        <v>2</v>
      </c>
      <c r="G13" s="663">
        <v>0</v>
      </c>
      <c r="H13" s="663">
        <v>0</v>
      </c>
      <c r="I13" s="666">
        <f t="shared" si="0"/>
        <v>52100</v>
      </c>
      <c r="J13" s="357"/>
      <c r="K13" s="357"/>
      <c r="L13" s="681" t="s">
        <v>464</v>
      </c>
      <c r="M13" s="751">
        <v>2024</v>
      </c>
      <c r="N13" s="751">
        <v>2025</v>
      </c>
      <c r="O13" s="752">
        <v>2026</v>
      </c>
      <c r="P13" s="357"/>
      <c r="Q13" s="357"/>
      <c r="R13" s="357"/>
      <c r="S13" s="357"/>
      <c r="U13" s="280"/>
      <c r="Z13" s="603"/>
      <c r="AA13" s="598"/>
      <c r="AB13" s="598"/>
    </row>
    <row r="14" spans="1:28" s="333" customFormat="1" ht="31.2">
      <c r="B14" s="648" t="s">
        <v>347</v>
      </c>
      <c r="C14" s="663">
        <v>32000</v>
      </c>
      <c r="D14" s="664">
        <v>0</v>
      </c>
      <c r="E14" s="664">
        <v>0</v>
      </c>
      <c r="F14" s="664">
        <v>1</v>
      </c>
      <c r="G14" s="663">
        <v>0</v>
      </c>
      <c r="H14" s="663">
        <v>0</v>
      </c>
      <c r="I14" s="666">
        <f t="shared" si="0"/>
        <v>34520</v>
      </c>
      <c r="J14" s="357"/>
      <c r="K14" s="357"/>
      <c r="L14" s="649" t="s">
        <v>361</v>
      </c>
      <c r="M14" s="667">
        <v>0</v>
      </c>
      <c r="N14" s="667">
        <v>0</v>
      </c>
      <c r="O14" s="668">
        <v>0.03</v>
      </c>
      <c r="P14" s="357"/>
      <c r="Q14" s="357"/>
      <c r="R14" s="357"/>
      <c r="S14" s="357"/>
      <c r="U14" s="280"/>
      <c r="Z14" s="603"/>
      <c r="AA14" s="598"/>
      <c r="AB14" s="598"/>
    </row>
    <row r="15" spans="1:28" s="333" customFormat="1">
      <c r="B15" s="648" t="s">
        <v>348</v>
      </c>
      <c r="C15" s="663">
        <v>24000</v>
      </c>
      <c r="D15" s="664">
        <v>0</v>
      </c>
      <c r="E15" s="664">
        <v>0</v>
      </c>
      <c r="F15" s="664">
        <v>1</v>
      </c>
      <c r="G15" s="663">
        <v>0</v>
      </c>
      <c r="H15" s="663">
        <v>0</v>
      </c>
      <c r="I15" s="666">
        <f t="shared" si="0"/>
        <v>26040</v>
      </c>
      <c r="J15" s="357"/>
      <c r="K15" s="357"/>
      <c r="L15" s="648" t="s">
        <v>352</v>
      </c>
      <c r="M15" s="669">
        <v>0</v>
      </c>
      <c r="N15" s="669">
        <v>0</v>
      </c>
      <c r="O15" s="670">
        <v>400</v>
      </c>
      <c r="P15" s="357"/>
      <c r="Q15" s="357"/>
      <c r="R15" s="357"/>
      <c r="S15" s="357"/>
      <c r="U15" s="598"/>
      <c r="Z15" s="603"/>
      <c r="AA15" s="598"/>
      <c r="AB15" s="598"/>
    </row>
    <row r="16" spans="1:28" s="333" customFormat="1">
      <c r="B16" s="648" t="s">
        <v>349</v>
      </c>
      <c r="C16" s="663">
        <v>27000</v>
      </c>
      <c r="D16" s="664">
        <v>0</v>
      </c>
      <c r="E16" s="664">
        <v>0</v>
      </c>
      <c r="F16" s="664">
        <v>1</v>
      </c>
      <c r="G16" s="663">
        <v>0</v>
      </c>
      <c r="H16" s="663">
        <v>0</v>
      </c>
      <c r="I16" s="666">
        <f t="shared" si="0"/>
        <v>29220</v>
      </c>
      <c r="J16" s="357"/>
      <c r="K16" s="357"/>
      <c r="L16" s="648" t="s">
        <v>362</v>
      </c>
      <c r="M16" s="669">
        <v>0</v>
      </c>
      <c r="N16" s="669">
        <v>0</v>
      </c>
      <c r="O16" s="670">
        <v>200</v>
      </c>
      <c r="P16" s="357"/>
      <c r="Q16" s="357"/>
      <c r="R16" s="357"/>
      <c r="S16" s="357"/>
      <c r="Z16" s="603"/>
      <c r="AA16" s="598"/>
      <c r="AB16" s="598"/>
    </row>
    <row r="17" spans="1:28" s="333" customFormat="1" ht="31.8" thickBot="1">
      <c r="B17" s="651" t="s">
        <v>351</v>
      </c>
      <c r="C17" s="663">
        <v>28000</v>
      </c>
      <c r="D17" s="664">
        <v>0</v>
      </c>
      <c r="E17" s="664">
        <v>0</v>
      </c>
      <c r="F17" s="664">
        <v>1</v>
      </c>
      <c r="G17" s="663">
        <v>0</v>
      </c>
      <c r="H17" s="663">
        <v>0</v>
      </c>
      <c r="I17" s="666">
        <f t="shared" si="0"/>
        <v>30280</v>
      </c>
      <c r="J17" s="357"/>
      <c r="K17" s="357"/>
      <c r="L17" s="671" t="s">
        <v>364</v>
      </c>
      <c r="M17" s="672">
        <v>0.03</v>
      </c>
      <c r="N17" s="672">
        <v>0.03</v>
      </c>
      <c r="O17" s="673">
        <v>0.03</v>
      </c>
      <c r="P17" s="357"/>
      <c r="Q17" s="357"/>
      <c r="R17" s="357"/>
      <c r="S17" s="357"/>
      <c r="Z17" s="603"/>
      <c r="AA17" s="598"/>
      <c r="AB17" s="598"/>
    </row>
    <row r="18" spans="1:28" s="333" customFormat="1" ht="16.2" thickTop="1">
      <c r="B18" s="651" t="s">
        <v>353</v>
      </c>
      <c r="C18" s="663">
        <f>32000</f>
        <v>32000</v>
      </c>
      <c r="D18" s="664">
        <v>0</v>
      </c>
      <c r="E18" s="664">
        <v>0</v>
      </c>
      <c r="F18" s="664">
        <v>2</v>
      </c>
      <c r="G18" s="663">
        <v>0</v>
      </c>
      <c r="H18" s="663">
        <v>0</v>
      </c>
      <c r="I18" s="666">
        <f t="shared" si="0"/>
        <v>66520</v>
      </c>
      <c r="J18" s="357"/>
      <c r="K18" s="357"/>
      <c r="L18" s="357"/>
      <c r="M18" s="357"/>
      <c r="N18" s="357"/>
      <c r="O18" s="357"/>
      <c r="P18" s="357"/>
      <c r="Q18" s="357"/>
      <c r="R18" s="357"/>
      <c r="S18" s="357"/>
      <c r="Z18" s="603"/>
      <c r="AA18" s="598"/>
      <c r="AB18" s="598"/>
    </row>
    <row r="19" spans="1:28" s="333" customFormat="1">
      <c r="B19" s="651" t="s">
        <v>470</v>
      </c>
      <c r="C19" s="663">
        <v>30000</v>
      </c>
      <c r="D19" s="664">
        <v>0</v>
      </c>
      <c r="E19" s="664">
        <v>0</v>
      </c>
      <c r="F19" s="664">
        <v>1</v>
      </c>
      <c r="G19" s="663">
        <v>0</v>
      </c>
      <c r="H19" s="663">
        <v>0</v>
      </c>
      <c r="I19" s="666">
        <f t="shared" si="0"/>
        <v>32400</v>
      </c>
      <c r="J19" s="357"/>
      <c r="K19" s="357"/>
      <c r="L19" s="357"/>
      <c r="M19" s="357"/>
      <c r="N19" s="357"/>
      <c r="O19" s="357"/>
      <c r="P19" s="357"/>
      <c r="Q19" s="357"/>
      <c r="R19" s="357"/>
      <c r="S19" s="357"/>
      <c r="Z19" s="603"/>
      <c r="AA19" s="598"/>
      <c r="AB19" s="598"/>
    </row>
    <row r="20" spans="1:28" s="333" customFormat="1">
      <c r="B20" s="651" t="s">
        <v>469</v>
      </c>
      <c r="C20" s="663">
        <v>30000</v>
      </c>
      <c r="D20" s="664">
        <v>0</v>
      </c>
      <c r="E20" s="664">
        <v>0</v>
      </c>
      <c r="F20" s="664">
        <v>1</v>
      </c>
      <c r="G20" s="663">
        <v>0</v>
      </c>
      <c r="H20" s="663">
        <v>0</v>
      </c>
      <c r="I20" s="666">
        <f t="shared" si="0"/>
        <v>32400</v>
      </c>
      <c r="J20" s="357"/>
      <c r="K20" s="357"/>
      <c r="L20" s="357"/>
      <c r="M20" s="357"/>
      <c r="N20" s="357"/>
      <c r="O20" s="357"/>
      <c r="P20" s="357"/>
      <c r="Q20" s="357"/>
      <c r="R20" s="357"/>
      <c r="S20" s="357"/>
      <c r="Z20" s="603"/>
      <c r="AA20" s="598"/>
      <c r="AB20" s="598"/>
    </row>
    <row r="21" spans="1:28" s="323" customFormat="1">
      <c r="B21" s="651" t="s">
        <v>473</v>
      </c>
      <c r="C21" s="663">
        <v>25000</v>
      </c>
      <c r="D21" s="664">
        <v>0</v>
      </c>
      <c r="E21" s="664">
        <v>0</v>
      </c>
      <c r="F21" s="664">
        <v>1</v>
      </c>
      <c r="G21" s="663"/>
      <c r="H21" s="663"/>
      <c r="I21" s="666">
        <f t="shared" si="0"/>
        <v>27100</v>
      </c>
      <c r="J21" s="322"/>
      <c r="K21" s="322"/>
      <c r="L21" s="322"/>
      <c r="M21" s="322"/>
      <c r="N21" s="322"/>
      <c r="O21" s="322"/>
      <c r="P21" s="322"/>
      <c r="Q21" s="322"/>
      <c r="R21" s="322"/>
      <c r="S21" s="322"/>
      <c r="U21" s="600"/>
      <c r="Z21" s="598"/>
      <c r="AA21" s="598"/>
      <c r="AB21" s="598"/>
    </row>
    <row r="22" spans="1:28" s="323" customFormat="1" ht="16.2" thickBot="1">
      <c r="B22" s="651" t="s">
        <v>354</v>
      </c>
      <c r="C22" s="663">
        <f>33000</f>
        <v>33000</v>
      </c>
      <c r="D22" s="664">
        <v>0</v>
      </c>
      <c r="E22" s="664">
        <v>0</v>
      </c>
      <c r="F22" s="664">
        <v>1</v>
      </c>
      <c r="G22" s="663">
        <v>0</v>
      </c>
      <c r="H22" s="764">
        <v>0</v>
      </c>
      <c r="I22" s="666">
        <f t="shared" si="0"/>
        <v>35580</v>
      </c>
      <c r="J22" s="322"/>
      <c r="K22" s="322"/>
      <c r="L22" s="322"/>
      <c r="M22" s="322"/>
      <c r="N22" s="322"/>
      <c r="O22" s="322"/>
      <c r="P22" s="322"/>
      <c r="Q22" s="322"/>
      <c r="R22" s="322"/>
      <c r="S22" s="322"/>
      <c r="U22" s="600"/>
      <c r="Z22" s="598"/>
      <c r="AA22" s="598"/>
      <c r="AB22" s="598"/>
    </row>
    <row r="23" spans="1:28" s="323" customFormat="1" ht="16.8" thickTop="1" thickBot="1">
      <c r="B23" s="674" t="s">
        <v>395</v>
      </c>
      <c r="C23" s="675"/>
      <c r="D23" s="676"/>
      <c r="E23" s="676"/>
      <c r="F23" s="676"/>
      <c r="G23" s="677">
        <f>SUM(G11:G17)</f>
        <v>0</v>
      </c>
      <c r="H23" s="677">
        <f>SUM(H11:H22)</f>
        <v>0</v>
      </c>
      <c r="I23" s="678">
        <f>SUM(I11:I22)</f>
        <v>408700</v>
      </c>
      <c r="J23" s="322"/>
      <c r="K23" s="322"/>
      <c r="L23" s="322"/>
      <c r="M23" s="322"/>
      <c r="N23" s="322"/>
      <c r="O23"/>
      <c r="P23" s="322"/>
      <c r="Q23" s="322"/>
      <c r="R23" s="322"/>
      <c r="S23" s="322"/>
      <c r="U23" s="600" t="s">
        <v>463</v>
      </c>
      <c r="Z23" s="598"/>
      <c r="AA23" s="598"/>
      <c r="AB23" s="598"/>
    </row>
    <row r="24" spans="1:28" s="323" customFormat="1" ht="16.2" thickTop="1">
      <c r="J24" s="322"/>
      <c r="K24" s="322"/>
      <c r="L24" s="322"/>
      <c r="M24" s="322"/>
      <c r="N24" s="322"/>
      <c r="O24" s="322"/>
      <c r="P24" s="322"/>
      <c r="Q24" s="322"/>
      <c r="R24" s="322"/>
      <c r="S24" s="322"/>
      <c r="Z24" s="598"/>
      <c r="AA24" s="598"/>
      <c r="AB24" s="598"/>
    </row>
    <row r="25" spans="1:28" s="333" customFormat="1" ht="16.2" thickBot="1">
      <c r="A25" s="370"/>
      <c r="B25" s="322"/>
      <c r="C25" s="679"/>
      <c r="D25"/>
      <c r="E25" s="322"/>
      <c r="F25" s="322"/>
      <c r="G25" s="322"/>
      <c r="H25" s="322"/>
      <c r="I25" s="322"/>
      <c r="J25" s="357"/>
      <c r="K25" s="357"/>
      <c r="L25" s="357"/>
      <c r="M25" s="357"/>
      <c r="N25" s="357"/>
      <c r="O25" s="357"/>
      <c r="P25" s="357"/>
      <c r="Q25" s="357"/>
      <c r="R25" s="357"/>
      <c r="S25" s="357"/>
      <c r="Z25" s="603"/>
      <c r="AA25" s="598"/>
      <c r="AB25" s="598"/>
    </row>
    <row r="26" spans="1:28" s="601" customFormat="1" ht="50.55" customHeight="1" thickTop="1">
      <c r="B26" s="680"/>
      <c r="C26" s="680"/>
      <c r="D26" s="680"/>
      <c r="E26" s="680"/>
      <c r="F26" s="680"/>
      <c r="G26" s="680"/>
      <c r="H26" s="680"/>
      <c r="I26" s="680"/>
      <c r="J26"/>
      <c r="K26" s="680"/>
      <c r="L26" s="1272" t="s">
        <v>384</v>
      </c>
      <c r="M26" s="1273"/>
      <c r="N26" s="1273"/>
      <c r="O26" s="1274"/>
      <c r="P26" s="680"/>
      <c r="Q26" s="680"/>
      <c r="R26" s="680"/>
      <c r="S26" s="680"/>
      <c r="Z26" s="609"/>
      <c r="AA26" s="602"/>
      <c r="AB26" s="602"/>
    </row>
    <row r="27" spans="1:28" s="333" customFormat="1" ht="16.8" customHeight="1" thickBot="1">
      <c r="B27" s="357"/>
      <c r="C27" s="357"/>
      <c r="D27" s="357"/>
      <c r="E27" s="357"/>
      <c r="F27" s="357"/>
      <c r="G27" s="357"/>
      <c r="H27" s="357"/>
      <c r="I27" s="357"/>
      <c r="J27" s="357"/>
      <c r="K27" s="357"/>
      <c r="L27" s="681" t="s">
        <v>326</v>
      </c>
      <c r="M27" s="682">
        <f>H29</f>
        <v>2024</v>
      </c>
      <c r="N27" s="682">
        <f t="shared" ref="N27:O27" si="1">I29</f>
        <v>2025</v>
      </c>
      <c r="O27" s="683">
        <f t="shared" si="1"/>
        <v>2026</v>
      </c>
      <c r="P27" s="357"/>
      <c r="Q27" s="357"/>
      <c r="R27" s="357"/>
      <c r="S27" s="357"/>
      <c r="Z27" s="603"/>
      <c r="AA27" s="598"/>
      <c r="AB27" s="598"/>
    </row>
    <row r="28" spans="1:28" s="323" customFormat="1" ht="61.95" customHeight="1" outlineLevel="1" thickTop="1">
      <c r="A28" s="601"/>
      <c r="B28" s="1272" t="s">
        <v>240</v>
      </c>
      <c r="C28" s="1273"/>
      <c r="D28" s="1273"/>
      <c r="E28" s="1274"/>
      <c r="F28" s="322"/>
      <c r="G28" s="1272" t="s">
        <v>385</v>
      </c>
      <c r="H28" s="1273"/>
      <c r="I28" s="1273"/>
      <c r="J28" s="1274"/>
      <c r="K28" s="322"/>
      <c r="L28" s="648" t="s">
        <v>377</v>
      </c>
      <c r="M28" s="663">
        <v>0</v>
      </c>
      <c r="N28" s="663">
        <v>0</v>
      </c>
      <c r="O28" s="686">
        <v>500</v>
      </c>
      <c r="P28" s="322"/>
      <c r="Q28" s="322"/>
      <c r="R28" s="322"/>
      <c r="S28" s="322"/>
      <c r="Z28" s="598"/>
      <c r="AA28" s="598"/>
      <c r="AB28" s="598"/>
    </row>
    <row r="29" spans="1:28" s="323" customFormat="1" ht="46.8" outlineLevel="1">
      <c r="A29" s="333"/>
      <c r="B29" s="681" t="s">
        <v>367</v>
      </c>
      <c r="C29" s="682">
        <v>2024</v>
      </c>
      <c r="D29" s="682">
        <v>2025</v>
      </c>
      <c r="E29" s="683">
        <v>2026</v>
      </c>
      <c r="F29" s="322"/>
      <c r="G29" s="681" t="s">
        <v>326</v>
      </c>
      <c r="H29" s="682">
        <f>C38</f>
        <v>2024</v>
      </c>
      <c r="I29" s="682">
        <f t="shared" ref="I29:J29" si="2">D38</f>
        <v>2025</v>
      </c>
      <c r="J29" s="683">
        <f t="shared" si="2"/>
        <v>2026</v>
      </c>
      <c r="K29" s="322"/>
      <c r="L29" s="648" t="s">
        <v>378</v>
      </c>
      <c r="M29" s="663">
        <v>0</v>
      </c>
      <c r="N29" s="663">
        <v>0</v>
      </c>
      <c r="O29" s="686">
        <v>1000</v>
      </c>
      <c r="P29" s="322"/>
      <c r="Q29" s="322"/>
      <c r="R29" s="322"/>
      <c r="S29" s="322"/>
      <c r="Z29" s="598"/>
      <c r="AA29" s="598"/>
      <c r="AB29" s="598"/>
    </row>
    <row r="30" spans="1:28" s="323" customFormat="1" ht="31.2" outlineLevel="1">
      <c r="B30" s="648" t="s">
        <v>474</v>
      </c>
      <c r="C30" s="663">
        <v>0</v>
      </c>
      <c r="D30" s="663">
        <f t="shared" ref="D30:D32" si="3">C30</f>
        <v>0</v>
      </c>
      <c r="E30" s="686">
        <v>400</v>
      </c>
      <c r="F30" s="322"/>
      <c r="G30" s="651" t="s">
        <v>336</v>
      </c>
      <c r="H30" s="663">
        <v>0</v>
      </c>
      <c r="I30" s="663">
        <v>0</v>
      </c>
      <c r="J30" s="686">
        <v>200</v>
      </c>
      <c r="K30" s="322"/>
      <c r="L30" s="651" t="s">
        <v>379</v>
      </c>
      <c r="M30" s="663">
        <v>0</v>
      </c>
      <c r="N30" s="663">
        <v>0</v>
      </c>
      <c r="O30" s="686">
        <v>400</v>
      </c>
      <c r="P30" s="322"/>
      <c r="Q30" s="322"/>
      <c r="R30" s="322"/>
      <c r="S30" s="322"/>
      <c r="Z30" s="598"/>
      <c r="AA30" s="598"/>
      <c r="AB30" s="598"/>
    </row>
    <row r="31" spans="1:28" s="323" customFormat="1" ht="31.2" outlineLevel="1">
      <c r="B31" s="648" t="s">
        <v>471</v>
      </c>
      <c r="C31" s="663">
        <v>0</v>
      </c>
      <c r="D31" s="663">
        <f t="shared" si="3"/>
        <v>0</v>
      </c>
      <c r="E31" s="686">
        <v>200</v>
      </c>
      <c r="F31" s="322"/>
      <c r="G31" s="651" t="s">
        <v>386</v>
      </c>
      <c r="H31" s="663">
        <v>0</v>
      </c>
      <c r="I31" s="663">
        <f t="shared" ref="I31:I33" si="4">H31</f>
        <v>0</v>
      </c>
      <c r="J31" s="686">
        <v>400</v>
      </c>
      <c r="K31" s="322"/>
      <c r="L31" s="651" t="s">
        <v>380</v>
      </c>
      <c r="M31" s="663">
        <v>0</v>
      </c>
      <c r="N31" s="663">
        <v>0</v>
      </c>
      <c r="O31" s="686">
        <v>200</v>
      </c>
      <c r="P31" s="322"/>
      <c r="Q31" s="322"/>
      <c r="R31" s="322"/>
      <c r="S31" s="322"/>
      <c r="Z31" s="598"/>
      <c r="AA31" s="598"/>
      <c r="AB31" s="598"/>
    </row>
    <row r="32" spans="1:28" s="323" customFormat="1" ht="47.4" outlineLevel="1" thickBot="1">
      <c r="B32" s="650" t="s">
        <v>475</v>
      </c>
      <c r="C32" s="669">
        <v>0</v>
      </c>
      <c r="D32" s="669">
        <f t="shared" si="3"/>
        <v>0</v>
      </c>
      <c r="E32" s="670">
        <v>100</v>
      </c>
      <c r="F32" s="322"/>
      <c r="G32" s="651" t="s">
        <v>390</v>
      </c>
      <c r="H32" s="663">
        <v>0</v>
      </c>
      <c r="I32" s="663">
        <f t="shared" si="4"/>
        <v>0</v>
      </c>
      <c r="J32" s="686">
        <v>500</v>
      </c>
      <c r="K32" s="322"/>
      <c r="L32" s="651" t="s">
        <v>341</v>
      </c>
      <c r="M32" s="663">
        <v>0</v>
      </c>
      <c r="N32" s="663">
        <v>0</v>
      </c>
      <c r="O32" s="686">
        <v>200</v>
      </c>
      <c r="P32" s="322"/>
      <c r="Q32" s="322"/>
      <c r="R32" s="322"/>
      <c r="S32" s="322"/>
      <c r="Z32" s="598"/>
      <c r="AA32" s="598"/>
      <c r="AB32" s="598"/>
    </row>
    <row r="33" spans="2:35" s="323" customFormat="1" ht="48" outlineLevel="1" thickTop="1" thickBot="1">
      <c r="B33" s="689" t="s">
        <v>395</v>
      </c>
      <c r="C33" s="690">
        <f>SUM(C30:C32)</f>
        <v>0</v>
      </c>
      <c r="D33" s="690">
        <f>SUM(D30:D32)</f>
        <v>0</v>
      </c>
      <c r="E33" s="691">
        <f>SUM(E30:E32)</f>
        <v>700</v>
      </c>
      <c r="F33" s="322"/>
      <c r="G33" s="651" t="s">
        <v>387</v>
      </c>
      <c r="H33" s="663">
        <v>0</v>
      </c>
      <c r="I33" s="663">
        <f t="shared" si="4"/>
        <v>0</v>
      </c>
      <c r="J33" s="686">
        <v>200</v>
      </c>
      <c r="K33" s="322"/>
      <c r="L33" s="651" t="s">
        <v>340</v>
      </c>
      <c r="M33" s="663">
        <v>0</v>
      </c>
      <c r="N33" s="663">
        <v>0</v>
      </c>
      <c r="O33" s="686">
        <v>300</v>
      </c>
      <c r="P33" s="322"/>
      <c r="Q33" s="322"/>
      <c r="R33" s="322"/>
      <c r="S33" s="322"/>
      <c r="Z33" s="598"/>
      <c r="AA33" s="598"/>
      <c r="AB33" s="598"/>
    </row>
    <row r="34" spans="2:35" s="323" customFormat="1" ht="16.8" outlineLevel="1" thickTop="1" thickBot="1">
      <c r="F34" s="322"/>
      <c r="G34" s="651" t="s">
        <v>389</v>
      </c>
      <c r="H34" s="663">
        <v>0</v>
      </c>
      <c r="I34" s="663">
        <v>0</v>
      </c>
      <c r="J34" s="686">
        <v>500</v>
      </c>
      <c r="K34" s="322"/>
      <c r="L34" s="651" t="s">
        <v>381</v>
      </c>
      <c r="M34" s="663">
        <v>0</v>
      </c>
      <c r="N34" s="663">
        <v>0</v>
      </c>
      <c r="O34" s="686">
        <v>250</v>
      </c>
      <c r="P34" s="322"/>
      <c r="Q34" s="322"/>
      <c r="R34" s="322"/>
      <c r="S34" s="322"/>
      <c r="Z34" s="598"/>
      <c r="AA34" s="598"/>
      <c r="AB34" s="598"/>
    </row>
    <row r="35" spans="2:35" s="323" customFormat="1" ht="32.4" outlineLevel="1" thickTop="1" thickBot="1">
      <c r="B35" s="322"/>
      <c r="C35" s="652"/>
      <c r="D35"/>
      <c r="E35" s="692"/>
      <c r="F35" s="692"/>
      <c r="G35" s="689" t="s">
        <v>395</v>
      </c>
      <c r="H35" s="677">
        <f>SUM(H30:H34)</f>
        <v>0</v>
      </c>
      <c r="I35" s="677">
        <f t="shared" ref="I35" si="5">SUM(I30:I34)</f>
        <v>0</v>
      </c>
      <c r="J35" s="678">
        <f>SUM(J30:J34)</f>
        <v>1800</v>
      </c>
      <c r="K35" s="322"/>
      <c r="L35" s="651" t="s">
        <v>383</v>
      </c>
      <c r="M35" s="663">
        <v>0</v>
      </c>
      <c r="N35" s="663">
        <v>0</v>
      </c>
      <c r="O35" s="686">
        <v>200</v>
      </c>
      <c r="P35" s="322"/>
      <c r="Q35" s="322"/>
      <c r="R35" s="322"/>
      <c r="S35" s="322"/>
      <c r="Z35" s="598"/>
      <c r="AA35" s="598"/>
      <c r="AB35" s="598"/>
    </row>
    <row r="36" spans="2:35" s="323" customFormat="1" ht="16.8" outlineLevel="1" thickTop="1" thickBot="1">
      <c r="B36" s="322"/>
      <c r="C36" s="322"/>
      <c r="D36" s="684"/>
      <c r="E36" s="322"/>
      <c r="F36" s="322"/>
      <c r="G36" s="322"/>
      <c r="H36" s="322"/>
      <c r="I36" s="322"/>
      <c r="J36" s="322"/>
      <c r="K36" s="322"/>
      <c r="L36" s="651" t="s">
        <v>382</v>
      </c>
      <c r="M36" s="663">
        <v>0</v>
      </c>
      <c r="N36" s="663">
        <v>0</v>
      </c>
      <c r="O36" s="686">
        <v>100</v>
      </c>
      <c r="P36" s="322"/>
      <c r="Q36" s="322"/>
      <c r="R36" s="322"/>
      <c r="S36" s="322"/>
      <c r="Z36" s="598"/>
      <c r="AA36" s="598"/>
      <c r="AB36" s="598"/>
      <c r="AC36" s="598"/>
      <c r="AD36" s="598"/>
      <c r="AE36" s="598"/>
      <c r="AF36" s="598"/>
      <c r="AG36" s="598"/>
      <c r="AH36" s="598"/>
      <c r="AI36" s="598"/>
    </row>
    <row r="37" spans="2:35" s="323" customFormat="1" ht="40.799999999999997" customHeight="1" outlineLevel="1" thickTop="1" thickBot="1">
      <c r="B37" s="1272" t="s">
        <v>480</v>
      </c>
      <c r="C37" s="1273"/>
      <c r="D37" s="1273"/>
      <c r="E37" s="1274"/>
      <c r="F37" s="322"/>
      <c r="G37" s="1272" t="s">
        <v>391</v>
      </c>
      <c r="H37" s="1273"/>
      <c r="I37" s="1273"/>
      <c r="J37" s="1274"/>
      <c r="K37" s="322"/>
      <c r="L37" s="689" t="s">
        <v>395</v>
      </c>
      <c r="M37" s="677">
        <f>SUM(M28:M36)</f>
        <v>0</v>
      </c>
      <c r="N37" s="677">
        <f t="shared" ref="N37" si="6">SUM(N28:N36)</f>
        <v>0</v>
      </c>
      <c r="O37" s="678">
        <f>SUM(O28:O36)</f>
        <v>3150</v>
      </c>
      <c r="P37" s="322"/>
      <c r="Q37" s="322"/>
      <c r="R37" s="322"/>
      <c r="S37" s="322"/>
      <c r="Z37" s="598"/>
      <c r="AA37" s="598"/>
      <c r="AB37" s="598"/>
      <c r="AC37" s="598"/>
      <c r="AD37" s="598"/>
      <c r="AE37" s="598"/>
      <c r="AF37" s="598"/>
      <c r="AG37" s="598"/>
      <c r="AH37" s="598"/>
      <c r="AI37" s="598"/>
    </row>
    <row r="38" spans="2:35" s="323" customFormat="1" ht="16.2" outlineLevel="1" thickTop="1">
      <c r="B38" s="681" t="s">
        <v>326</v>
      </c>
      <c r="C38" s="682">
        <f>C45</f>
        <v>2024</v>
      </c>
      <c r="D38" s="682">
        <f>D45</f>
        <v>2025</v>
      </c>
      <c r="E38" s="683">
        <f>E45</f>
        <v>2026</v>
      </c>
      <c r="F38" s="322"/>
      <c r="G38" s="693" t="s">
        <v>326</v>
      </c>
      <c r="H38" s="694">
        <f>C38</f>
        <v>2024</v>
      </c>
      <c r="I38" s="694">
        <f t="shared" ref="I38:J38" si="7">D38</f>
        <v>2025</v>
      </c>
      <c r="J38" s="694">
        <f t="shared" si="7"/>
        <v>2026</v>
      </c>
      <c r="K38" s="322"/>
      <c r="L38" s="322"/>
      <c r="M38" s="322"/>
      <c r="N38" s="322"/>
      <c r="O38" s="322"/>
      <c r="P38" s="322"/>
      <c r="Q38" s="322"/>
      <c r="R38" s="322"/>
      <c r="S38" s="322"/>
      <c r="Z38" s="598"/>
      <c r="AA38" s="598"/>
      <c r="AB38" s="598"/>
      <c r="AC38" s="598"/>
      <c r="AD38" s="598"/>
      <c r="AE38" s="598"/>
      <c r="AF38" s="598"/>
      <c r="AG38" s="598"/>
      <c r="AH38" s="598"/>
      <c r="AI38" s="598"/>
    </row>
    <row r="39" spans="2:35" s="323" customFormat="1" ht="31.2" outlineLevel="1">
      <c r="B39" s="651" t="s">
        <v>481</v>
      </c>
      <c r="C39" s="663">
        <v>0</v>
      </c>
      <c r="D39" s="663">
        <f t="shared" ref="D39:D40" si="8">C39</f>
        <v>0</v>
      </c>
      <c r="E39" s="686">
        <v>500</v>
      </c>
      <c r="F39" s="322"/>
      <c r="G39" s="648" t="s">
        <v>486</v>
      </c>
      <c r="H39" s="696">
        <v>0</v>
      </c>
      <c r="I39" s="696">
        <v>0</v>
      </c>
      <c r="J39" s="765">
        <v>3000</v>
      </c>
      <c r="K39" s="322"/>
      <c r="L39" s="322"/>
      <c r="M39" s="322"/>
      <c r="N39" s="322"/>
      <c r="O39" s="322"/>
      <c r="P39" s="322"/>
      <c r="Q39" s="322"/>
      <c r="R39" s="322"/>
      <c r="S39" s="322"/>
      <c r="Z39" s="598"/>
      <c r="AA39" s="598"/>
      <c r="AB39" s="598"/>
      <c r="AC39" s="598"/>
      <c r="AD39" s="598"/>
      <c r="AE39" s="598"/>
      <c r="AF39" s="598"/>
      <c r="AG39" s="598"/>
      <c r="AH39" s="598"/>
      <c r="AI39" s="598"/>
    </row>
    <row r="40" spans="2:35" s="323" customFormat="1" ht="16.2" outlineLevel="1" thickBot="1">
      <c r="B40" s="651" t="s">
        <v>482</v>
      </c>
      <c r="C40" s="663">
        <v>0</v>
      </c>
      <c r="D40" s="663">
        <f t="shared" si="8"/>
        <v>0</v>
      </c>
      <c r="E40" s="686">
        <v>250</v>
      </c>
      <c r="F40" s="322"/>
      <c r="G40" s="884" t="s">
        <v>492</v>
      </c>
      <c r="H40" s="598">
        <v>0</v>
      </c>
      <c r="I40" s="598">
        <v>0</v>
      </c>
      <c r="J40" s="897">
        <v>300</v>
      </c>
      <c r="K40" s="322"/>
      <c r="L40" s="322"/>
      <c r="M40" s="322"/>
      <c r="N40" s="322"/>
      <c r="O40" s="322"/>
      <c r="P40" s="322"/>
      <c r="Q40" s="322"/>
      <c r="R40" s="322"/>
      <c r="S40" s="322"/>
      <c r="Z40" s="598"/>
      <c r="AA40" s="598"/>
      <c r="AB40" s="598"/>
      <c r="AC40" s="598"/>
      <c r="AD40" s="598"/>
      <c r="AE40" s="598"/>
      <c r="AF40" s="598"/>
      <c r="AG40" s="598"/>
      <c r="AH40" s="598"/>
      <c r="AI40" s="598"/>
    </row>
    <row r="41" spans="2:35" s="323" customFormat="1" ht="16.8" outlineLevel="1" thickTop="1" thickBot="1">
      <c r="B41" s="689" t="s">
        <v>395</v>
      </c>
      <c r="C41" s="707">
        <f>SUM(C39:C40)</f>
        <v>0</v>
      </c>
      <c r="D41" s="707">
        <f>SUM(D39:D40)</f>
        <v>0</v>
      </c>
      <c r="E41" s="708">
        <f>SUM(E39:E40)</f>
        <v>750</v>
      </c>
      <c r="F41" s="322"/>
      <c r="G41" s="689" t="s">
        <v>395</v>
      </c>
      <c r="H41" s="677">
        <f>SUM(H39:H39)</f>
        <v>0</v>
      </c>
      <c r="I41" s="677">
        <f>SUM(I39:I39)</f>
        <v>0</v>
      </c>
      <c r="J41" s="678">
        <f>SUM(J39:J40)</f>
        <v>3300</v>
      </c>
      <c r="K41" s="322"/>
      <c r="P41" s="322"/>
      <c r="Q41" s="322"/>
      <c r="R41" s="322"/>
      <c r="S41" s="322"/>
      <c r="Z41" s="598"/>
      <c r="AA41" s="598"/>
      <c r="AB41" s="598"/>
      <c r="AC41" s="598"/>
      <c r="AD41" s="598"/>
      <c r="AE41" s="598"/>
      <c r="AF41" s="598"/>
      <c r="AG41" s="598"/>
      <c r="AH41" s="598"/>
      <c r="AI41" s="598"/>
    </row>
    <row r="42" spans="2:35" s="323" customFormat="1" ht="16.2" outlineLevel="1" thickTop="1">
      <c r="F42" s="322"/>
      <c r="G42" s="322"/>
      <c r="H42" s="699"/>
      <c r="I42" s="700"/>
      <c r="J42" s="700"/>
      <c r="K42" s="322"/>
      <c r="P42" s="322"/>
      <c r="Q42" s="322"/>
      <c r="R42" s="322"/>
      <c r="S42" s="322"/>
      <c r="U42" s="364"/>
      <c r="Z42" s="598"/>
      <c r="AA42" s="598"/>
      <c r="AB42" s="598"/>
      <c r="AC42" s="598"/>
      <c r="AD42" s="598"/>
      <c r="AE42" s="598"/>
      <c r="AF42" s="598"/>
      <c r="AG42" s="598"/>
      <c r="AH42" s="598"/>
      <c r="AI42" s="598"/>
    </row>
    <row r="43" spans="2:35" s="323" customFormat="1" ht="16.2" outlineLevel="1" thickBot="1">
      <c r="F43" s="692"/>
      <c r="K43" s="322"/>
      <c r="P43" s="322"/>
      <c r="Q43" s="322"/>
      <c r="R43" s="322"/>
      <c r="S43" s="322"/>
      <c r="Z43" s="598"/>
      <c r="AA43" s="598"/>
      <c r="AB43" s="598"/>
      <c r="AC43" s="598"/>
      <c r="AD43" s="598"/>
      <c r="AE43" s="598"/>
      <c r="AF43" s="598"/>
      <c r="AG43" s="598"/>
      <c r="AH43" s="598"/>
      <c r="AI43" s="598"/>
    </row>
    <row r="44" spans="2:35" s="323" customFormat="1" ht="52.8" customHeight="1" outlineLevel="1" thickTop="1" thickBot="1">
      <c r="B44" s="1275" t="s">
        <v>392</v>
      </c>
      <c r="C44" s="1276"/>
      <c r="D44" s="1276"/>
      <c r="E44" s="1277"/>
      <c r="F44" s="322"/>
      <c r="G44" s="1272" t="s">
        <v>371</v>
      </c>
      <c r="H44" s="1273"/>
      <c r="I44" s="1273"/>
      <c r="J44" s="1274"/>
      <c r="K44"/>
      <c r="L44"/>
      <c r="P44" s="322"/>
      <c r="Q44" s="322"/>
      <c r="R44" s="322"/>
      <c r="S44" s="322"/>
      <c r="Z44" s="598"/>
      <c r="AA44" s="598"/>
      <c r="AB44" s="598"/>
      <c r="AC44" s="598"/>
      <c r="AD44" s="598"/>
      <c r="AE44" s="598"/>
      <c r="AF44" s="598"/>
      <c r="AG44" s="598"/>
      <c r="AH44" s="598"/>
      <c r="AI44" s="598"/>
    </row>
    <row r="45" spans="2:35" s="323" customFormat="1" ht="16.2" outlineLevel="1" thickTop="1">
      <c r="B45" s="701" t="s">
        <v>326</v>
      </c>
      <c r="C45" s="702">
        <v>2024</v>
      </c>
      <c r="D45" s="702">
        <v>2025</v>
      </c>
      <c r="E45" s="703">
        <v>2026</v>
      </c>
      <c r="F45" s="322"/>
      <c r="G45" s="681" t="s">
        <v>326</v>
      </c>
      <c r="H45" s="682">
        <f>C29</f>
        <v>2024</v>
      </c>
      <c r="I45" s="682">
        <f>D29</f>
        <v>2025</v>
      </c>
      <c r="J45" s="683">
        <f>E29</f>
        <v>2026</v>
      </c>
      <c r="K45" s="322"/>
      <c r="P45" s="322"/>
      <c r="Q45" s="322"/>
      <c r="R45" s="322"/>
      <c r="S45" s="322"/>
      <c r="Z45" s="598"/>
      <c r="AA45" s="598"/>
      <c r="AB45" s="598"/>
      <c r="AC45" s="598"/>
      <c r="AD45" s="598"/>
      <c r="AE45" s="598"/>
      <c r="AF45" s="598"/>
      <c r="AG45" s="598"/>
      <c r="AH45" s="598"/>
      <c r="AI45" s="598"/>
    </row>
    <row r="46" spans="2:35" s="323" customFormat="1" outlineLevel="1">
      <c r="B46" s="653" t="s">
        <v>394</v>
      </c>
      <c r="C46" s="704">
        <v>0</v>
      </c>
      <c r="D46" s="704">
        <f>C46</f>
        <v>0</v>
      </c>
      <c r="E46" s="767">
        <v>900</v>
      </c>
      <c r="F46" s="322"/>
      <c r="G46" s="648" t="s">
        <v>372</v>
      </c>
      <c r="H46" s="696">
        <v>0</v>
      </c>
      <c r="I46" s="696">
        <v>0</v>
      </c>
      <c r="J46" s="765">
        <v>200</v>
      </c>
      <c r="K46" s="322"/>
      <c r="P46" s="322"/>
      <c r="Q46" s="322"/>
      <c r="R46" s="322"/>
      <c r="S46" s="322"/>
      <c r="Z46" s="598"/>
      <c r="AA46" s="598"/>
      <c r="AB46" s="598"/>
      <c r="AC46" s="598"/>
      <c r="AD46" s="598"/>
      <c r="AE46" s="598"/>
      <c r="AF46" s="598"/>
      <c r="AG46" s="598"/>
      <c r="AH46" s="598"/>
      <c r="AI46" s="598"/>
    </row>
    <row r="47" spans="2:35" s="323" customFormat="1" ht="16.2" outlineLevel="1" thickBot="1">
      <c r="B47" s="653" t="s">
        <v>393</v>
      </c>
      <c r="C47" s="704">
        <v>0</v>
      </c>
      <c r="D47" s="704">
        <f>C47</f>
        <v>0</v>
      </c>
      <c r="E47" s="767">
        <v>600</v>
      </c>
      <c r="F47" s="322"/>
      <c r="G47" s="648" t="s">
        <v>373</v>
      </c>
      <c r="H47" s="696">
        <v>0</v>
      </c>
      <c r="I47" s="696">
        <v>0</v>
      </c>
      <c r="J47" s="765">
        <v>400</v>
      </c>
      <c r="K47" s="322"/>
      <c r="P47" s="322"/>
      <c r="Q47" s="322"/>
      <c r="R47" s="322"/>
      <c r="S47" s="322"/>
      <c r="Z47" s="598"/>
      <c r="AA47" s="598"/>
      <c r="AB47" s="598"/>
      <c r="AC47" s="598"/>
      <c r="AD47" s="598"/>
      <c r="AE47" s="598"/>
      <c r="AF47" s="598"/>
      <c r="AG47" s="598"/>
      <c r="AH47" s="598"/>
      <c r="AI47" s="598"/>
    </row>
    <row r="48" spans="2:35" s="323" customFormat="1" ht="16.8" outlineLevel="1" thickTop="1" thickBot="1">
      <c r="B48" s="689" t="s">
        <v>395</v>
      </c>
      <c r="C48" s="707">
        <f>SUM(C46:C47)</f>
        <v>0</v>
      </c>
      <c r="D48" s="707">
        <f>SUM(D46:D47)</f>
        <v>0</v>
      </c>
      <c r="E48" s="708">
        <f>SUM(E46:E47)</f>
        <v>1500</v>
      </c>
      <c r="F48" s="322"/>
      <c r="G48" s="648" t="s">
        <v>374</v>
      </c>
      <c r="H48" s="696">
        <v>0</v>
      </c>
      <c r="I48" s="696">
        <v>0</v>
      </c>
      <c r="J48" s="765">
        <v>100</v>
      </c>
      <c r="K48" s="322"/>
      <c r="L48" s="322"/>
      <c r="M48" s="322"/>
      <c r="N48" s="322"/>
      <c r="O48" s="322"/>
      <c r="P48" s="322"/>
      <c r="Q48" s="322"/>
      <c r="R48" s="322"/>
      <c r="S48" s="322"/>
      <c r="Z48" s="598"/>
      <c r="AA48" s="598"/>
      <c r="AB48" s="598"/>
      <c r="AC48" s="598"/>
      <c r="AD48" s="598"/>
      <c r="AE48" s="598"/>
      <c r="AF48" s="598"/>
      <c r="AG48" s="598"/>
      <c r="AH48" s="598"/>
      <c r="AI48" s="598"/>
    </row>
    <row r="49" spans="1:35" s="604" customFormat="1" ht="16.8" outlineLevel="1" thickTop="1" thickBot="1">
      <c r="A49" s="323"/>
      <c r="B49" s="709"/>
      <c r="C49" s="709"/>
      <c r="D49" s="709"/>
      <c r="E49" s="709"/>
      <c r="F49" s="709"/>
      <c r="G49" s="648" t="s">
        <v>397</v>
      </c>
      <c r="H49" s="696">
        <v>0</v>
      </c>
      <c r="I49" s="696">
        <v>0</v>
      </c>
      <c r="J49" s="765">
        <v>40</v>
      </c>
      <c r="K49" s="709"/>
      <c r="L49" s="709"/>
      <c r="M49" s="709"/>
      <c r="N49" s="709"/>
      <c r="O49" s="710"/>
      <c r="P49" s="710"/>
      <c r="Q49" s="709"/>
      <c r="R49" s="709"/>
      <c r="S49" s="709"/>
      <c r="AA49" s="606"/>
      <c r="AB49" s="606"/>
      <c r="AC49" s="606"/>
      <c r="AD49" s="606"/>
      <c r="AE49" s="606"/>
      <c r="AF49" s="606"/>
      <c r="AG49" s="606"/>
      <c r="AH49" s="606"/>
      <c r="AI49" s="606"/>
    </row>
    <row r="50" spans="1:35" s="323" customFormat="1" ht="16.8" outlineLevel="1" thickTop="1" thickBot="1">
      <c r="B50"/>
      <c r="C50" s="322"/>
      <c r="D50" s="322"/>
      <c r="E50" s="322"/>
      <c r="F50" s="322"/>
      <c r="G50" s="689" t="s">
        <v>395</v>
      </c>
      <c r="H50" s="690">
        <f>SUM(H46:H49)</f>
        <v>0</v>
      </c>
      <c r="I50" s="690">
        <f>SUM(I46:I49)</f>
        <v>0</v>
      </c>
      <c r="J50" s="691">
        <f>SUM(J46:J49)</f>
        <v>740</v>
      </c>
      <c r="K50" s="322"/>
      <c r="L50" s="322"/>
      <c r="M50" s="322"/>
      <c r="N50" s="322"/>
      <c r="O50" s="684"/>
      <c r="P50" s="684"/>
      <c r="Q50" s="322"/>
      <c r="R50" s="322"/>
      <c r="S50" s="322"/>
      <c r="AA50" s="598"/>
      <c r="AB50" s="598"/>
      <c r="AC50" s="598"/>
      <c r="AD50" s="598"/>
      <c r="AE50" s="598"/>
      <c r="AF50" s="598"/>
      <c r="AG50" s="598"/>
      <c r="AH50" s="598"/>
      <c r="AI50" s="598"/>
    </row>
    <row r="51" spans="1:35" s="323" customFormat="1" ht="16.8" outlineLevel="1" thickTop="1" thickBot="1">
      <c r="B51" s="322"/>
      <c r="C51" s="322"/>
      <c r="D51" s="322"/>
      <c r="E51" s="322"/>
      <c r="F51" s="711"/>
      <c r="G51" s="322"/>
      <c r="H51" s="322"/>
      <c r="I51" s="322"/>
      <c r="J51" s="322"/>
      <c r="K51" s="322"/>
      <c r="L51" s="322"/>
      <c r="M51" s="322"/>
      <c r="N51" s="322"/>
      <c r="O51" s="684"/>
      <c r="P51" s="684"/>
      <c r="Q51" s="322"/>
      <c r="R51" s="322"/>
      <c r="S51" s="322"/>
      <c r="AA51" s="598"/>
      <c r="AB51" s="598"/>
      <c r="AC51" s="598"/>
      <c r="AD51" s="598"/>
      <c r="AE51" s="598"/>
      <c r="AF51" s="598"/>
      <c r="AG51" s="598"/>
      <c r="AH51" s="598"/>
      <c r="AI51" s="598"/>
    </row>
    <row r="52" spans="1:35" s="323" customFormat="1" ht="39" customHeight="1" outlineLevel="1" thickTop="1">
      <c r="B52" s="1272" t="s">
        <v>396</v>
      </c>
      <c r="C52" s="1273"/>
      <c r="D52" s="1273"/>
      <c r="E52" s="1273"/>
      <c r="F52" s="1273"/>
      <c r="G52" s="1273"/>
      <c r="H52" s="1273"/>
      <c r="I52" s="1273"/>
      <c r="J52" s="1273"/>
      <c r="K52" s="1273"/>
      <c r="L52" s="1274"/>
      <c r="M52" s="322"/>
      <c r="N52" s="322"/>
      <c r="O52" s="684"/>
      <c r="P52" s="684"/>
      <c r="Q52" s="322"/>
      <c r="R52" s="322"/>
      <c r="S52" s="322"/>
      <c r="AA52" s="598"/>
      <c r="AB52" s="598"/>
      <c r="AC52" s="598"/>
      <c r="AD52" s="598"/>
      <c r="AE52" s="598"/>
      <c r="AF52" s="598"/>
      <c r="AG52" s="598"/>
      <c r="AH52" s="598"/>
      <c r="AI52" s="598"/>
    </row>
    <row r="53" spans="1:35" s="607" customFormat="1" outlineLevel="1">
      <c r="B53" s="681" t="s">
        <v>326</v>
      </c>
      <c r="C53" s="755" t="s">
        <v>403</v>
      </c>
      <c r="D53" s="682" t="s">
        <v>357</v>
      </c>
      <c r="E53" s="682" t="s">
        <v>358</v>
      </c>
      <c r="F53" s="682" t="s">
        <v>359</v>
      </c>
      <c r="G53" s="682">
        <v>2024</v>
      </c>
      <c r="H53" s="682">
        <v>2025</v>
      </c>
      <c r="I53" s="682">
        <v>2026</v>
      </c>
      <c r="J53" s="755" t="s">
        <v>413</v>
      </c>
      <c r="K53" s="755" t="s">
        <v>414</v>
      </c>
      <c r="L53" s="756" t="s">
        <v>417</v>
      </c>
      <c r="M53" s="712"/>
      <c r="N53" s="712"/>
      <c r="O53" s="713"/>
      <c r="P53" s="712"/>
      <c r="Q53" s="712"/>
      <c r="R53" s="712"/>
      <c r="S53" s="712"/>
      <c r="AB53" s="660"/>
      <c r="AC53" s="660"/>
      <c r="AD53" s="660"/>
      <c r="AE53" s="660"/>
      <c r="AF53" s="660"/>
      <c r="AG53" s="660"/>
      <c r="AH53" s="660"/>
      <c r="AI53" s="660"/>
    </row>
    <row r="54" spans="1:35" s="607" customFormat="1" outlineLevel="1">
      <c r="B54" s="651" t="s">
        <v>402</v>
      </c>
      <c r="C54" s="663">
        <v>800</v>
      </c>
      <c r="D54" s="714">
        <v>0</v>
      </c>
      <c r="E54" s="714">
        <v>0</v>
      </c>
      <c r="F54" s="714">
        <v>5</v>
      </c>
      <c r="G54" s="663">
        <f t="shared" ref="G54:G63" si="9">$C54*D54</f>
        <v>0</v>
      </c>
      <c r="H54" s="663">
        <f t="shared" ref="H54:H63" si="10">$C54*E54</f>
        <v>0</v>
      </c>
      <c r="I54" s="665">
        <f t="shared" ref="I54:I63" si="11">$C54*F54</f>
        <v>4000</v>
      </c>
      <c r="J54" s="714">
        <v>4</v>
      </c>
      <c r="K54" s="665" t="s">
        <v>416</v>
      </c>
      <c r="L54" s="715" t="s">
        <v>350</v>
      </c>
      <c r="M54" s="712"/>
      <c r="N54" s="712"/>
      <c r="O54" s="713"/>
      <c r="P54" s="712"/>
      <c r="Q54" s="712"/>
      <c r="R54" s="712"/>
      <c r="S54" s="712"/>
      <c r="AB54" s="660"/>
      <c r="AC54" s="660"/>
      <c r="AD54" s="660"/>
      <c r="AE54" s="660"/>
      <c r="AF54" s="660"/>
      <c r="AG54" s="660"/>
      <c r="AH54" s="660"/>
      <c r="AI54" s="660"/>
    </row>
    <row r="55" spans="1:35" s="323" customFormat="1" outlineLevel="1">
      <c r="B55" s="651" t="s">
        <v>404</v>
      </c>
      <c r="C55" s="663">
        <v>1200</v>
      </c>
      <c r="D55" s="714">
        <v>0</v>
      </c>
      <c r="E55" s="714">
        <v>0</v>
      </c>
      <c r="F55" s="714">
        <v>1</v>
      </c>
      <c r="G55" s="663">
        <f t="shared" si="9"/>
        <v>0</v>
      </c>
      <c r="H55" s="663">
        <f t="shared" si="10"/>
        <v>0</v>
      </c>
      <c r="I55" s="665">
        <f t="shared" si="11"/>
        <v>1200</v>
      </c>
      <c r="J55" s="714">
        <v>5</v>
      </c>
      <c r="K55" s="665" t="s">
        <v>416</v>
      </c>
      <c r="L55" s="715" t="s">
        <v>350</v>
      </c>
      <c r="M55" s="322"/>
      <c r="N55" s="322"/>
      <c r="O55" s="684"/>
      <c r="P55" s="684"/>
      <c r="Q55" s="322"/>
      <c r="R55" s="322"/>
      <c r="S55" s="322"/>
      <c r="AA55" s="598"/>
      <c r="AB55" s="598"/>
      <c r="AC55" s="598"/>
      <c r="AD55" s="598"/>
      <c r="AE55" s="598"/>
      <c r="AF55" s="598"/>
      <c r="AG55" s="598"/>
      <c r="AH55" s="598"/>
      <c r="AI55" s="598"/>
    </row>
    <row r="56" spans="1:35" s="323" customFormat="1">
      <c r="B56" s="651" t="s">
        <v>405</v>
      </c>
      <c r="C56" s="663">
        <v>80</v>
      </c>
      <c r="D56" s="714">
        <v>0</v>
      </c>
      <c r="E56" s="714">
        <v>0</v>
      </c>
      <c r="F56" s="714">
        <v>5</v>
      </c>
      <c r="G56" s="663">
        <f t="shared" si="9"/>
        <v>0</v>
      </c>
      <c r="H56" s="663">
        <f t="shared" si="10"/>
        <v>0</v>
      </c>
      <c r="I56" s="665">
        <f t="shared" si="11"/>
        <v>400</v>
      </c>
      <c r="J56" s="714">
        <v>5</v>
      </c>
      <c r="K56" s="665" t="s">
        <v>416</v>
      </c>
      <c r="L56" s="715" t="s">
        <v>350</v>
      </c>
      <c r="M56" s="322"/>
      <c r="N56" s="322"/>
      <c r="O56" s="684"/>
      <c r="P56" s="684"/>
      <c r="Q56" s="322"/>
      <c r="R56" s="322"/>
      <c r="S56" s="322"/>
      <c r="AA56" s="598"/>
      <c r="AB56" s="598"/>
      <c r="AC56" s="598"/>
      <c r="AD56" s="598"/>
      <c r="AE56" s="598"/>
      <c r="AF56" s="598"/>
      <c r="AG56" s="598"/>
      <c r="AH56" s="598"/>
      <c r="AI56" s="598"/>
    </row>
    <row r="57" spans="1:35" s="323" customFormat="1">
      <c r="B57" s="651" t="s">
        <v>406</v>
      </c>
      <c r="C57" s="663">
        <v>300</v>
      </c>
      <c r="D57" s="714">
        <v>0</v>
      </c>
      <c r="E57" s="714">
        <v>0</v>
      </c>
      <c r="F57" s="714">
        <v>5</v>
      </c>
      <c r="G57" s="663">
        <f t="shared" si="9"/>
        <v>0</v>
      </c>
      <c r="H57" s="663">
        <f t="shared" si="10"/>
        <v>0</v>
      </c>
      <c r="I57" s="665">
        <f t="shared" si="11"/>
        <v>1500</v>
      </c>
      <c r="J57" s="714">
        <v>4</v>
      </c>
      <c r="K57" s="665" t="s">
        <v>416</v>
      </c>
      <c r="L57" s="715" t="s">
        <v>350</v>
      </c>
      <c r="M57" s="322"/>
      <c r="N57" s="322"/>
      <c r="O57" s="684"/>
      <c r="P57" s="322"/>
      <c r="Q57" s="322"/>
      <c r="R57" s="322"/>
      <c r="S57" s="322"/>
      <c r="AA57" s="598"/>
      <c r="AB57" s="598"/>
      <c r="AC57" s="598"/>
      <c r="AD57" s="598"/>
      <c r="AE57" s="598"/>
      <c r="AF57" s="598"/>
      <c r="AG57" s="598"/>
      <c r="AH57" s="598"/>
      <c r="AI57" s="598"/>
    </row>
    <row r="58" spans="1:35" s="333" customFormat="1">
      <c r="B58" s="651" t="s">
        <v>407</v>
      </c>
      <c r="C58" s="663">
        <v>30000</v>
      </c>
      <c r="D58" s="714">
        <v>0</v>
      </c>
      <c r="E58" s="714">
        <v>0</v>
      </c>
      <c r="F58" s="714">
        <v>2</v>
      </c>
      <c r="G58" s="663">
        <f t="shared" si="9"/>
        <v>0</v>
      </c>
      <c r="H58" s="663">
        <f t="shared" si="10"/>
        <v>0</v>
      </c>
      <c r="I58" s="665">
        <f t="shared" si="11"/>
        <v>60000</v>
      </c>
      <c r="J58" s="714" t="str">
        <f>"-"</f>
        <v>-</v>
      </c>
      <c r="K58" s="665" t="s">
        <v>415</v>
      </c>
      <c r="L58" s="716">
        <v>0.4</v>
      </c>
      <c r="M58" s="357"/>
      <c r="N58" s="357"/>
      <c r="O58" s="665"/>
      <c r="P58" s="357"/>
      <c r="Q58" s="357"/>
      <c r="R58" s="357"/>
      <c r="S58" s="357"/>
      <c r="U58" s="323"/>
      <c r="V58" s="323"/>
      <c r="W58" s="323"/>
      <c r="X58" s="323"/>
      <c r="Y58" s="323"/>
      <c r="Z58" s="323"/>
      <c r="AA58" s="598"/>
      <c r="AB58" s="598"/>
      <c r="AC58" s="603"/>
      <c r="AD58" s="603"/>
      <c r="AE58" s="603"/>
      <c r="AF58" s="603"/>
      <c r="AG58" s="603"/>
      <c r="AH58" s="603"/>
      <c r="AI58" s="603"/>
    </row>
    <row r="59" spans="1:35" s="333" customFormat="1">
      <c r="B59" s="651" t="s">
        <v>408</v>
      </c>
      <c r="C59" s="663">
        <v>100</v>
      </c>
      <c r="D59" s="714">
        <v>0</v>
      </c>
      <c r="E59" s="714">
        <v>0</v>
      </c>
      <c r="F59" s="714">
        <v>10</v>
      </c>
      <c r="G59" s="663">
        <f t="shared" si="9"/>
        <v>0</v>
      </c>
      <c r="H59" s="663">
        <f t="shared" si="10"/>
        <v>0</v>
      </c>
      <c r="I59" s="665">
        <f t="shared" si="11"/>
        <v>1000</v>
      </c>
      <c r="J59" s="714">
        <v>4</v>
      </c>
      <c r="K59" s="665" t="s">
        <v>416</v>
      </c>
      <c r="L59" s="717" t="s">
        <v>350</v>
      </c>
      <c r="M59" s="357"/>
      <c r="N59" s="357"/>
      <c r="O59" s="665"/>
      <c r="P59" s="357"/>
      <c r="Q59" s="357"/>
      <c r="R59" s="357"/>
      <c r="S59" s="357"/>
      <c r="U59" s="323"/>
      <c r="V59" s="323"/>
      <c r="W59" s="323"/>
      <c r="X59" s="323"/>
      <c r="Y59" s="323"/>
      <c r="Z59" s="323"/>
      <c r="AA59" s="598"/>
      <c r="AB59" s="598"/>
      <c r="AC59" s="603"/>
      <c r="AD59" s="603"/>
      <c r="AE59" s="603"/>
      <c r="AF59" s="603"/>
      <c r="AG59" s="603"/>
      <c r="AH59" s="603"/>
      <c r="AI59" s="603"/>
    </row>
    <row r="60" spans="1:35" s="333" customFormat="1">
      <c r="B60" s="651" t="s">
        <v>409</v>
      </c>
      <c r="C60" s="663">
        <v>80</v>
      </c>
      <c r="D60" s="714">
        <v>0</v>
      </c>
      <c r="E60" s="714">
        <v>0</v>
      </c>
      <c r="F60" s="714">
        <v>10</v>
      </c>
      <c r="G60" s="663">
        <f t="shared" si="9"/>
        <v>0</v>
      </c>
      <c r="H60" s="663">
        <f t="shared" si="10"/>
        <v>0</v>
      </c>
      <c r="I60" s="665">
        <f t="shared" si="11"/>
        <v>800</v>
      </c>
      <c r="J60" s="714">
        <v>7</v>
      </c>
      <c r="K60" s="665" t="s">
        <v>416</v>
      </c>
      <c r="L60" s="717" t="s">
        <v>350</v>
      </c>
      <c r="M60" s="357"/>
      <c r="N60" s="357"/>
      <c r="O60" s="665"/>
      <c r="P60" s="357"/>
      <c r="Q60" s="357"/>
      <c r="R60" s="357"/>
      <c r="S60" s="357"/>
      <c r="U60" s="323"/>
      <c r="V60" s="323"/>
      <c r="W60" s="323"/>
      <c r="X60" s="323"/>
      <c r="Y60" s="323"/>
      <c r="Z60" s="323"/>
      <c r="AA60" s="598"/>
      <c r="AB60" s="598"/>
      <c r="AC60" s="603"/>
      <c r="AD60" s="603"/>
      <c r="AE60" s="603"/>
      <c r="AF60" s="603"/>
      <c r="AG60" s="603"/>
      <c r="AH60" s="603"/>
      <c r="AI60" s="603"/>
    </row>
    <row r="61" spans="1:35" s="333" customFormat="1">
      <c r="B61" s="651" t="s">
        <v>410</v>
      </c>
      <c r="C61" s="663">
        <v>2000</v>
      </c>
      <c r="D61" s="714">
        <v>0</v>
      </c>
      <c r="E61" s="714">
        <v>0</v>
      </c>
      <c r="F61" s="714">
        <v>3</v>
      </c>
      <c r="G61" s="663">
        <f t="shared" si="9"/>
        <v>0</v>
      </c>
      <c r="H61" s="663">
        <f t="shared" si="10"/>
        <v>0</v>
      </c>
      <c r="I61" s="665">
        <f t="shared" si="11"/>
        <v>6000</v>
      </c>
      <c r="J61" s="714" t="str">
        <f>"-"</f>
        <v>-</v>
      </c>
      <c r="K61" s="665" t="s">
        <v>415</v>
      </c>
      <c r="L61" s="716">
        <v>0.1</v>
      </c>
      <c r="M61" s="357"/>
      <c r="N61" s="357"/>
      <c r="O61" s="665"/>
      <c r="P61" s="357"/>
      <c r="Q61" s="357"/>
      <c r="R61" s="357"/>
      <c r="S61" s="357"/>
      <c r="U61" s="323"/>
      <c r="V61" s="323"/>
      <c r="W61" s="323"/>
      <c r="X61" s="323"/>
      <c r="Y61" s="323"/>
      <c r="Z61" s="323"/>
      <c r="AA61" s="598"/>
      <c r="AB61" s="598"/>
      <c r="AC61" s="603"/>
      <c r="AD61" s="603"/>
      <c r="AE61" s="603"/>
      <c r="AF61" s="603"/>
      <c r="AG61" s="603"/>
      <c r="AH61" s="603"/>
      <c r="AI61" s="603"/>
    </row>
    <row r="62" spans="1:35" s="333" customFormat="1">
      <c r="B62" s="651" t="s">
        <v>411</v>
      </c>
      <c r="C62" s="663">
        <v>900</v>
      </c>
      <c r="D62" s="714">
        <v>0</v>
      </c>
      <c r="E62" s="714">
        <v>0</v>
      </c>
      <c r="F62" s="714">
        <v>3</v>
      </c>
      <c r="G62" s="663">
        <f t="shared" si="9"/>
        <v>0</v>
      </c>
      <c r="H62" s="663">
        <f t="shared" si="10"/>
        <v>0</v>
      </c>
      <c r="I62" s="665">
        <f t="shared" si="11"/>
        <v>2700</v>
      </c>
      <c r="J62" s="714">
        <v>5</v>
      </c>
      <c r="K62" s="665" t="s">
        <v>416</v>
      </c>
      <c r="L62" s="717" t="s">
        <v>350</v>
      </c>
      <c r="M62" s="357"/>
      <c r="N62" s="357"/>
      <c r="O62" s="665"/>
      <c r="P62" s="357"/>
      <c r="Q62" s="357"/>
      <c r="R62" s="357"/>
      <c r="S62" s="357"/>
      <c r="U62" s="323"/>
      <c r="V62" s="323"/>
      <c r="W62" s="323"/>
      <c r="X62" s="323"/>
      <c r="Y62" s="323"/>
      <c r="Z62" s="323"/>
      <c r="AA62" s="598"/>
      <c r="AB62" s="598"/>
      <c r="AC62" s="603"/>
      <c r="AD62" s="603"/>
      <c r="AE62" s="603"/>
      <c r="AF62" s="603"/>
      <c r="AG62" s="603"/>
      <c r="AH62" s="603"/>
      <c r="AI62" s="603"/>
    </row>
    <row r="63" spans="1:35" s="333" customFormat="1">
      <c r="B63" s="653" t="s">
        <v>412</v>
      </c>
      <c r="C63" s="663">
        <v>40</v>
      </c>
      <c r="D63" s="714">
        <v>0</v>
      </c>
      <c r="E63" s="714">
        <v>0</v>
      </c>
      <c r="F63" s="714">
        <v>5</v>
      </c>
      <c r="G63" s="663">
        <f t="shared" si="9"/>
        <v>0</v>
      </c>
      <c r="H63" s="663">
        <f t="shared" si="10"/>
        <v>0</v>
      </c>
      <c r="I63" s="665">
        <f t="shared" si="11"/>
        <v>200</v>
      </c>
      <c r="J63" s="714">
        <v>8</v>
      </c>
      <c r="K63" s="665" t="s">
        <v>416</v>
      </c>
      <c r="L63" s="899" t="s">
        <v>350</v>
      </c>
      <c r="M63" s="357"/>
      <c r="N63" s="357"/>
      <c r="O63" s="665"/>
      <c r="P63" s="357"/>
      <c r="Q63" s="357"/>
      <c r="R63" s="357"/>
      <c r="S63" s="357"/>
      <c r="U63" s="323"/>
      <c r="V63" s="323"/>
      <c r="W63" s="323"/>
      <c r="X63" s="323"/>
      <c r="Y63" s="323"/>
      <c r="Z63" s="323"/>
      <c r="AA63" s="598"/>
      <c r="AB63" s="598"/>
      <c r="AC63" s="603"/>
      <c r="AD63" s="603"/>
      <c r="AE63" s="603"/>
      <c r="AF63" s="603"/>
      <c r="AG63" s="603"/>
      <c r="AH63" s="603"/>
      <c r="AI63" s="603"/>
    </row>
    <row r="64" spans="1:35" s="333" customFormat="1">
      <c r="B64" s="651" t="s">
        <v>477</v>
      </c>
      <c r="C64" s="663">
        <v>200</v>
      </c>
      <c r="D64" s="714">
        <v>0</v>
      </c>
      <c r="E64" s="714">
        <v>0</v>
      </c>
      <c r="F64" s="714">
        <v>4</v>
      </c>
      <c r="G64" s="663">
        <v>0</v>
      </c>
      <c r="H64" s="663">
        <v>0</v>
      </c>
      <c r="I64" s="665">
        <f>$C64*F64</f>
        <v>800</v>
      </c>
      <c r="J64" s="714">
        <v>4</v>
      </c>
      <c r="K64" s="665" t="s">
        <v>416</v>
      </c>
      <c r="L64" s="717" t="s">
        <v>350</v>
      </c>
      <c r="M64" s="357"/>
      <c r="N64" s="357"/>
      <c r="O64" s="665"/>
      <c r="P64" s="357"/>
      <c r="Q64" s="357"/>
      <c r="R64" s="357"/>
      <c r="S64" s="357"/>
      <c r="U64" s="323"/>
      <c r="V64" s="323"/>
      <c r="W64" s="323"/>
      <c r="X64" s="323"/>
      <c r="Y64" s="323"/>
      <c r="Z64" s="323"/>
      <c r="AA64" s="598"/>
      <c r="AB64" s="598"/>
      <c r="AC64" s="603"/>
      <c r="AD64" s="603"/>
      <c r="AE64" s="603"/>
      <c r="AF64" s="603"/>
      <c r="AG64" s="603"/>
      <c r="AH64" s="603"/>
      <c r="AI64" s="603"/>
    </row>
    <row r="65" spans="2:35" s="333" customFormat="1">
      <c r="B65" s="651" t="s">
        <v>478</v>
      </c>
      <c r="C65" s="663">
        <v>850</v>
      </c>
      <c r="D65" s="714">
        <v>0</v>
      </c>
      <c r="E65" s="714">
        <v>0</v>
      </c>
      <c r="F65" s="714">
        <v>2</v>
      </c>
      <c r="G65" s="663">
        <v>0</v>
      </c>
      <c r="H65" s="663">
        <v>0</v>
      </c>
      <c r="I65" s="665">
        <f>$C65*F65</f>
        <v>1700</v>
      </c>
      <c r="J65" s="714">
        <v>7</v>
      </c>
      <c r="K65" s="665" t="s">
        <v>416</v>
      </c>
      <c r="L65" s="717" t="s">
        <v>350</v>
      </c>
      <c r="M65" s="357"/>
      <c r="N65" s="357"/>
      <c r="O65" s="665"/>
      <c r="P65" s="357"/>
      <c r="Q65" s="357"/>
      <c r="R65" s="357"/>
      <c r="S65" s="357"/>
      <c r="U65" s="323"/>
      <c r="V65" s="323"/>
      <c r="W65" s="323"/>
      <c r="X65" s="323"/>
      <c r="Y65" s="323"/>
      <c r="Z65" s="323"/>
      <c r="AA65" s="598"/>
      <c r="AB65" s="598"/>
      <c r="AC65" s="603"/>
      <c r="AD65" s="603"/>
      <c r="AE65" s="603"/>
      <c r="AF65" s="603"/>
      <c r="AG65" s="603"/>
      <c r="AH65" s="603"/>
      <c r="AI65" s="603"/>
    </row>
    <row r="66" spans="2:35" s="333" customFormat="1">
      <c r="B66" s="651" t="s">
        <v>479</v>
      </c>
      <c r="C66" s="663">
        <v>3000</v>
      </c>
      <c r="D66" s="714">
        <v>0</v>
      </c>
      <c r="E66" s="714">
        <v>0</v>
      </c>
      <c r="F66" s="714">
        <v>4</v>
      </c>
      <c r="G66" s="663">
        <v>0</v>
      </c>
      <c r="H66" s="663">
        <v>0</v>
      </c>
      <c r="I66" s="665">
        <f>$C66*F66</f>
        <v>12000</v>
      </c>
      <c r="J66" s="714">
        <v>10</v>
      </c>
      <c r="K66" s="665" t="s">
        <v>415</v>
      </c>
      <c r="L66" s="716">
        <v>0.2</v>
      </c>
      <c r="M66" s="357"/>
      <c r="N66" s="357"/>
      <c r="O66" s="665"/>
      <c r="P66" s="357"/>
      <c r="Q66" s="357"/>
      <c r="R66" s="357"/>
      <c r="S66" s="357"/>
      <c r="U66" s="323"/>
      <c r="V66" s="323"/>
      <c r="W66" s="323"/>
      <c r="X66" s="323"/>
      <c r="Y66" s="323"/>
      <c r="Z66" s="323"/>
      <c r="AA66" s="598"/>
      <c r="AB66" s="598"/>
      <c r="AC66" s="603"/>
      <c r="AD66" s="603"/>
      <c r="AE66" s="603"/>
      <c r="AF66" s="603"/>
      <c r="AG66" s="603"/>
      <c r="AH66" s="603"/>
      <c r="AI66" s="603"/>
    </row>
    <row r="67" spans="2:35" s="333" customFormat="1" ht="16.2" thickBot="1">
      <c r="B67" s="651" t="s">
        <v>476</v>
      </c>
      <c r="C67" s="663">
        <v>150</v>
      </c>
      <c r="D67" s="714">
        <v>0</v>
      </c>
      <c r="E67" s="714">
        <v>0</v>
      </c>
      <c r="F67" s="714">
        <v>30</v>
      </c>
      <c r="G67" s="663">
        <v>0</v>
      </c>
      <c r="H67" s="663">
        <v>0</v>
      </c>
      <c r="I67" s="665">
        <f>$C67*F67</f>
        <v>4500</v>
      </c>
      <c r="J67" s="714">
        <v>4</v>
      </c>
      <c r="K67" s="665" t="s">
        <v>416</v>
      </c>
      <c r="L67" s="717" t="s">
        <v>350</v>
      </c>
      <c r="M67" s="357"/>
      <c r="N67" s="357"/>
      <c r="O67" s="665"/>
      <c r="P67" s="357"/>
      <c r="Q67" s="357"/>
      <c r="R67" s="357"/>
      <c r="S67" s="357"/>
      <c r="U67" s="323"/>
      <c r="V67" s="323"/>
      <c r="W67" s="323"/>
      <c r="X67" s="323"/>
      <c r="Y67" s="323"/>
      <c r="Z67" s="323"/>
      <c r="AA67" s="598"/>
      <c r="AB67" s="598"/>
      <c r="AC67" s="603"/>
      <c r="AD67" s="603"/>
      <c r="AE67" s="603"/>
      <c r="AF67" s="603"/>
      <c r="AG67" s="603"/>
      <c r="AH67" s="603"/>
      <c r="AI67" s="603"/>
    </row>
    <row r="68" spans="2:35" s="333" customFormat="1" ht="16.8" thickTop="1" thickBot="1">
      <c r="B68" s="718" t="s">
        <v>395</v>
      </c>
      <c r="C68" s="719"/>
      <c r="D68" s="719"/>
      <c r="E68" s="719"/>
      <c r="F68" s="719"/>
      <c r="G68" s="720">
        <f>SUM(G54:G67)</f>
        <v>0</v>
      </c>
      <c r="H68" s="720">
        <f>SUM(H54:H67)</f>
        <v>0</v>
      </c>
      <c r="I68" s="720">
        <f>SUM(I54:I67)</f>
        <v>96800</v>
      </c>
      <c r="J68" s="719"/>
      <c r="K68" s="719"/>
      <c r="L68" s="721"/>
      <c r="M68" s="357"/>
      <c r="N68" s="357"/>
      <c r="O68" s="665"/>
      <c r="P68" s="357"/>
      <c r="Q68" s="357"/>
      <c r="R68" s="357"/>
      <c r="S68" s="357"/>
      <c r="U68" s="323"/>
      <c r="V68" s="323"/>
      <c r="W68" s="323"/>
      <c r="X68" s="323"/>
      <c r="Y68" s="323"/>
      <c r="Z68" s="323"/>
      <c r="AA68" s="598"/>
      <c r="AB68" s="598"/>
      <c r="AC68" s="603"/>
      <c r="AD68" s="603"/>
      <c r="AE68" s="603"/>
      <c r="AF68" s="603"/>
      <c r="AG68" s="603"/>
      <c r="AH68" s="603"/>
      <c r="AI68" s="603"/>
    </row>
    <row r="69" spans="2:35" s="333" customFormat="1" ht="16.2" thickTop="1">
      <c r="B69" s="357"/>
      <c r="C69" s="357"/>
      <c r="D69" s="357"/>
      <c r="E69" s="357"/>
      <c r="F69" s="357"/>
      <c r="Q69" s="715" t="s">
        <v>350</v>
      </c>
      <c r="R69" s="357"/>
      <c r="S69" s="357"/>
      <c r="U69" s="323"/>
      <c r="V69" s="323"/>
      <c r="W69" s="323"/>
      <c r="X69" s="323"/>
      <c r="Y69" s="323"/>
      <c r="Z69" s="323"/>
      <c r="AA69" s="598"/>
      <c r="AB69" s="598"/>
      <c r="AC69" s="603"/>
      <c r="AD69" s="603"/>
      <c r="AE69" s="603"/>
      <c r="AF69" s="603"/>
      <c r="AG69" s="603"/>
      <c r="AH69" s="603"/>
      <c r="AI69" s="603"/>
    </row>
    <row r="70" spans="2:35" s="333" customFormat="1">
      <c r="B70" s="357"/>
      <c r="C70" s="357"/>
      <c r="D70" s="357"/>
      <c r="E70" s="357"/>
      <c r="F70" s="357"/>
      <c r="G70" s="357"/>
      <c r="H70" s="357"/>
      <c r="I70" s="357"/>
      <c r="J70" s="357"/>
      <c r="K70" s="357"/>
      <c r="L70" s="357"/>
      <c r="M70" s="357"/>
      <c r="N70" s="357"/>
      <c r="O70" s="665"/>
      <c r="P70" s="357"/>
      <c r="Q70" s="357"/>
      <c r="R70" s="357"/>
      <c r="S70" s="357"/>
      <c r="U70" s="323"/>
      <c r="V70" s="323"/>
      <c r="W70" s="323"/>
      <c r="X70" s="323"/>
      <c r="Y70" s="323"/>
      <c r="Z70" s="323"/>
      <c r="AA70" s="598"/>
      <c r="AB70" s="598"/>
      <c r="AC70" s="603"/>
      <c r="AD70" s="603"/>
      <c r="AE70" s="603"/>
      <c r="AF70" s="603"/>
      <c r="AG70" s="603"/>
      <c r="AH70" s="603"/>
      <c r="AI70" s="603"/>
    </row>
    <row r="71" spans="2:35" s="333" customFormat="1" ht="16.2" thickBot="1">
      <c r="B71" s="357"/>
      <c r="C71" s="357"/>
      <c r="D71" s="357"/>
      <c r="E71" s="357"/>
      <c r="F71" s="357"/>
      <c r="G71" s="357"/>
      <c r="H71" s="357"/>
      <c r="I71" s="357"/>
      <c r="J71" s="357"/>
      <c r="K71" s="357"/>
      <c r="L71" s="357"/>
      <c r="M71" s="357"/>
      <c r="N71" s="357"/>
      <c r="O71" s="665"/>
      <c r="P71" s="357"/>
      <c r="Q71" s="357"/>
      <c r="R71" s="357"/>
      <c r="S71" s="357"/>
      <c r="U71" s="323"/>
      <c r="V71" s="323"/>
      <c r="W71" s="323"/>
      <c r="X71" s="323"/>
      <c r="Y71" s="323"/>
      <c r="Z71" s="323"/>
      <c r="AA71" s="598"/>
      <c r="AB71" s="598"/>
      <c r="AC71" s="603"/>
      <c r="AD71" s="603"/>
      <c r="AE71" s="603"/>
      <c r="AF71" s="603"/>
      <c r="AG71" s="603"/>
      <c r="AH71" s="603"/>
      <c r="AI71" s="603"/>
    </row>
    <row r="72" spans="2:35" s="333" customFormat="1" ht="49.8" customHeight="1" thickTop="1">
      <c r="B72" s="1278" t="s">
        <v>175</v>
      </c>
      <c r="C72" s="1279"/>
      <c r="D72" s="1280"/>
      <c r="E72" s="357"/>
      <c r="F72" s="1272" t="s">
        <v>137</v>
      </c>
      <c r="G72" s="1273"/>
      <c r="H72" s="1273"/>
      <c r="I72" s="1273"/>
      <c r="J72" s="1274"/>
      <c r="K72" s="357"/>
      <c r="L72" s="357"/>
      <c r="M72" s="357"/>
      <c r="N72" s="357"/>
      <c r="O72" s="357"/>
      <c r="P72" s="357"/>
      <c r="Q72" s="357"/>
      <c r="R72" s="357"/>
      <c r="S72" s="357"/>
      <c r="U72" s="323"/>
      <c r="V72" s="323"/>
      <c r="W72" s="323"/>
      <c r="X72" s="323"/>
      <c r="Y72" s="323"/>
      <c r="Z72" s="323"/>
      <c r="AA72" s="598"/>
      <c r="AB72" s="598"/>
      <c r="AC72" s="603"/>
      <c r="AD72" s="603"/>
      <c r="AE72" s="603"/>
      <c r="AF72" s="603"/>
      <c r="AG72" s="603"/>
      <c r="AH72" s="603"/>
      <c r="AI72" s="603"/>
    </row>
    <row r="73" spans="2:35" s="333" customFormat="1">
      <c r="B73" s="681" t="s">
        <v>465</v>
      </c>
      <c r="C73" s="654"/>
      <c r="D73" s="722"/>
      <c r="E73" s="357"/>
      <c r="F73" s="1261" t="s">
        <v>466</v>
      </c>
      <c r="G73" s="1262"/>
      <c r="H73" s="723" cm="1">
        <f t="array" ref="H73">_xlfn.ANCHORARRAY(M27)</f>
        <v>2024</v>
      </c>
      <c r="I73" s="723" cm="1">
        <f t="array" ref="I73">_xlfn.ANCHORARRAY(N27)</f>
        <v>2025</v>
      </c>
      <c r="J73" s="724" cm="1">
        <f t="array" ref="J73">_xlfn.ANCHORARRAY(O27)</f>
        <v>2026</v>
      </c>
      <c r="K73" s="357"/>
      <c r="L73" s="357"/>
      <c r="M73" s="357"/>
      <c r="N73" s="357"/>
      <c r="O73" s="357"/>
      <c r="P73" s="357"/>
      <c r="Q73" s="357"/>
      <c r="R73" s="357"/>
      <c r="S73" s="357"/>
      <c r="U73" s="323"/>
      <c r="V73" s="323"/>
      <c r="W73" s="323"/>
      <c r="X73" s="323"/>
      <c r="Y73" s="323"/>
      <c r="Z73" s="323"/>
      <c r="AA73" s="598"/>
      <c r="AB73" s="598"/>
      <c r="AC73" s="603"/>
      <c r="AD73" s="603"/>
      <c r="AE73" s="603"/>
      <c r="AF73" s="603"/>
      <c r="AG73" s="603"/>
      <c r="AH73" s="603"/>
      <c r="AI73" s="603"/>
    </row>
    <row r="74" spans="2:35" s="333" customFormat="1">
      <c r="B74" s="725" t="s">
        <v>32</v>
      </c>
      <c r="C74" s="665"/>
      <c r="D74" s="686">
        <v>0</v>
      </c>
      <c r="E74" s="357"/>
      <c r="F74" s="1264" t="s">
        <v>0</v>
      </c>
      <c r="G74" s="1265"/>
      <c r="H74" s="727">
        <f>H75+H76</f>
        <v>0</v>
      </c>
      <c r="I74" s="727">
        <f t="shared" ref="I74" si="12">I75+I76</f>
        <v>0</v>
      </c>
      <c r="J74" s="728">
        <f>J75+J76</f>
        <v>0</v>
      </c>
      <c r="K74" s="357"/>
      <c r="L74" s="357"/>
      <c r="M74" s="357"/>
      <c r="N74" s="357"/>
      <c r="O74" s="357"/>
      <c r="P74" s="357"/>
      <c r="Q74" s="357"/>
      <c r="R74" s="357"/>
      <c r="S74" s="357"/>
      <c r="U74" s="323"/>
      <c r="V74" s="323"/>
      <c r="W74" s="323"/>
      <c r="X74" s="323"/>
      <c r="Y74" s="323"/>
      <c r="Z74" s="323"/>
      <c r="AA74" s="598"/>
      <c r="AB74" s="598"/>
      <c r="AC74" s="603"/>
      <c r="AD74" s="603"/>
      <c r="AE74" s="603"/>
      <c r="AF74" s="603"/>
      <c r="AG74" s="603"/>
      <c r="AH74" s="603"/>
      <c r="AI74" s="603"/>
    </row>
    <row r="75" spans="2:35" s="333" customFormat="1">
      <c r="B75" s="729" t="s">
        <v>29</v>
      </c>
      <c r="C75" s="730"/>
      <c r="D75" s="731">
        <v>0</v>
      </c>
      <c r="E75" s="357"/>
      <c r="F75" s="1264" t="s">
        <v>1</v>
      </c>
      <c r="G75" s="1265"/>
      <c r="H75" s="727">
        <f>-SUM(D124:O124)</f>
        <v>0</v>
      </c>
      <c r="I75" s="727">
        <f>-SUM(E124:P124)</f>
        <v>0</v>
      </c>
      <c r="J75" s="728">
        <f>-SUM(F124:Q124)</f>
        <v>0</v>
      </c>
      <c r="K75" s="357"/>
      <c r="L75" s="357"/>
      <c r="M75" s="357"/>
      <c r="N75" s="357"/>
      <c r="O75" s="357"/>
      <c r="P75" s="357"/>
      <c r="Q75" s="357"/>
      <c r="R75" s="357"/>
      <c r="S75" s="357"/>
      <c r="U75" s="323"/>
      <c r="V75" s="323"/>
      <c r="W75" s="323"/>
      <c r="X75" s="323"/>
      <c r="Y75" s="323"/>
      <c r="Z75" s="323"/>
      <c r="AA75" s="598"/>
      <c r="AB75" s="598"/>
      <c r="AC75" s="603"/>
      <c r="AD75" s="603"/>
      <c r="AE75" s="603"/>
      <c r="AF75" s="603"/>
      <c r="AG75" s="603"/>
      <c r="AH75" s="603"/>
      <c r="AI75" s="603"/>
    </row>
    <row r="76" spans="2:35" s="333" customFormat="1" ht="16.2" thickBot="1">
      <c r="B76" s="732" t="s">
        <v>59</v>
      </c>
      <c r="C76" s="733"/>
      <c r="D76" s="734">
        <v>0</v>
      </c>
      <c r="E76" s="357"/>
      <c r="F76" s="1266" t="s">
        <v>2</v>
      </c>
      <c r="G76" s="1267"/>
      <c r="H76" s="736">
        <v>0</v>
      </c>
      <c r="I76" s="736">
        <v>0</v>
      </c>
      <c r="J76" s="737">
        <v>0</v>
      </c>
      <c r="K76" s="357"/>
      <c r="L76" s="357"/>
      <c r="M76" s="357"/>
      <c r="N76" s="357"/>
      <c r="O76" s="357"/>
      <c r="P76" s="357"/>
      <c r="Q76" s="357"/>
      <c r="R76" s="357"/>
      <c r="S76" s="357"/>
      <c r="U76" s="323"/>
      <c r="V76" s="323"/>
      <c r="W76" s="323"/>
      <c r="X76" s="323"/>
      <c r="Y76" s="323"/>
      <c r="Z76" s="323"/>
      <c r="AA76" s="598"/>
      <c r="AB76" s="598"/>
      <c r="AC76" s="603"/>
      <c r="AD76" s="603"/>
      <c r="AE76" s="603"/>
      <c r="AF76" s="603"/>
      <c r="AG76" s="603"/>
      <c r="AH76" s="603"/>
      <c r="AI76" s="603"/>
    </row>
    <row r="77" spans="2:35" s="333" customFormat="1" ht="16.2" thickTop="1">
      <c r="B77" s="738" t="s">
        <v>102</v>
      </c>
      <c r="C77" s="739"/>
      <c r="D77" s="740"/>
      <c r="E77" s="357"/>
      <c r="F77" s="357"/>
      <c r="G77" s="357"/>
      <c r="H77" s="357"/>
      <c r="I77" s="357"/>
      <c r="J77" s="357"/>
      <c r="K77" s="357"/>
      <c r="L77" s="357"/>
      <c r="M77" s="357"/>
      <c r="N77" s="357"/>
      <c r="O77" s="665"/>
      <c r="P77" s="357"/>
      <c r="Q77" s="357"/>
      <c r="R77" s="357"/>
      <c r="S77" s="357"/>
      <c r="U77" s="323"/>
      <c r="V77" s="323"/>
      <c r="W77" s="323"/>
      <c r="X77" s="323"/>
      <c r="Y77" s="323"/>
      <c r="Z77" s="323"/>
      <c r="AA77" s="598"/>
      <c r="AB77" s="598"/>
      <c r="AC77" s="603"/>
      <c r="AD77" s="603"/>
      <c r="AE77" s="603"/>
      <c r="AF77" s="603"/>
      <c r="AG77" s="603"/>
      <c r="AH77" s="603"/>
      <c r="AI77" s="603"/>
    </row>
    <row r="78" spans="2:35" s="333" customFormat="1">
      <c r="B78" s="725" t="s">
        <v>64</v>
      </c>
      <c r="C78" s="665"/>
      <c r="D78" s="741">
        <v>0</v>
      </c>
      <c r="E78" s="357"/>
      <c r="F78" s="357"/>
      <c r="G78" s="357"/>
      <c r="H78" s="357"/>
      <c r="I78" s="357"/>
      <c r="J78" s="357"/>
      <c r="K78" s="357"/>
      <c r="L78" s="357"/>
      <c r="M78" s="357"/>
      <c r="N78" s="357"/>
      <c r="O78" s="665"/>
      <c r="P78" s="357"/>
      <c r="Q78" s="357"/>
      <c r="R78" s="357"/>
      <c r="S78" s="357"/>
      <c r="U78" s="323"/>
      <c r="V78" s="323"/>
      <c r="W78" s="323"/>
      <c r="X78" s="323"/>
      <c r="Y78" s="323"/>
      <c r="Z78" s="323"/>
      <c r="AA78" s="598"/>
      <c r="AB78" s="598"/>
      <c r="AC78" s="603"/>
      <c r="AD78" s="603"/>
      <c r="AE78" s="603"/>
      <c r="AF78" s="603"/>
      <c r="AG78" s="603"/>
      <c r="AH78" s="603"/>
      <c r="AI78" s="603"/>
    </row>
    <row r="79" spans="2:35" s="333" customFormat="1" ht="16.2" thickBot="1">
      <c r="B79" s="742" t="s">
        <v>65</v>
      </c>
      <c r="C79" s="733"/>
      <c r="D79" s="743">
        <v>0</v>
      </c>
      <c r="E79" s="357"/>
      <c r="F79" s="357"/>
      <c r="G79" s="357"/>
      <c r="H79" s="357"/>
      <c r="I79" s="357"/>
      <c r="J79" s="357"/>
      <c r="K79" s="357"/>
      <c r="L79" s="357"/>
      <c r="M79" s="357"/>
      <c r="N79" s="357"/>
      <c r="O79" s="357"/>
      <c r="P79" s="357"/>
      <c r="Q79" s="357"/>
      <c r="R79" s="357"/>
      <c r="S79" s="357"/>
      <c r="U79" s="323"/>
      <c r="V79" s="323"/>
      <c r="W79" s="323"/>
      <c r="X79" s="323"/>
      <c r="Y79" s="323"/>
      <c r="Z79" s="323"/>
      <c r="AA79" s="598"/>
      <c r="AB79" s="598"/>
      <c r="AC79" s="603"/>
      <c r="AD79" s="603"/>
      <c r="AE79" s="603"/>
      <c r="AF79" s="603"/>
      <c r="AG79" s="603"/>
      <c r="AH79" s="603"/>
      <c r="AI79" s="603"/>
    </row>
    <row r="80" spans="2:35" s="333" customFormat="1" ht="16.2" thickTop="1">
      <c r="E80" s="357"/>
      <c r="F80" s="357"/>
      <c r="G80" s="357"/>
      <c r="H80" s="357"/>
      <c r="I80" s="357"/>
      <c r="J80" s="357"/>
      <c r="K80" s="357"/>
      <c r="L80" s="357"/>
      <c r="M80" s="357"/>
      <c r="N80" s="357"/>
      <c r="O80" s="357"/>
      <c r="P80" s="357"/>
      <c r="Q80" s="357"/>
      <c r="R80" s="357"/>
      <c r="S80" s="357"/>
      <c r="U80" s="323"/>
      <c r="V80" s="323"/>
      <c r="W80" s="323"/>
      <c r="X80" s="323"/>
      <c r="Y80" s="323"/>
      <c r="Z80" s="323"/>
      <c r="AA80" s="598"/>
      <c r="AB80" s="598"/>
    </row>
    <row r="81" spans="1:28" s="333" customFormat="1" ht="16.2" thickBot="1">
      <c r="B81" s="357"/>
      <c r="C81" s="357"/>
      <c r="D81" s="357"/>
      <c r="E81" s="357"/>
      <c r="F81" s="357"/>
      <c r="G81" s="357"/>
      <c r="H81" s="357"/>
      <c r="I81" s="357"/>
      <c r="J81" s="357"/>
      <c r="K81" s="357"/>
      <c r="L81" s="357"/>
      <c r="M81" s="357"/>
      <c r="N81" s="357"/>
      <c r="O81" s="357"/>
      <c r="P81" s="357"/>
      <c r="Q81" s="357"/>
      <c r="R81" s="357"/>
      <c r="S81" s="357"/>
      <c r="U81" s="323"/>
      <c r="V81" s="323"/>
      <c r="W81" s="323"/>
      <c r="X81" s="323"/>
      <c r="Y81" s="323"/>
      <c r="Z81" s="323"/>
      <c r="AA81" s="598"/>
      <c r="AB81" s="598"/>
    </row>
    <row r="82" spans="1:28" s="333" customFormat="1" ht="50.55" customHeight="1" thickTop="1" thickBot="1">
      <c r="B82" s="1281" t="s">
        <v>467</v>
      </c>
      <c r="C82" s="1282"/>
      <c r="D82" s="1283"/>
      <c r="E82" s="357"/>
      <c r="F82" s="652"/>
      <c r="G82" s="357"/>
      <c r="H82" s="357"/>
      <c r="I82" s="357"/>
      <c r="J82" s="357"/>
      <c r="K82" s="357"/>
      <c r="L82" s="357"/>
      <c r="M82" s="357"/>
      <c r="N82" s="357"/>
      <c r="O82" s="357"/>
      <c r="P82" s="357"/>
      <c r="Q82" s="357"/>
      <c r="R82" s="357"/>
      <c r="S82" s="357"/>
      <c r="U82" s="323"/>
      <c r="V82" s="323"/>
      <c r="W82" s="323"/>
      <c r="X82" s="323"/>
      <c r="Y82" s="323"/>
      <c r="Z82" s="323"/>
      <c r="AA82" s="598"/>
      <c r="AB82" s="598"/>
    </row>
    <row r="83" spans="1:28" s="333" customFormat="1" ht="16.2" thickTop="1">
      <c r="B83" s="761" t="s">
        <v>468</v>
      </c>
      <c r="C83" s="762"/>
      <c r="D83" s="763"/>
      <c r="E83" s="357"/>
      <c r="F83" s="652"/>
      <c r="G83" s="357"/>
      <c r="H83" s="357"/>
      <c r="L83" s="357"/>
      <c r="M83" s="357"/>
      <c r="N83" s="357"/>
      <c r="O83" s="357"/>
      <c r="P83" s="357"/>
      <c r="Q83" s="357"/>
      <c r="R83" s="357"/>
      <c r="S83" s="357"/>
      <c r="U83" s="323"/>
      <c r="V83" s="323"/>
      <c r="W83" s="323"/>
      <c r="X83" s="323"/>
      <c r="Y83" s="323"/>
      <c r="Z83" s="323"/>
      <c r="AA83" s="598"/>
      <c r="AB83" s="598"/>
    </row>
    <row r="84" spans="1:28" s="370" customFormat="1">
      <c r="B84" s="726" t="s">
        <v>242</v>
      </c>
      <c r="C84" s="661"/>
      <c r="D84" s="744">
        <v>0</v>
      </c>
      <c r="E84" s="652"/>
      <c r="F84"/>
      <c r="G84" s="652"/>
      <c r="H84" s="652"/>
      <c r="L84" s="652"/>
      <c r="M84" s="652"/>
      <c r="N84" s="652"/>
      <c r="O84" s="652"/>
      <c r="P84" s="652"/>
      <c r="Q84" s="652"/>
      <c r="R84" s="652"/>
      <c r="S84" s="652"/>
    </row>
    <row r="85" spans="1:28" s="370" customFormat="1">
      <c r="B85" s="726" t="s">
        <v>27</v>
      </c>
      <c r="C85" s="661"/>
      <c r="D85" s="745">
        <v>0</v>
      </c>
      <c r="E85" s="652"/>
      <c r="F85" s="652"/>
      <c r="G85" s="652"/>
      <c r="H85" s="652"/>
      <c r="L85" s="652"/>
      <c r="M85" s="652"/>
      <c r="N85" s="652"/>
      <c r="O85" s="652"/>
      <c r="P85" s="652"/>
      <c r="Q85" s="652"/>
      <c r="R85" s="652"/>
      <c r="S85" s="652"/>
    </row>
    <row r="86" spans="1:28" s="370" customFormat="1" ht="16.2" thickBot="1">
      <c r="B86" s="732" t="s">
        <v>28</v>
      </c>
      <c r="C86" s="735"/>
      <c r="D86" s="746">
        <v>0</v>
      </c>
      <c r="E86" s="652"/>
      <c r="F86" s="652"/>
      <c r="G86" s="652"/>
      <c r="H86" s="652"/>
      <c r="L86" s="652"/>
      <c r="M86" s="652"/>
      <c r="N86" s="652"/>
      <c r="O86" s="652"/>
      <c r="P86" s="652"/>
      <c r="Q86" s="652"/>
      <c r="R86" s="652"/>
      <c r="S86" s="652"/>
    </row>
    <row r="87" spans="1:28" s="370" customFormat="1" ht="16.2" thickTop="1">
      <c r="B87" s="357"/>
      <c r="C87" s="357"/>
      <c r="D87" s="357"/>
      <c r="E87" s="652"/>
      <c r="F87" s="652"/>
      <c r="G87" s="652"/>
      <c r="H87" s="652"/>
      <c r="L87" s="652"/>
      <c r="M87" s="652"/>
      <c r="N87" s="652"/>
      <c r="O87" s="652"/>
      <c r="P87" s="652"/>
      <c r="Q87" s="652"/>
      <c r="R87" s="652"/>
      <c r="S87" s="652"/>
    </row>
    <row r="88" spans="1:28" s="370" customFormat="1" ht="16.2" thickBot="1">
      <c r="B88" s="357"/>
      <c r="C88" s="357"/>
      <c r="D88" s="357"/>
      <c r="E88" s="652"/>
      <c r="F88" s="652"/>
      <c r="G88" s="652"/>
      <c r="H88" s="652"/>
      <c r="L88" s="652"/>
      <c r="M88" s="652"/>
      <c r="N88" s="652"/>
      <c r="O88" s="652"/>
      <c r="P88" s="652"/>
      <c r="Q88" s="652"/>
      <c r="R88" s="652"/>
      <c r="S88" s="652"/>
    </row>
    <row r="89" spans="1:28" s="333" customFormat="1" ht="16.8" thickTop="1" thickBot="1">
      <c r="B89" s="748" t="s">
        <v>3</v>
      </c>
      <c r="C89" s="749"/>
      <c r="D89" s="750">
        <v>0.2</v>
      </c>
      <c r="E89" s="357"/>
      <c r="F89" s="357"/>
      <c r="G89" s="357"/>
      <c r="H89" s="357"/>
      <c r="L89" s="357"/>
      <c r="M89" s="357"/>
      <c r="N89" s="357"/>
      <c r="O89" s="357"/>
      <c r="P89" s="357"/>
      <c r="Q89" s="357"/>
      <c r="R89" s="357"/>
      <c r="S89" s="357"/>
      <c r="U89" s="323"/>
      <c r="V89" s="323"/>
      <c r="W89" s="323"/>
      <c r="X89" s="323"/>
      <c r="Y89" s="323"/>
      <c r="Z89" s="323"/>
      <c r="AA89" s="598"/>
      <c r="AB89" s="598"/>
    </row>
    <row r="90" spans="1:28" s="333" customFormat="1" ht="16.8" thickTop="1" thickBot="1">
      <c r="B90" s="357"/>
      <c r="C90" s="357"/>
      <c r="D90" s="357"/>
      <c r="E90" s="747"/>
      <c r="F90" s="652"/>
      <c r="G90" s="357"/>
      <c r="H90" s="357"/>
      <c r="L90" s="357"/>
      <c r="M90" s="357"/>
      <c r="N90" s="357"/>
      <c r="O90" s="357"/>
      <c r="P90" s="357"/>
      <c r="Q90" s="357"/>
      <c r="R90" s="357"/>
      <c r="S90" s="357"/>
      <c r="U90" s="323"/>
      <c r="V90" s="323"/>
      <c r="W90" s="323"/>
      <c r="X90" s="323"/>
      <c r="Y90" s="323"/>
      <c r="Z90" s="323"/>
      <c r="AA90" s="598"/>
      <c r="AB90" s="598"/>
    </row>
    <row r="91" spans="1:28" s="333" customFormat="1" ht="16.8" thickTop="1" thickBot="1">
      <c r="B91" s="748" t="s">
        <v>25</v>
      </c>
      <c r="C91" s="749"/>
      <c r="D91" s="750">
        <v>0.25</v>
      </c>
      <c r="E91" s="684"/>
      <c r="F91" s="652"/>
      <c r="G91" s="357"/>
      <c r="H91" s="357"/>
      <c r="L91" s="357"/>
      <c r="M91" s="357"/>
      <c r="N91" s="357"/>
      <c r="O91" s="357"/>
      <c r="P91" s="357"/>
      <c r="Q91" s="357"/>
      <c r="R91" s="357"/>
      <c r="S91" s="357"/>
      <c r="U91" s="323"/>
      <c r="V91" s="323"/>
      <c r="W91" s="323"/>
      <c r="X91" s="323"/>
      <c r="Y91" s="323"/>
      <c r="Z91" s="323"/>
      <c r="AA91" s="598"/>
      <c r="AB91" s="598"/>
    </row>
    <row r="92" spans="1:28" s="333" customFormat="1" ht="16.2" thickTop="1">
      <c r="B92" s="357"/>
      <c r="C92" s="357"/>
      <c r="D92" s="357"/>
      <c r="E92" s="684"/>
      <c r="F92" s="357"/>
      <c r="G92" s="357"/>
      <c r="H92" s="357"/>
      <c r="L92" s="357"/>
      <c r="M92" s="357"/>
      <c r="N92" s="357"/>
      <c r="O92" s="357"/>
      <c r="P92" s="357"/>
      <c r="Q92" s="357"/>
      <c r="R92" s="357"/>
      <c r="S92" s="357"/>
      <c r="U92" s="323"/>
      <c r="V92" s="323"/>
      <c r="W92" s="323"/>
      <c r="X92" s="323"/>
      <c r="Y92" s="323"/>
      <c r="Z92" s="323"/>
      <c r="AA92" s="598"/>
      <c r="AB92" s="598"/>
    </row>
    <row r="93" spans="1:28" s="333" customFormat="1">
      <c r="B93" s="357"/>
      <c r="C93" s="357"/>
      <c r="D93" s="357"/>
      <c r="E93" s="684"/>
      <c r="F93" s="357"/>
      <c r="G93" s="357"/>
      <c r="H93" s="357"/>
      <c r="L93" s="357"/>
      <c r="M93" s="357"/>
      <c r="N93" s="357"/>
      <c r="O93" s="665"/>
      <c r="P93" s="357"/>
      <c r="Q93" s="357"/>
      <c r="R93" s="357"/>
      <c r="S93" s="357"/>
      <c r="U93" s="323"/>
      <c r="V93" s="323"/>
      <c r="W93" s="323"/>
      <c r="X93" s="323"/>
      <c r="Y93" s="323"/>
      <c r="Z93" s="323"/>
      <c r="AA93" s="598"/>
      <c r="AB93" s="598"/>
    </row>
    <row r="94" spans="1:28" s="333" customFormat="1">
      <c r="E94" s="357"/>
      <c r="F94" s="357"/>
      <c r="G94" s="357"/>
      <c r="H94" s="357"/>
      <c r="L94" s="322"/>
      <c r="M94" s="322"/>
      <c r="N94" s="357"/>
      <c r="O94" s="665"/>
      <c r="P94" s="357"/>
      <c r="Q94" s="357"/>
      <c r="R94" s="357"/>
      <c r="S94" s="357"/>
      <c r="U94" s="323"/>
      <c r="V94" s="323"/>
      <c r="W94" s="323"/>
      <c r="X94" s="323"/>
      <c r="Y94" s="323"/>
      <c r="Z94" s="323"/>
      <c r="AA94" s="598"/>
      <c r="AB94" s="598"/>
    </row>
    <row r="95" spans="1:28" s="333" customFormat="1">
      <c r="A95" s="370"/>
      <c r="E95" s="357"/>
      <c r="F95" s="357"/>
      <c r="G95" s="322"/>
      <c r="H95" s="322"/>
      <c r="L95" s="322"/>
      <c r="M95" s="322"/>
      <c r="N95" s="357"/>
      <c r="O95" s="665"/>
      <c r="P95" s="357"/>
      <c r="Q95" s="357"/>
      <c r="R95" s="357"/>
      <c r="S95" s="357"/>
      <c r="U95" s="323"/>
      <c r="V95" s="323"/>
      <c r="W95" s="323"/>
      <c r="X95" s="323"/>
      <c r="Y95" s="323"/>
      <c r="Z95" s="323"/>
      <c r="AA95" s="598"/>
      <c r="AB95" s="598"/>
    </row>
    <row r="96" spans="1:28" s="333" customFormat="1">
      <c r="A96" s="370"/>
      <c r="B96" s="357"/>
      <c r="C96" s="357"/>
      <c r="D96" s="357"/>
      <c r="E96" s="357"/>
      <c r="F96" s="357"/>
      <c r="G96" s="322"/>
      <c r="H96" s="322"/>
      <c r="I96" s="322"/>
      <c r="J96" s="322"/>
      <c r="K96" s="322"/>
      <c r="L96" s="322"/>
      <c r="M96" s="322"/>
      <c r="N96" s="357"/>
      <c r="O96" s="665"/>
      <c r="P96" s="357"/>
      <c r="Q96" s="357"/>
      <c r="R96" s="357"/>
      <c r="S96" s="357"/>
      <c r="U96" s="323"/>
      <c r="V96" s="323"/>
      <c r="W96" s="323"/>
      <c r="X96" s="323"/>
      <c r="Y96" s="323"/>
      <c r="Z96" s="323"/>
      <c r="AA96" s="598"/>
      <c r="AB96" s="598"/>
    </row>
    <row r="97" spans="2:129" s="333" customFormat="1">
      <c r="O97" s="603"/>
      <c r="P97" s="598"/>
      <c r="Q97" s="323"/>
      <c r="R97" s="323"/>
      <c r="S97" s="323"/>
      <c r="T97" s="323"/>
      <c r="U97" s="323"/>
      <c r="V97" s="323"/>
      <c r="W97" s="323"/>
      <c r="X97" s="323"/>
      <c r="Y97" s="323"/>
      <c r="Z97" s="323"/>
      <c r="AA97" s="598"/>
      <c r="AB97" s="598"/>
    </row>
    <row r="98" spans="2:129" s="935" customFormat="1" ht="25.8">
      <c r="B98" s="645" t="s">
        <v>86</v>
      </c>
      <c r="C98" s="934"/>
      <c r="O98" s="952"/>
      <c r="P98" s="936"/>
      <c r="AA98" s="952"/>
      <c r="AB98" s="936"/>
      <c r="AN98" s="323"/>
      <c r="AO98" s="323"/>
      <c r="AP98" s="323"/>
      <c r="AQ98" s="323"/>
      <c r="AR98" s="323"/>
      <c r="AS98" s="323"/>
      <c r="AT98" s="323"/>
      <c r="AU98" s="323"/>
      <c r="AV98" s="323"/>
      <c r="AW98" s="323"/>
      <c r="AX98" s="323"/>
      <c r="AY98" s="323"/>
      <c r="AZ98" s="323"/>
      <c r="BA98" s="323"/>
      <c r="BB98" s="323"/>
      <c r="BC98" s="323"/>
      <c r="BD98" s="323"/>
      <c r="BE98" s="323"/>
      <c r="BF98" s="323"/>
      <c r="BG98" s="323"/>
      <c r="BH98" s="323"/>
      <c r="BI98" s="323"/>
      <c r="BJ98" s="323"/>
      <c r="BK98" s="323"/>
      <c r="BL98" s="323"/>
      <c r="BM98" s="323"/>
      <c r="BN98" s="323"/>
      <c r="BO98" s="323"/>
      <c r="BP98" s="323"/>
      <c r="BQ98" s="323"/>
      <c r="BR98" s="323"/>
      <c r="BS98" s="323"/>
      <c r="BT98" s="323"/>
      <c r="BU98" s="323"/>
      <c r="BV98" s="323"/>
      <c r="BW98" s="323"/>
      <c r="BX98" s="323"/>
      <c r="BY98" s="323"/>
      <c r="BZ98" s="323"/>
      <c r="CA98" s="323"/>
      <c r="CB98" s="323"/>
      <c r="CC98" s="323"/>
    </row>
    <row r="99" spans="2:129" s="333" customFormat="1" ht="27" customHeight="1">
      <c r="B99" s="613"/>
      <c r="D99" s="1217"/>
      <c r="E99" s="1217"/>
      <c r="F99" s="1217"/>
      <c r="G99" s="1217"/>
      <c r="H99" s="1217"/>
      <c r="I99" s="1217"/>
      <c r="J99" s="1217"/>
      <c r="K99" s="1217"/>
      <c r="L99" s="1217"/>
      <c r="M99" s="1217"/>
      <c r="N99" s="1217"/>
      <c r="O99" s="1229"/>
      <c r="P99" s="1217"/>
      <c r="Q99" s="1217"/>
      <c r="R99" s="1217"/>
      <c r="S99" s="1217"/>
      <c r="T99" s="1217"/>
      <c r="U99" s="1217"/>
      <c r="V99" s="1217"/>
      <c r="W99" s="1217"/>
      <c r="X99" s="1217"/>
      <c r="Y99" s="1217"/>
      <c r="Z99" s="1217"/>
      <c r="AA99" s="1229"/>
      <c r="AB99" s="1217"/>
      <c r="AC99" s="1217"/>
      <c r="AD99" s="1217"/>
      <c r="AE99" s="1217"/>
      <c r="AF99" s="1217"/>
      <c r="AG99" s="1217"/>
      <c r="AH99" s="1217"/>
      <c r="AI99" s="1217"/>
      <c r="AJ99" s="1217"/>
      <c r="AK99" s="1217"/>
      <c r="AL99" s="1217"/>
      <c r="AM99" s="1229"/>
      <c r="AN99" s="323"/>
      <c r="AO99" s="323"/>
      <c r="AP99" s="323"/>
      <c r="AQ99" s="323"/>
      <c r="AR99" s="323"/>
      <c r="AS99" s="323"/>
      <c r="AT99" s="323"/>
      <c r="AU99" s="323"/>
      <c r="AV99" s="323"/>
      <c r="AW99" s="323"/>
      <c r="AX99" s="323"/>
      <c r="AY99" s="323"/>
      <c r="AZ99" s="323"/>
      <c r="BA99" s="323"/>
      <c r="BB99" s="323"/>
      <c r="BC99" s="323"/>
      <c r="BD99" s="323"/>
      <c r="BE99" s="323"/>
      <c r="BF99" s="323"/>
      <c r="BG99" s="323"/>
      <c r="BH99" s="323"/>
      <c r="BI99" s="323"/>
      <c r="BJ99" s="323"/>
      <c r="BK99" s="323"/>
      <c r="BL99" s="323"/>
      <c r="BM99" s="323"/>
      <c r="BN99" s="323"/>
      <c r="BO99" s="323"/>
      <c r="BP99" s="323"/>
      <c r="BQ99" s="323"/>
      <c r="BR99" s="323"/>
      <c r="BS99" s="323"/>
      <c r="BT99" s="323"/>
      <c r="BU99" s="323"/>
      <c r="BV99" s="323"/>
      <c r="BW99" s="323"/>
      <c r="BX99" s="323"/>
      <c r="BY99" s="323"/>
      <c r="BZ99" s="323"/>
      <c r="CA99" s="323"/>
      <c r="CB99" s="323"/>
      <c r="CC99" s="323"/>
    </row>
    <row r="100" spans="2:129" s="300" customFormat="1">
      <c r="C100" s="300" t="s">
        <v>33</v>
      </c>
      <c r="D100" s="614">
        <f>'Sales Forecast'!E22</f>
        <v>45292</v>
      </c>
      <c r="E100" s="615">
        <f>DATE(YEAR(D100),MONTH(D100),DAY(EOMONTH(D100,0)))+1</f>
        <v>45323</v>
      </c>
      <c r="F100" s="615">
        <f t="shared" ref="F100:AL100" si="13">DATE(YEAR(E100),MONTH(E100),DAY(EOMONTH(E100,0)))+1</f>
        <v>45352</v>
      </c>
      <c r="G100" s="615">
        <f t="shared" si="13"/>
        <v>45383</v>
      </c>
      <c r="H100" s="615">
        <f t="shared" si="13"/>
        <v>45413</v>
      </c>
      <c r="I100" s="615">
        <f t="shared" si="13"/>
        <v>45444</v>
      </c>
      <c r="J100" s="615">
        <f>DATE(YEAR(I100),MONTH(I100),DAY(EOMONTH(I100,0)))+1</f>
        <v>45474</v>
      </c>
      <c r="K100" s="615">
        <f t="shared" si="13"/>
        <v>45505</v>
      </c>
      <c r="L100" s="615">
        <f t="shared" si="13"/>
        <v>45536</v>
      </c>
      <c r="M100" s="615">
        <f t="shared" si="13"/>
        <v>45566</v>
      </c>
      <c r="N100" s="615">
        <f t="shared" si="13"/>
        <v>45597</v>
      </c>
      <c r="O100" s="616">
        <f t="shared" si="13"/>
        <v>45627</v>
      </c>
      <c r="P100" s="615">
        <f t="shared" si="13"/>
        <v>45658</v>
      </c>
      <c r="Q100" s="615">
        <f t="shared" si="13"/>
        <v>45689</v>
      </c>
      <c r="R100" s="615">
        <f t="shared" si="13"/>
        <v>45717</v>
      </c>
      <c r="S100" s="615">
        <f t="shared" si="13"/>
        <v>45748</v>
      </c>
      <c r="T100" s="615">
        <f t="shared" si="13"/>
        <v>45778</v>
      </c>
      <c r="U100" s="615">
        <f t="shared" si="13"/>
        <v>45809</v>
      </c>
      <c r="V100" s="615">
        <f t="shared" si="13"/>
        <v>45839</v>
      </c>
      <c r="W100" s="615">
        <f t="shared" si="13"/>
        <v>45870</v>
      </c>
      <c r="X100" s="615">
        <f t="shared" si="13"/>
        <v>45901</v>
      </c>
      <c r="Y100" s="615">
        <f t="shared" si="13"/>
        <v>45931</v>
      </c>
      <c r="Z100" s="615">
        <f t="shared" si="13"/>
        <v>45962</v>
      </c>
      <c r="AA100" s="616">
        <f t="shared" si="13"/>
        <v>45992</v>
      </c>
      <c r="AB100" s="615">
        <f t="shared" si="13"/>
        <v>46023</v>
      </c>
      <c r="AC100" s="615">
        <f t="shared" si="13"/>
        <v>46054</v>
      </c>
      <c r="AD100" s="615">
        <f t="shared" si="13"/>
        <v>46082</v>
      </c>
      <c r="AE100" s="615">
        <f t="shared" si="13"/>
        <v>46113</v>
      </c>
      <c r="AF100" s="615">
        <f t="shared" si="13"/>
        <v>46143</v>
      </c>
      <c r="AG100" s="615">
        <f t="shared" si="13"/>
        <v>46174</v>
      </c>
      <c r="AH100" s="615">
        <f t="shared" si="13"/>
        <v>46204</v>
      </c>
      <c r="AI100" s="615">
        <f t="shared" si="13"/>
        <v>46235</v>
      </c>
      <c r="AJ100" s="615">
        <f t="shared" si="13"/>
        <v>46266</v>
      </c>
      <c r="AK100" s="615">
        <f t="shared" si="13"/>
        <v>46296</v>
      </c>
      <c r="AL100" s="615">
        <f t="shared" si="13"/>
        <v>46327</v>
      </c>
      <c r="AM100" s="615">
        <f>DATE(YEAR(AL100),MONTH(AL100),DAY(EOMONTH(AL100,0)))+1+2023.2-2023.2</f>
        <v>46357</v>
      </c>
    </row>
    <row r="101" spans="2:129" s="786" customFormat="1" outlineLevel="1">
      <c r="B101" s="787" t="s">
        <v>58</v>
      </c>
      <c r="D101" s="788">
        <v>1</v>
      </c>
      <c r="E101" s="788">
        <v>2</v>
      </c>
      <c r="F101" s="788">
        <v>3</v>
      </c>
      <c r="G101" s="788">
        <v>4</v>
      </c>
      <c r="H101" s="788">
        <v>5</v>
      </c>
      <c r="I101" s="788">
        <v>6</v>
      </c>
      <c r="J101" s="788">
        <v>7</v>
      </c>
      <c r="K101" s="788">
        <v>8</v>
      </c>
      <c r="L101" s="788">
        <v>9</v>
      </c>
      <c r="M101" s="788">
        <v>10</v>
      </c>
      <c r="N101" s="788">
        <v>11</v>
      </c>
      <c r="O101" s="789">
        <v>12</v>
      </c>
      <c r="P101" s="788">
        <v>13</v>
      </c>
      <c r="Q101" s="788">
        <v>14</v>
      </c>
      <c r="R101" s="788">
        <v>15</v>
      </c>
      <c r="S101" s="788">
        <v>16</v>
      </c>
      <c r="T101" s="788">
        <v>17</v>
      </c>
      <c r="U101" s="788">
        <v>18</v>
      </c>
      <c r="V101" s="788">
        <v>19</v>
      </c>
      <c r="W101" s="788">
        <v>20</v>
      </c>
      <c r="X101" s="788">
        <v>21</v>
      </c>
      <c r="Y101" s="788">
        <v>22</v>
      </c>
      <c r="Z101" s="788">
        <v>23</v>
      </c>
      <c r="AA101" s="789">
        <v>24</v>
      </c>
      <c r="AB101" s="788">
        <v>25</v>
      </c>
      <c r="AC101" s="788">
        <v>26</v>
      </c>
      <c r="AD101" s="788">
        <v>27</v>
      </c>
      <c r="AE101" s="788">
        <v>28</v>
      </c>
      <c r="AF101" s="788">
        <v>29</v>
      </c>
      <c r="AG101" s="788">
        <v>30</v>
      </c>
      <c r="AH101" s="788">
        <v>31</v>
      </c>
      <c r="AI101" s="788">
        <v>32</v>
      </c>
      <c r="AJ101" s="788">
        <v>33</v>
      </c>
      <c r="AK101" s="788">
        <v>34</v>
      </c>
      <c r="AL101" s="788">
        <v>35</v>
      </c>
      <c r="AM101" s="788">
        <v>36</v>
      </c>
    </row>
    <row r="102" spans="2:129" s="618" customFormat="1" outlineLevel="1">
      <c r="B102" s="617"/>
      <c r="C102" s="618" t="s">
        <v>84</v>
      </c>
      <c r="D102" s="619">
        <f>YEAR(D100)</f>
        <v>2024</v>
      </c>
      <c r="E102" s="619">
        <f t="shared" ref="E102:AM102" si="14">YEAR(E100)</f>
        <v>2024</v>
      </c>
      <c r="F102" s="619">
        <f t="shared" si="14"/>
        <v>2024</v>
      </c>
      <c r="G102" s="619">
        <f t="shared" si="14"/>
        <v>2024</v>
      </c>
      <c r="H102" s="619">
        <f t="shared" si="14"/>
        <v>2024</v>
      </c>
      <c r="I102" s="619">
        <f t="shared" si="14"/>
        <v>2024</v>
      </c>
      <c r="J102" s="619">
        <f t="shared" si="14"/>
        <v>2024</v>
      </c>
      <c r="K102" s="619">
        <f t="shared" si="14"/>
        <v>2024</v>
      </c>
      <c r="L102" s="619">
        <f t="shared" si="14"/>
        <v>2024</v>
      </c>
      <c r="M102" s="619">
        <f t="shared" si="14"/>
        <v>2024</v>
      </c>
      <c r="N102" s="619">
        <f t="shared" si="14"/>
        <v>2024</v>
      </c>
      <c r="O102" s="620">
        <f t="shared" si="14"/>
        <v>2024</v>
      </c>
      <c r="P102" s="619">
        <f t="shared" si="14"/>
        <v>2025</v>
      </c>
      <c r="Q102" s="619">
        <f t="shared" si="14"/>
        <v>2025</v>
      </c>
      <c r="R102" s="619">
        <f t="shared" si="14"/>
        <v>2025</v>
      </c>
      <c r="S102" s="619">
        <f t="shared" si="14"/>
        <v>2025</v>
      </c>
      <c r="T102" s="619">
        <f t="shared" si="14"/>
        <v>2025</v>
      </c>
      <c r="U102" s="619">
        <f t="shared" si="14"/>
        <v>2025</v>
      </c>
      <c r="V102" s="619">
        <f t="shared" si="14"/>
        <v>2025</v>
      </c>
      <c r="W102" s="619">
        <f t="shared" si="14"/>
        <v>2025</v>
      </c>
      <c r="X102" s="619">
        <f t="shared" si="14"/>
        <v>2025</v>
      </c>
      <c r="Y102" s="619">
        <f t="shared" si="14"/>
        <v>2025</v>
      </c>
      <c r="Z102" s="619">
        <f t="shared" si="14"/>
        <v>2025</v>
      </c>
      <c r="AA102" s="620">
        <f t="shared" si="14"/>
        <v>2025</v>
      </c>
      <c r="AB102" s="619">
        <f t="shared" si="14"/>
        <v>2026</v>
      </c>
      <c r="AC102" s="619">
        <f t="shared" si="14"/>
        <v>2026</v>
      </c>
      <c r="AD102" s="619">
        <f t="shared" si="14"/>
        <v>2026</v>
      </c>
      <c r="AE102" s="619">
        <f t="shared" si="14"/>
        <v>2026</v>
      </c>
      <c r="AF102" s="619">
        <f t="shared" si="14"/>
        <v>2026</v>
      </c>
      <c r="AG102" s="619">
        <f t="shared" si="14"/>
        <v>2026</v>
      </c>
      <c r="AH102" s="619">
        <f t="shared" si="14"/>
        <v>2026</v>
      </c>
      <c r="AI102" s="619">
        <f t="shared" si="14"/>
        <v>2026</v>
      </c>
      <c r="AJ102" s="619">
        <f t="shared" si="14"/>
        <v>2026</v>
      </c>
      <c r="AK102" s="619">
        <f t="shared" si="14"/>
        <v>2026</v>
      </c>
      <c r="AL102" s="619">
        <f t="shared" si="14"/>
        <v>2026</v>
      </c>
      <c r="AM102" s="619">
        <f t="shared" si="14"/>
        <v>2026</v>
      </c>
      <c r="AN102" s="345"/>
      <c r="AO102" s="345"/>
      <c r="AP102" s="345"/>
      <c r="AQ102" s="345"/>
      <c r="AR102" s="345"/>
      <c r="AS102" s="345"/>
      <c r="AT102" s="345"/>
      <c r="AU102" s="345"/>
      <c r="AV102" s="345"/>
      <c r="AW102" s="345"/>
      <c r="AX102" s="345"/>
      <c r="AY102" s="345"/>
      <c r="AZ102" s="345"/>
      <c r="BA102" s="345"/>
      <c r="BB102" s="345"/>
      <c r="BC102" s="345"/>
      <c r="BD102" s="345"/>
      <c r="BE102" s="345"/>
      <c r="BF102" s="345"/>
      <c r="BG102" s="345"/>
      <c r="BH102" s="345"/>
      <c r="BI102" s="345"/>
      <c r="BJ102" s="345"/>
      <c r="BK102" s="345"/>
      <c r="BL102" s="345"/>
      <c r="BM102" s="345"/>
      <c r="BN102" s="345"/>
      <c r="BO102" s="345"/>
      <c r="BP102" s="345"/>
      <c r="BQ102" s="345"/>
      <c r="BR102" s="345"/>
      <c r="BS102" s="345"/>
      <c r="BT102" s="345"/>
      <c r="BU102" s="345"/>
      <c r="BV102" s="345"/>
      <c r="BW102" s="345"/>
      <c r="BX102" s="345"/>
      <c r="BY102" s="345"/>
      <c r="BZ102" s="345"/>
      <c r="CA102" s="345"/>
      <c r="CB102" s="345"/>
      <c r="CC102" s="345"/>
      <c r="CD102" s="345"/>
      <c r="CE102" s="345"/>
      <c r="CF102" s="345"/>
      <c r="CG102" s="345"/>
      <c r="CH102" s="345"/>
      <c r="CI102" s="345"/>
      <c r="CJ102" s="345"/>
      <c r="CK102" s="345"/>
      <c r="CL102" s="345"/>
      <c r="CM102" s="345"/>
      <c r="CN102" s="345"/>
      <c r="CO102" s="345"/>
      <c r="CP102" s="345"/>
      <c r="CQ102" s="345"/>
      <c r="CR102" s="345"/>
      <c r="CS102" s="345"/>
      <c r="CT102" s="345"/>
      <c r="CU102" s="345"/>
      <c r="CV102" s="345"/>
      <c r="CW102" s="345"/>
      <c r="CX102" s="345"/>
      <c r="CY102" s="345"/>
      <c r="CZ102" s="345"/>
      <c r="DA102" s="345"/>
      <c r="DB102" s="345"/>
      <c r="DC102" s="345"/>
      <c r="DD102" s="345"/>
      <c r="DE102" s="345"/>
      <c r="DF102" s="345"/>
      <c r="DG102" s="345"/>
      <c r="DH102" s="345"/>
      <c r="DI102" s="345"/>
      <c r="DJ102" s="345"/>
      <c r="DK102" s="345"/>
      <c r="DL102" s="345"/>
      <c r="DM102" s="345"/>
      <c r="DN102" s="345"/>
      <c r="DO102" s="345"/>
      <c r="DP102" s="345"/>
      <c r="DQ102" s="345"/>
      <c r="DR102" s="345"/>
      <c r="DS102" s="345"/>
      <c r="DT102" s="345"/>
      <c r="DU102" s="345"/>
      <c r="DV102" s="345"/>
      <c r="DW102" s="345"/>
      <c r="DX102" s="345"/>
      <c r="DY102" s="345"/>
    </row>
    <row r="103" spans="2:129" s="618" customFormat="1">
      <c r="B103" s="617"/>
      <c r="D103" s="619"/>
      <c r="E103" s="619"/>
      <c r="F103" s="619"/>
      <c r="G103" s="619"/>
      <c r="H103" s="619"/>
      <c r="I103" s="619"/>
      <c r="J103" s="619"/>
      <c r="K103" s="619"/>
      <c r="L103" s="619"/>
      <c r="M103" s="619"/>
      <c r="N103" s="619"/>
      <c r="O103" s="620"/>
      <c r="P103" s="619"/>
      <c r="Q103" s="619"/>
      <c r="R103" s="619"/>
      <c r="S103" s="619"/>
      <c r="T103" s="619"/>
      <c r="U103" s="619"/>
      <c r="V103" s="619"/>
      <c r="W103" s="619"/>
      <c r="X103" s="619"/>
      <c r="Y103" s="619"/>
      <c r="Z103" s="619"/>
      <c r="AA103" s="620"/>
      <c r="AB103" s="619"/>
      <c r="AC103" s="619"/>
      <c r="AD103" s="619"/>
      <c r="AE103" s="619"/>
      <c r="AF103" s="619"/>
      <c r="AG103" s="619"/>
      <c r="AH103" s="619"/>
      <c r="AI103" s="619"/>
      <c r="AJ103" s="619"/>
      <c r="AK103" s="619"/>
      <c r="AL103" s="619"/>
      <c r="AM103" s="619"/>
      <c r="AN103" s="345"/>
      <c r="AO103" s="345"/>
      <c r="AP103" s="345"/>
      <c r="AQ103" s="345"/>
      <c r="AR103" s="345"/>
      <c r="AS103" s="345"/>
      <c r="AT103" s="345"/>
      <c r="AU103" s="345"/>
      <c r="AV103" s="345"/>
      <c r="AW103" s="345"/>
      <c r="AX103" s="345"/>
      <c r="AY103" s="345"/>
      <c r="AZ103" s="345"/>
      <c r="BA103" s="345"/>
      <c r="BB103" s="345"/>
      <c r="BC103" s="345"/>
      <c r="BD103" s="345"/>
      <c r="BE103" s="345"/>
      <c r="BF103" s="345"/>
      <c r="BG103" s="345"/>
      <c r="BH103" s="345"/>
      <c r="BI103" s="345"/>
      <c r="BJ103" s="345"/>
      <c r="BK103" s="345"/>
      <c r="BL103" s="345"/>
      <c r="BM103" s="345"/>
      <c r="BN103" s="345"/>
      <c r="BO103" s="345"/>
      <c r="BP103" s="345"/>
      <c r="BQ103" s="345"/>
      <c r="BR103" s="345"/>
      <c r="BS103" s="345"/>
      <c r="BT103" s="345"/>
      <c r="BU103" s="345"/>
      <c r="BV103" s="345"/>
      <c r="BW103" s="345"/>
      <c r="BX103" s="345"/>
      <c r="BY103" s="345"/>
      <c r="BZ103" s="345"/>
      <c r="CA103" s="345"/>
      <c r="CB103" s="345"/>
      <c r="CC103" s="345"/>
      <c r="CD103" s="345"/>
      <c r="CE103" s="345"/>
      <c r="CF103" s="345"/>
      <c r="CG103" s="345"/>
      <c r="CH103" s="345"/>
      <c r="CI103" s="345"/>
      <c r="CJ103" s="345"/>
      <c r="CK103" s="345"/>
      <c r="CL103" s="345"/>
      <c r="CM103" s="345"/>
      <c r="CN103" s="345"/>
      <c r="CO103" s="345"/>
      <c r="CP103" s="345"/>
      <c r="CQ103" s="345"/>
      <c r="CR103" s="345"/>
      <c r="CS103" s="345"/>
      <c r="CT103" s="345"/>
      <c r="CU103" s="345"/>
      <c r="CV103" s="345"/>
      <c r="CW103" s="345"/>
      <c r="CX103" s="345"/>
      <c r="CY103" s="345"/>
      <c r="CZ103" s="345"/>
      <c r="DA103" s="345"/>
      <c r="DB103" s="345"/>
      <c r="DC103" s="345"/>
      <c r="DD103" s="345"/>
      <c r="DE103" s="345"/>
      <c r="DF103" s="345"/>
      <c r="DG103" s="345"/>
      <c r="DH103" s="345"/>
      <c r="DI103" s="345"/>
      <c r="DJ103" s="345"/>
      <c r="DK103" s="345"/>
      <c r="DL103" s="345"/>
      <c r="DM103" s="345"/>
      <c r="DN103" s="345"/>
      <c r="DO103" s="345"/>
      <c r="DP103" s="345"/>
      <c r="DQ103" s="345"/>
      <c r="DR103" s="345"/>
      <c r="DS103" s="345"/>
      <c r="DT103" s="345"/>
      <c r="DU103" s="345"/>
      <c r="DV103" s="345"/>
      <c r="DW103" s="345"/>
      <c r="DX103" s="345"/>
      <c r="DY103" s="345"/>
    </row>
    <row r="104" spans="2:129" s="621" customFormat="1">
      <c r="B104" s="622" t="s">
        <v>88</v>
      </c>
      <c r="D104" s="621">
        <f>'Sales Forecast'!E61</f>
        <v>0</v>
      </c>
      <c r="E104" s="621">
        <f>'Sales Forecast'!F61</f>
        <v>0</v>
      </c>
      <c r="F104" s="621">
        <f>'Sales Forecast'!G61</f>
        <v>0</v>
      </c>
      <c r="G104" s="621">
        <f>'Sales Forecast'!H61</f>
        <v>0</v>
      </c>
      <c r="H104" s="621">
        <f>'Sales Forecast'!I61</f>
        <v>0</v>
      </c>
      <c r="I104" s="621">
        <f>'Sales Forecast'!J61</f>
        <v>0</v>
      </c>
      <c r="J104" s="621">
        <f>'Sales Forecast'!K61</f>
        <v>0</v>
      </c>
      <c r="K104" s="621">
        <f>'Sales Forecast'!L61</f>
        <v>0</v>
      </c>
      <c r="L104" s="621">
        <f>'Sales Forecast'!M61</f>
        <v>0</v>
      </c>
      <c r="M104" s="621">
        <f>'Sales Forecast'!N61</f>
        <v>0</v>
      </c>
      <c r="N104" s="621">
        <f>'Sales Forecast'!O61</f>
        <v>0</v>
      </c>
      <c r="O104" s="621">
        <f>'Sales Forecast'!P61</f>
        <v>0</v>
      </c>
      <c r="P104" s="621">
        <f>'Sales Forecast'!Q61</f>
        <v>0</v>
      </c>
      <c r="Q104" s="621">
        <f>'Sales Forecast'!R61</f>
        <v>0</v>
      </c>
      <c r="R104" s="621">
        <f>'Sales Forecast'!S61</f>
        <v>0</v>
      </c>
      <c r="S104" s="621">
        <f>'Sales Forecast'!T61</f>
        <v>0</v>
      </c>
      <c r="T104" s="621">
        <f>'Sales Forecast'!U61</f>
        <v>0</v>
      </c>
      <c r="U104" s="621">
        <f>'Sales Forecast'!V61</f>
        <v>0</v>
      </c>
      <c r="V104" s="621">
        <f>'Sales Forecast'!W61</f>
        <v>0</v>
      </c>
      <c r="W104" s="621">
        <f>'Sales Forecast'!X61</f>
        <v>0</v>
      </c>
      <c r="X104" s="621">
        <f>'Sales Forecast'!Y61</f>
        <v>0</v>
      </c>
      <c r="Y104" s="621">
        <f>'Sales Forecast'!Z61</f>
        <v>0</v>
      </c>
      <c r="Z104" s="621">
        <f>'Sales Forecast'!AA61</f>
        <v>0</v>
      </c>
      <c r="AA104" s="621">
        <f>'Sales Forecast'!AB61</f>
        <v>0</v>
      </c>
      <c r="AB104" s="621">
        <f>'Sales Forecast'!AC61</f>
        <v>34669.800000000003</v>
      </c>
      <c r="AC104" s="621">
        <f>'Sales Forecast'!AD61</f>
        <v>40553.160000000003</v>
      </c>
      <c r="AD104" s="621">
        <f>'Sales Forecast'!AE61</f>
        <v>47424.084000000003</v>
      </c>
      <c r="AE104" s="621">
        <f>'Sales Forecast'!AF61</f>
        <v>55986.474000000002</v>
      </c>
      <c r="AF104" s="621">
        <f>'Sales Forecast'!AG61</f>
        <v>65925.149999999994</v>
      </c>
      <c r="AG104" s="621">
        <f>'Sales Forecast'!AH61</f>
        <v>77029.991999999998</v>
      </c>
      <c r="AH104" s="621">
        <f>'Sales Forecast'!AI61</f>
        <v>77622.530400000003</v>
      </c>
      <c r="AI104" s="621">
        <f>'Sales Forecast'!AJ61</f>
        <v>87865.355100000001</v>
      </c>
      <c r="AJ104" s="621">
        <f>'Sales Forecast'!AK61</f>
        <v>116196.36</v>
      </c>
      <c r="AK104" s="621">
        <f>'Sales Forecast'!AL61</f>
        <v>136977.228</v>
      </c>
      <c r="AL104" s="621">
        <f>'Sales Forecast'!AM61</f>
        <v>154298.04996</v>
      </c>
      <c r="AM104" s="621">
        <f>'Sales Forecast'!AN61</f>
        <v>169604.66160000002</v>
      </c>
      <c r="AN104" s="345"/>
      <c r="AO104" s="345"/>
      <c r="AP104" s="345"/>
      <c r="AQ104" s="345"/>
      <c r="AR104" s="345"/>
      <c r="AS104" s="345"/>
      <c r="AT104" s="345"/>
      <c r="AU104" s="345"/>
      <c r="AV104" s="345"/>
      <c r="AW104" s="345"/>
      <c r="AX104" s="345"/>
      <c r="AY104" s="345"/>
      <c r="AZ104" s="345"/>
      <c r="BA104" s="345"/>
      <c r="BB104" s="345"/>
      <c r="BC104" s="345"/>
      <c r="BD104" s="345"/>
      <c r="BE104" s="345"/>
      <c r="BF104" s="345"/>
      <c r="BG104" s="345"/>
      <c r="BH104" s="345"/>
      <c r="BI104" s="345"/>
      <c r="BJ104" s="345"/>
      <c r="BK104" s="345"/>
      <c r="BL104" s="345"/>
      <c r="BM104" s="345"/>
      <c r="BN104" s="345"/>
      <c r="BO104" s="345"/>
      <c r="BP104" s="345"/>
      <c r="BQ104" s="345"/>
      <c r="BR104" s="345"/>
      <c r="BS104" s="345"/>
      <c r="BT104" s="345"/>
      <c r="BU104" s="345"/>
      <c r="BV104" s="345"/>
      <c r="BW104" s="345"/>
      <c r="BX104" s="345"/>
      <c r="BY104" s="345"/>
      <c r="BZ104" s="345"/>
      <c r="CA104" s="345"/>
      <c r="CB104" s="345"/>
      <c r="CC104" s="345"/>
      <c r="CD104" s="345"/>
      <c r="CE104" s="345"/>
      <c r="CF104" s="345"/>
      <c r="CG104" s="345"/>
      <c r="CH104" s="345"/>
      <c r="CI104" s="345"/>
      <c r="CJ104" s="345"/>
      <c r="CK104" s="345"/>
      <c r="CL104" s="345"/>
      <c r="CM104" s="345"/>
      <c r="CN104" s="345"/>
      <c r="CO104" s="345"/>
      <c r="CP104" s="345"/>
      <c r="CQ104" s="345"/>
      <c r="CR104" s="345"/>
      <c r="CS104" s="345"/>
      <c r="CT104" s="345"/>
      <c r="CU104" s="345"/>
      <c r="CV104" s="345"/>
      <c r="CW104" s="345"/>
      <c r="CX104" s="345"/>
      <c r="CY104" s="345"/>
      <c r="CZ104" s="345"/>
      <c r="DA104" s="345"/>
      <c r="DB104" s="345"/>
      <c r="DC104" s="345"/>
      <c r="DD104" s="345"/>
      <c r="DE104" s="345"/>
      <c r="DF104" s="345"/>
      <c r="DG104" s="345"/>
      <c r="DH104" s="345"/>
      <c r="DI104" s="345"/>
      <c r="DJ104" s="345"/>
      <c r="DK104" s="345"/>
      <c r="DL104" s="345"/>
      <c r="DM104" s="345"/>
      <c r="DN104" s="345"/>
      <c r="DO104" s="345"/>
      <c r="DP104" s="345"/>
      <c r="DQ104" s="345"/>
      <c r="DR104" s="345"/>
      <c r="DS104" s="345"/>
      <c r="DT104" s="345"/>
      <c r="DU104" s="345"/>
      <c r="DV104" s="345"/>
      <c r="DW104" s="345"/>
      <c r="DX104" s="345"/>
      <c r="DY104" s="345"/>
    </row>
    <row r="105" spans="2:129" s="333" customFormat="1">
      <c r="B105" s="624" t="s">
        <v>10</v>
      </c>
      <c r="D105" s="333">
        <f>-(D104-D106)</f>
        <v>0</v>
      </c>
      <c r="E105" s="333">
        <f t="shared" ref="E105:AM105" si="15">-(E104-E106)</f>
        <v>0</v>
      </c>
      <c r="F105" s="333">
        <f t="shared" si="15"/>
        <v>0</v>
      </c>
      <c r="G105" s="333">
        <f t="shared" si="15"/>
        <v>0</v>
      </c>
      <c r="H105" s="333">
        <f t="shared" si="15"/>
        <v>0</v>
      </c>
      <c r="I105" s="333">
        <f t="shared" si="15"/>
        <v>0</v>
      </c>
      <c r="J105" s="333">
        <f t="shared" si="15"/>
        <v>0</v>
      </c>
      <c r="K105" s="333">
        <f t="shared" si="15"/>
        <v>0</v>
      </c>
      <c r="L105" s="333">
        <f t="shared" si="15"/>
        <v>0</v>
      </c>
      <c r="M105" s="333">
        <f t="shared" si="15"/>
        <v>0</v>
      </c>
      <c r="N105" s="333">
        <f t="shared" si="15"/>
        <v>0</v>
      </c>
      <c r="O105" s="333">
        <f t="shared" si="15"/>
        <v>0</v>
      </c>
      <c r="P105" s="333">
        <f t="shared" si="15"/>
        <v>0</v>
      </c>
      <c r="Q105" s="333">
        <f t="shared" si="15"/>
        <v>0</v>
      </c>
      <c r="R105" s="333">
        <f t="shared" si="15"/>
        <v>0</v>
      </c>
      <c r="S105" s="333">
        <f t="shared" si="15"/>
        <v>0</v>
      </c>
      <c r="T105" s="333">
        <f t="shared" si="15"/>
        <v>0</v>
      </c>
      <c r="U105" s="333">
        <f t="shared" si="15"/>
        <v>0</v>
      </c>
      <c r="V105" s="333">
        <f t="shared" si="15"/>
        <v>0</v>
      </c>
      <c r="W105" s="333">
        <f t="shared" si="15"/>
        <v>0</v>
      </c>
      <c r="X105" s="333">
        <f t="shared" si="15"/>
        <v>0</v>
      </c>
      <c r="Y105" s="333">
        <f t="shared" si="15"/>
        <v>0</v>
      </c>
      <c r="Z105" s="333">
        <f t="shared" si="15"/>
        <v>0</v>
      </c>
      <c r="AA105" s="333">
        <f t="shared" si="15"/>
        <v>0</v>
      </c>
      <c r="AB105" s="333">
        <f>-(AB104-AB106)</f>
        <v>-14435</v>
      </c>
      <c r="AC105" s="333">
        <f t="shared" si="15"/>
        <v>-16896</v>
      </c>
      <c r="AD105" s="333">
        <f t="shared" si="15"/>
        <v>-19779</v>
      </c>
      <c r="AE105" s="333">
        <f t="shared" si="15"/>
        <v>-23363.999999999996</v>
      </c>
      <c r="AF105" s="333">
        <f t="shared" si="15"/>
        <v>-27533.999999999993</v>
      </c>
      <c r="AG105" s="333">
        <f t="shared" si="15"/>
        <v>-32192.999999999993</v>
      </c>
      <c r="AH105" s="333">
        <f t="shared" si="15"/>
        <v>-32454.799999999996</v>
      </c>
      <c r="AI105" s="333">
        <f t="shared" si="15"/>
        <v>-36749.85</v>
      </c>
      <c r="AJ105" s="333">
        <f t="shared" si="15"/>
        <v>-48579.999999999985</v>
      </c>
      <c r="AK105" s="333">
        <f t="shared" si="15"/>
        <v>-57296.999999999985</v>
      </c>
      <c r="AL105" s="333">
        <f t="shared" si="15"/>
        <v>-64688.789999999994</v>
      </c>
      <c r="AM105" s="333">
        <f t="shared" si="15"/>
        <v>-71192.5</v>
      </c>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s="323"/>
      <c r="BO105" s="323"/>
      <c r="BP105" s="323"/>
      <c r="BQ105" s="323"/>
      <c r="BR105" s="323"/>
      <c r="BS105" s="323"/>
      <c r="BT105" s="323"/>
      <c r="BU105" s="323"/>
      <c r="BV105" s="323"/>
      <c r="BW105" s="323"/>
      <c r="BX105" s="323"/>
      <c r="BY105" s="323"/>
      <c r="BZ105" s="323"/>
      <c r="CA105" s="323"/>
      <c r="CB105" s="323"/>
      <c r="CC105" s="323"/>
      <c r="CD105" s="323"/>
      <c r="CE105" s="323"/>
      <c r="CF105" s="323"/>
      <c r="CG105" s="323"/>
      <c r="CH105" s="323"/>
      <c r="CI105" s="323"/>
      <c r="CJ105" s="323"/>
      <c r="CK105" s="323"/>
      <c r="CL105" s="323"/>
      <c r="CM105" s="323"/>
      <c r="CN105" s="323"/>
      <c r="CO105" s="323"/>
      <c r="CP105" s="323"/>
      <c r="CQ105" s="323"/>
      <c r="CR105" s="323"/>
      <c r="CS105" s="323"/>
      <c r="CT105" s="323"/>
      <c r="CU105" s="323"/>
      <c r="CV105" s="323"/>
      <c r="CW105" s="323"/>
      <c r="CX105" s="323"/>
      <c r="CY105" s="323"/>
      <c r="CZ105" s="323"/>
      <c r="DA105" s="323"/>
      <c r="DB105" s="323"/>
      <c r="DC105" s="323"/>
      <c r="DD105" s="323"/>
      <c r="DE105" s="323"/>
      <c r="DF105" s="323"/>
      <c r="DG105" s="323"/>
      <c r="DH105" s="323"/>
      <c r="DI105" s="323"/>
      <c r="DJ105" s="323"/>
      <c r="DK105" s="323"/>
      <c r="DL105" s="323"/>
      <c r="DM105" s="323"/>
      <c r="DN105" s="323"/>
      <c r="DO105" s="323"/>
      <c r="DP105" s="323"/>
      <c r="DQ105" s="323"/>
      <c r="DR105" s="323"/>
      <c r="DS105" s="323"/>
      <c r="DT105" s="323"/>
      <c r="DU105" s="323"/>
      <c r="DV105" s="323"/>
      <c r="DW105" s="323"/>
      <c r="DX105" s="323"/>
      <c r="DY105" s="323"/>
    </row>
    <row r="106" spans="2:129" s="621" customFormat="1">
      <c r="B106" s="622" t="s">
        <v>11</v>
      </c>
      <c r="D106" s="621">
        <f>'Sales Forecast'!E62</f>
        <v>0</v>
      </c>
      <c r="E106" s="621">
        <f>'Sales Forecast'!F62</f>
        <v>0</v>
      </c>
      <c r="F106" s="621">
        <f>'Sales Forecast'!G62</f>
        <v>0</v>
      </c>
      <c r="G106" s="621">
        <f>'Sales Forecast'!H62</f>
        <v>0</v>
      </c>
      <c r="H106" s="621">
        <f>'Sales Forecast'!I62</f>
        <v>0</v>
      </c>
      <c r="I106" s="621">
        <f>'Sales Forecast'!J62</f>
        <v>0</v>
      </c>
      <c r="J106" s="621">
        <f>'Sales Forecast'!K62</f>
        <v>0</v>
      </c>
      <c r="K106" s="621">
        <f>'Sales Forecast'!L62</f>
        <v>0</v>
      </c>
      <c r="L106" s="621">
        <f>'Sales Forecast'!M62</f>
        <v>0</v>
      </c>
      <c r="M106" s="621">
        <f>'Sales Forecast'!N62</f>
        <v>0</v>
      </c>
      <c r="N106" s="621">
        <f>'Sales Forecast'!O62</f>
        <v>0</v>
      </c>
      <c r="O106" s="621">
        <f>'Sales Forecast'!P62</f>
        <v>0</v>
      </c>
      <c r="P106" s="621">
        <f>'Sales Forecast'!Q62</f>
        <v>0</v>
      </c>
      <c r="Q106" s="621">
        <f>'Sales Forecast'!R62</f>
        <v>0</v>
      </c>
      <c r="R106" s="621">
        <f>'Sales Forecast'!S62</f>
        <v>0</v>
      </c>
      <c r="S106" s="621">
        <f>'Sales Forecast'!T62</f>
        <v>0</v>
      </c>
      <c r="T106" s="621">
        <f>'Sales Forecast'!U62</f>
        <v>0</v>
      </c>
      <c r="U106" s="621">
        <f>'Sales Forecast'!V62</f>
        <v>0</v>
      </c>
      <c r="V106" s="621">
        <f>'Sales Forecast'!W62</f>
        <v>0</v>
      </c>
      <c r="W106" s="621">
        <f>'Sales Forecast'!X62</f>
        <v>0</v>
      </c>
      <c r="X106" s="621">
        <f>'Sales Forecast'!Y62</f>
        <v>0</v>
      </c>
      <c r="Y106" s="621">
        <f>'Sales Forecast'!Z62</f>
        <v>0</v>
      </c>
      <c r="Z106" s="621">
        <f>'Sales Forecast'!AA62</f>
        <v>0</v>
      </c>
      <c r="AA106" s="621">
        <f>'Sales Forecast'!AB62</f>
        <v>0</v>
      </c>
      <c r="AB106" s="621">
        <f>'Sales Forecast'!AC62</f>
        <v>20234.800000000003</v>
      </c>
      <c r="AC106" s="621">
        <f>'Sales Forecast'!AD62</f>
        <v>23657.160000000003</v>
      </c>
      <c r="AD106" s="621">
        <f>'Sales Forecast'!AE62</f>
        <v>27645.084000000003</v>
      </c>
      <c r="AE106" s="621">
        <f>'Sales Forecast'!AF62</f>
        <v>32622.474000000006</v>
      </c>
      <c r="AF106" s="621">
        <f>'Sales Forecast'!AG62</f>
        <v>38391.15</v>
      </c>
      <c r="AG106" s="621">
        <f>'Sales Forecast'!AH62</f>
        <v>44836.992000000006</v>
      </c>
      <c r="AH106" s="621">
        <f>'Sales Forecast'!AI62</f>
        <v>45167.730400000008</v>
      </c>
      <c r="AI106" s="621">
        <f>'Sales Forecast'!AJ62</f>
        <v>51115.505100000002</v>
      </c>
      <c r="AJ106" s="621">
        <f>'Sales Forecast'!AK62</f>
        <v>67616.360000000015</v>
      </c>
      <c r="AK106" s="621">
        <f>'Sales Forecast'!AL62</f>
        <v>79680.228000000017</v>
      </c>
      <c r="AL106" s="621">
        <f>'Sales Forecast'!AM62</f>
        <v>89609.25996000001</v>
      </c>
      <c r="AM106" s="621">
        <f>'Sales Forecast'!AN62</f>
        <v>98412.161600000021</v>
      </c>
      <c r="AN106" s="345"/>
      <c r="AO106" s="345"/>
      <c r="AP106" s="345"/>
      <c r="AQ106" s="345"/>
      <c r="AR106" s="345"/>
      <c r="AS106" s="345"/>
      <c r="AT106" s="345"/>
      <c r="AU106" s="345"/>
      <c r="AV106" s="345"/>
      <c r="AW106" s="345"/>
      <c r="AX106" s="345"/>
      <c r="AY106" s="345"/>
      <c r="AZ106" s="345"/>
      <c r="BA106" s="345"/>
      <c r="BB106" s="345"/>
      <c r="BC106" s="345"/>
      <c r="BD106" s="345"/>
      <c r="BE106" s="345"/>
      <c r="BF106" s="345"/>
      <c r="BG106" s="345"/>
      <c r="BH106" s="345"/>
      <c r="BI106" s="345"/>
      <c r="BJ106" s="345"/>
      <c r="BK106" s="345"/>
      <c r="BL106" s="345"/>
      <c r="BM106" s="345"/>
      <c r="BN106" s="345"/>
      <c r="BO106" s="345"/>
      <c r="BP106" s="345"/>
      <c r="BQ106" s="345"/>
      <c r="BR106" s="345"/>
      <c r="BS106" s="345"/>
      <c r="BT106" s="345"/>
      <c r="BU106" s="345"/>
      <c r="BV106" s="345"/>
      <c r="BW106" s="345"/>
      <c r="BX106" s="345"/>
      <c r="BY106" s="345"/>
      <c r="BZ106" s="345"/>
      <c r="CA106" s="345"/>
      <c r="CB106" s="345"/>
      <c r="CC106" s="345"/>
      <c r="CD106" s="345"/>
      <c r="CE106" s="345"/>
      <c r="CF106" s="345"/>
      <c r="CG106" s="345"/>
      <c r="CH106" s="345"/>
      <c r="CI106" s="345"/>
      <c r="CJ106" s="345"/>
      <c r="CK106" s="345"/>
      <c r="CL106" s="345"/>
      <c r="CM106" s="345"/>
      <c r="CN106" s="345"/>
      <c r="CO106" s="345"/>
      <c r="CP106" s="345"/>
      <c r="CQ106" s="345"/>
      <c r="CR106" s="345"/>
      <c r="CS106" s="345"/>
      <c r="CT106" s="345"/>
      <c r="CU106" s="345"/>
      <c r="CV106" s="345"/>
      <c r="CW106" s="345"/>
      <c r="CX106" s="345"/>
      <c r="CY106" s="345"/>
      <c r="CZ106" s="345"/>
      <c r="DA106" s="345"/>
      <c r="DB106" s="345"/>
      <c r="DC106" s="345"/>
      <c r="DD106" s="345"/>
      <c r="DE106" s="345"/>
      <c r="DF106" s="345"/>
      <c r="DG106" s="345"/>
      <c r="DH106" s="345"/>
      <c r="DI106" s="345"/>
      <c r="DJ106" s="345"/>
      <c r="DK106" s="345"/>
      <c r="DL106" s="345"/>
      <c r="DM106" s="345"/>
      <c r="DN106" s="345"/>
      <c r="DO106" s="345"/>
      <c r="DP106" s="345"/>
      <c r="DQ106" s="345"/>
      <c r="DR106" s="345"/>
      <c r="DS106" s="345"/>
      <c r="DT106" s="345"/>
      <c r="DU106" s="345"/>
      <c r="DV106" s="345"/>
      <c r="DW106" s="345"/>
      <c r="DX106" s="345"/>
      <c r="DY106" s="345"/>
    </row>
    <row r="107" spans="2:129" s="625" customFormat="1">
      <c r="B107" s="626"/>
      <c r="D107" s="625">
        <v>0</v>
      </c>
      <c r="E107" s="625">
        <v>0</v>
      </c>
      <c r="F107" s="625">
        <v>0</v>
      </c>
      <c r="G107" s="625">
        <v>0</v>
      </c>
      <c r="H107" s="625">
        <v>0</v>
      </c>
      <c r="I107" s="625">
        <v>0</v>
      </c>
      <c r="J107" s="625">
        <v>0</v>
      </c>
      <c r="K107" s="625">
        <v>0</v>
      </c>
      <c r="L107" s="625">
        <v>0</v>
      </c>
      <c r="M107" s="625">
        <v>0</v>
      </c>
      <c r="N107" s="625">
        <v>0</v>
      </c>
      <c r="O107" s="625">
        <v>0</v>
      </c>
      <c r="P107" s="625">
        <v>0</v>
      </c>
      <c r="Q107" s="625">
        <v>0</v>
      </c>
      <c r="R107" s="625">
        <v>0</v>
      </c>
      <c r="S107" s="625">
        <v>0</v>
      </c>
      <c r="T107" s="625">
        <v>0</v>
      </c>
      <c r="U107" s="625">
        <v>0</v>
      </c>
      <c r="V107" s="625">
        <v>0</v>
      </c>
      <c r="W107" s="625">
        <v>0</v>
      </c>
      <c r="X107" s="625">
        <v>0</v>
      </c>
      <c r="Y107" s="625">
        <v>0</v>
      </c>
      <c r="Z107" s="625">
        <v>0</v>
      </c>
      <c r="AA107" s="625">
        <v>0</v>
      </c>
      <c r="AB107" s="625">
        <f t="shared" ref="AB107:AM107" si="16">AB106/AB104</f>
        <v>0.58364340146179094</v>
      </c>
      <c r="AC107" s="625">
        <f t="shared" si="16"/>
        <v>0.58336169117277181</v>
      </c>
      <c r="AD107" s="625">
        <f t="shared" si="16"/>
        <v>0.58293343103896322</v>
      </c>
      <c r="AE107" s="625">
        <f t="shared" si="16"/>
        <v>0.58268491778925036</v>
      </c>
      <c r="AF107" s="625">
        <f t="shared" si="16"/>
        <v>0.58234452253806024</v>
      </c>
      <c r="AG107" s="625">
        <f t="shared" si="16"/>
        <v>0.5820718766269638</v>
      </c>
      <c r="AH107" s="625">
        <f t="shared" si="16"/>
        <v>0.58188943554460582</v>
      </c>
      <c r="AI107" s="625">
        <f t="shared" si="16"/>
        <v>0.58174811951565197</v>
      </c>
      <c r="AJ107" s="625">
        <f t="shared" si="16"/>
        <v>0.58191461419273383</v>
      </c>
      <c r="AK107" s="625">
        <f t="shared" si="16"/>
        <v>0.58170419392630734</v>
      </c>
      <c r="AL107" s="625">
        <f t="shared" si="16"/>
        <v>0.58075432569128504</v>
      </c>
      <c r="AM107" s="625">
        <f t="shared" si="16"/>
        <v>0.58024443828140637</v>
      </c>
      <c r="AN107" s="967"/>
      <c r="AO107" s="967"/>
      <c r="AP107" s="967"/>
      <c r="AQ107" s="967"/>
      <c r="AR107" s="967"/>
      <c r="AS107" s="967"/>
      <c r="AT107" s="967"/>
      <c r="AU107" s="967"/>
      <c r="AV107" s="967"/>
      <c r="AW107" s="967"/>
      <c r="AX107" s="967"/>
      <c r="AY107" s="967"/>
      <c r="AZ107" s="967"/>
      <c r="BA107" s="967"/>
      <c r="BB107" s="967"/>
      <c r="BC107" s="967"/>
      <c r="BD107" s="967"/>
      <c r="BE107" s="967"/>
      <c r="BF107" s="967"/>
      <c r="BG107" s="967"/>
      <c r="BH107" s="967"/>
      <c r="BI107" s="967"/>
      <c r="BJ107" s="967"/>
      <c r="BK107" s="967"/>
      <c r="BL107" s="967"/>
      <c r="BM107" s="967"/>
      <c r="BN107" s="967"/>
      <c r="BO107" s="967"/>
      <c r="BP107" s="967"/>
      <c r="BQ107" s="967"/>
      <c r="BR107" s="967"/>
      <c r="BS107" s="967"/>
      <c r="BT107" s="967"/>
      <c r="BU107" s="967"/>
      <c r="BV107" s="967"/>
      <c r="BW107" s="967"/>
      <c r="BX107" s="967"/>
      <c r="BY107" s="967"/>
      <c r="BZ107" s="967"/>
      <c r="CA107" s="967"/>
      <c r="CB107" s="967"/>
      <c r="CC107" s="967"/>
      <c r="CD107" s="967"/>
      <c r="CE107" s="967"/>
      <c r="CF107" s="967"/>
      <c r="CG107" s="967"/>
      <c r="CH107" s="967"/>
      <c r="CI107" s="967"/>
      <c r="CJ107" s="967"/>
      <c r="CK107" s="967"/>
      <c r="CL107" s="967"/>
      <c r="CM107" s="967"/>
      <c r="CN107" s="967"/>
      <c r="CO107" s="967"/>
      <c r="CP107" s="967"/>
      <c r="CQ107" s="967"/>
      <c r="CR107" s="967"/>
      <c r="CS107" s="967"/>
      <c r="CT107" s="967"/>
      <c r="CU107" s="967"/>
      <c r="CV107" s="967"/>
      <c r="CW107" s="967"/>
      <c r="CX107" s="967"/>
      <c r="CY107" s="967"/>
      <c r="CZ107" s="967"/>
      <c r="DA107" s="967"/>
      <c r="DB107" s="967"/>
      <c r="DC107" s="967"/>
      <c r="DD107" s="967"/>
      <c r="DE107" s="967"/>
      <c r="DF107" s="967"/>
      <c r="DG107" s="967"/>
      <c r="DH107" s="967"/>
      <c r="DI107" s="967"/>
      <c r="DJ107" s="967"/>
      <c r="DK107" s="967"/>
      <c r="DL107" s="967"/>
      <c r="DM107" s="967"/>
      <c r="DN107" s="967"/>
      <c r="DO107" s="967"/>
      <c r="DP107" s="967"/>
      <c r="DQ107" s="967"/>
      <c r="DR107" s="967"/>
      <c r="DS107" s="967"/>
      <c r="DT107" s="967"/>
      <c r="DU107" s="967"/>
      <c r="DV107" s="967"/>
      <c r="DW107" s="967"/>
      <c r="DX107" s="967"/>
      <c r="DY107" s="967"/>
    </row>
    <row r="108" spans="2:129" s="333" customFormat="1">
      <c r="B108" s="628" t="s">
        <v>248</v>
      </c>
      <c r="O108" s="597"/>
      <c r="P108" s="598"/>
      <c r="Q108" s="323"/>
      <c r="R108" s="323"/>
      <c r="S108" s="323"/>
      <c r="T108" s="323"/>
      <c r="U108" s="323"/>
      <c r="V108" s="323"/>
      <c r="W108" s="323"/>
      <c r="X108" s="323"/>
      <c r="Y108" s="323"/>
      <c r="Z108" s="323"/>
      <c r="AA108" s="599"/>
      <c r="AB108" s="598"/>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s="323"/>
      <c r="BO108" s="323"/>
      <c r="BP108" s="323"/>
      <c r="BQ108" s="323"/>
      <c r="BR108" s="323"/>
      <c r="BS108" s="323"/>
      <c r="BT108" s="323"/>
      <c r="BU108" s="323"/>
      <c r="BV108" s="323"/>
      <c r="BW108" s="323"/>
      <c r="BX108" s="323"/>
      <c r="BY108" s="323"/>
      <c r="BZ108" s="323"/>
      <c r="CA108" s="323"/>
      <c r="CB108" s="323"/>
      <c r="CC108" s="323"/>
      <c r="CD108" s="323"/>
      <c r="CE108" s="323"/>
      <c r="CF108" s="323"/>
      <c r="CG108" s="323"/>
      <c r="CH108" s="323"/>
      <c r="CI108" s="323"/>
      <c r="CJ108" s="323"/>
      <c r="CK108" s="323"/>
      <c r="CL108" s="323"/>
      <c r="CM108" s="323"/>
      <c r="CN108" s="323"/>
      <c r="CO108" s="323"/>
      <c r="CP108" s="323"/>
      <c r="CQ108" s="323"/>
      <c r="CR108" s="323"/>
      <c r="CS108" s="323"/>
      <c r="CT108" s="323"/>
      <c r="CU108" s="323"/>
      <c r="CV108" s="323"/>
      <c r="CW108" s="323"/>
      <c r="CX108" s="323"/>
      <c r="CY108" s="323"/>
      <c r="CZ108" s="323"/>
      <c r="DA108" s="323"/>
      <c r="DB108" s="323"/>
      <c r="DC108" s="323"/>
      <c r="DD108" s="323"/>
      <c r="DE108" s="323"/>
      <c r="DF108" s="323"/>
      <c r="DG108" s="323"/>
      <c r="DH108" s="323"/>
      <c r="DI108" s="323"/>
      <c r="DJ108" s="323"/>
      <c r="DK108" s="323"/>
      <c r="DL108" s="323"/>
      <c r="DM108" s="323"/>
      <c r="DN108" s="323"/>
      <c r="DO108" s="323"/>
      <c r="DP108" s="323"/>
      <c r="DQ108" s="323"/>
      <c r="DR108" s="323"/>
      <c r="DS108" s="323"/>
      <c r="DT108" s="323"/>
      <c r="DU108" s="323"/>
      <c r="DV108" s="323"/>
      <c r="DW108" s="323"/>
      <c r="DX108" s="323"/>
      <c r="DY108" s="323"/>
    </row>
    <row r="109" spans="2:129" s="333" customFormat="1">
      <c r="B109" s="624" t="str">
        <f>B9</f>
        <v>Salaries</v>
      </c>
      <c r="D109" s="333">
        <f>-$G23/12</f>
        <v>0</v>
      </c>
      <c r="E109" s="333">
        <f t="shared" ref="E109:O109" si="17">-$G23/12</f>
        <v>0</v>
      </c>
      <c r="F109" s="333">
        <f t="shared" si="17"/>
        <v>0</v>
      </c>
      <c r="G109" s="333">
        <f t="shared" si="17"/>
        <v>0</v>
      </c>
      <c r="H109" s="333">
        <f t="shared" si="17"/>
        <v>0</v>
      </c>
      <c r="I109" s="333">
        <f t="shared" si="17"/>
        <v>0</v>
      </c>
      <c r="J109" s="333">
        <f t="shared" si="17"/>
        <v>0</v>
      </c>
      <c r="K109" s="333">
        <f t="shared" si="17"/>
        <v>0</v>
      </c>
      <c r="L109" s="333">
        <f t="shared" si="17"/>
        <v>0</v>
      </c>
      <c r="M109" s="333">
        <f t="shared" si="17"/>
        <v>0</v>
      </c>
      <c r="N109" s="333">
        <f t="shared" si="17"/>
        <v>0</v>
      </c>
      <c r="O109" s="333">
        <f t="shared" si="17"/>
        <v>0</v>
      </c>
      <c r="P109" s="333">
        <f t="shared" ref="P109:AA109" si="18">-$H23/12</f>
        <v>0</v>
      </c>
      <c r="Q109" s="333">
        <f t="shared" si="18"/>
        <v>0</v>
      </c>
      <c r="R109" s="333">
        <f t="shared" si="18"/>
        <v>0</v>
      </c>
      <c r="S109" s="333">
        <f t="shared" si="18"/>
        <v>0</v>
      </c>
      <c r="T109" s="333">
        <f t="shared" si="18"/>
        <v>0</v>
      </c>
      <c r="U109" s="333">
        <f t="shared" si="18"/>
        <v>0</v>
      </c>
      <c r="V109" s="333">
        <f t="shared" si="18"/>
        <v>0</v>
      </c>
      <c r="W109" s="333">
        <f t="shared" si="18"/>
        <v>0</v>
      </c>
      <c r="X109" s="333">
        <f t="shared" si="18"/>
        <v>0</v>
      </c>
      <c r="Y109" s="333">
        <f t="shared" si="18"/>
        <v>0</v>
      </c>
      <c r="Z109" s="333">
        <f t="shared" si="18"/>
        <v>0</v>
      </c>
      <c r="AA109" s="333">
        <f t="shared" si="18"/>
        <v>0</v>
      </c>
      <c r="AB109" s="333">
        <f>-$I23/12</f>
        <v>-34058.333333333336</v>
      </c>
      <c r="AC109" s="333">
        <f t="shared" ref="AC109:AM109" si="19">-$I23/12</f>
        <v>-34058.333333333336</v>
      </c>
      <c r="AD109" s="333">
        <f t="shared" si="19"/>
        <v>-34058.333333333336</v>
      </c>
      <c r="AE109" s="333">
        <f t="shared" si="19"/>
        <v>-34058.333333333336</v>
      </c>
      <c r="AF109" s="333">
        <f t="shared" si="19"/>
        <v>-34058.333333333336</v>
      </c>
      <c r="AG109" s="333">
        <f t="shared" si="19"/>
        <v>-34058.333333333336</v>
      </c>
      <c r="AH109" s="333">
        <f t="shared" si="19"/>
        <v>-34058.333333333336</v>
      </c>
      <c r="AI109" s="333">
        <f t="shared" si="19"/>
        <v>-34058.333333333336</v>
      </c>
      <c r="AJ109" s="333">
        <f t="shared" si="19"/>
        <v>-34058.333333333336</v>
      </c>
      <c r="AK109" s="333">
        <f t="shared" si="19"/>
        <v>-34058.333333333336</v>
      </c>
      <c r="AL109" s="333">
        <f t="shared" si="19"/>
        <v>-34058.333333333336</v>
      </c>
      <c r="AM109" s="333">
        <f t="shared" si="19"/>
        <v>-34058.333333333336</v>
      </c>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s="323"/>
      <c r="BO109" s="323"/>
      <c r="BP109" s="323"/>
      <c r="BQ109" s="323"/>
      <c r="BR109" s="323"/>
      <c r="BS109" s="323"/>
      <c r="BT109" s="323"/>
      <c r="BU109" s="323"/>
      <c r="BV109" s="323"/>
      <c r="BW109" s="323"/>
      <c r="BX109" s="323"/>
      <c r="BY109" s="323"/>
      <c r="BZ109" s="323"/>
      <c r="CA109" s="323"/>
      <c r="CB109" s="323"/>
      <c r="CC109" s="323"/>
      <c r="CD109" s="323"/>
      <c r="CE109" s="323"/>
      <c r="CF109" s="323"/>
      <c r="CG109" s="323"/>
      <c r="CH109" s="323"/>
      <c r="CI109" s="323"/>
      <c r="CJ109" s="323"/>
      <c r="CK109" s="323"/>
      <c r="CL109" s="323"/>
      <c r="CM109" s="323"/>
      <c r="CN109" s="323"/>
      <c r="CO109" s="323"/>
      <c r="CP109" s="323"/>
      <c r="CQ109" s="323"/>
      <c r="CR109" s="323"/>
      <c r="CS109" s="323"/>
      <c r="CT109" s="323"/>
      <c r="CU109" s="323"/>
      <c r="CV109" s="323"/>
      <c r="CW109" s="323"/>
      <c r="CX109" s="323"/>
      <c r="CY109" s="323"/>
      <c r="CZ109" s="323"/>
      <c r="DA109" s="323"/>
      <c r="DB109" s="323"/>
      <c r="DC109" s="323"/>
      <c r="DD109" s="323"/>
      <c r="DE109" s="323"/>
      <c r="DF109" s="323"/>
      <c r="DG109" s="323"/>
      <c r="DH109" s="323"/>
      <c r="DI109" s="323"/>
      <c r="DJ109" s="323"/>
      <c r="DK109" s="323"/>
      <c r="DL109" s="323"/>
      <c r="DM109" s="323"/>
      <c r="DN109" s="323"/>
      <c r="DO109" s="323"/>
      <c r="DP109" s="323"/>
      <c r="DQ109" s="323"/>
      <c r="DR109" s="323"/>
      <c r="DS109" s="323"/>
      <c r="DT109" s="323"/>
      <c r="DU109" s="323"/>
      <c r="DV109" s="323"/>
      <c r="DW109" s="323"/>
      <c r="DX109" s="323"/>
      <c r="DY109" s="323"/>
    </row>
    <row r="110" spans="2:129" s="333" customFormat="1">
      <c r="B110" s="624" t="str">
        <f>G37</f>
        <v>Work Space Rent</v>
      </c>
      <c r="D110" s="333">
        <f t="shared" ref="D110:O110" si="20">-$H41/12</f>
        <v>0</v>
      </c>
      <c r="E110" s="333">
        <f t="shared" si="20"/>
        <v>0</v>
      </c>
      <c r="F110" s="333">
        <f t="shared" si="20"/>
        <v>0</v>
      </c>
      <c r="G110" s="333">
        <f t="shared" si="20"/>
        <v>0</v>
      </c>
      <c r="H110" s="333">
        <f t="shared" si="20"/>
        <v>0</v>
      </c>
      <c r="I110" s="333">
        <f t="shared" si="20"/>
        <v>0</v>
      </c>
      <c r="J110" s="333">
        <f t="shared" si="20"/>
        <v>0</v>
      </c>
      <c r="K110" s="333">
        <f t="shared" si="20"/>
        <v>0</v>
      </c>
      <c r="L110" s="333">
        <f t="shared" si="20"/>
        <v>0</v>
      </c>
      <c r="M110" s="333">
        <f t="shared" si="20"/>
        <v>0</v>
      </c>
      <c r="N110" s="333">
        <f t="shared" si="20"/>
        <v>0</v>
      </c>
      <c r="O110" s="333">
        <f t="shared" si="20"/>
        <v>0</v>
      </c>
      <c r="P110" s="333">
        <f t="shared" ref="P110:AA110" si="21">-$I41/12</f>
        <v>0</v>
      </c>
      <c r="Q110" s="333">
        <f t="shared" si="21"/>
        <v>0</v>
      </c>
      <c r="R110" s="333">
        <f t="shared" si="21"/>
        <v>0</v>
      </c>
      <c r="S110" s="333">
        <f t="shared" si="21"/>
        <v>0</v>
      </c>
      <c r="T110" s="333">
        <f t="shared" si="21"/>
        <v>0</v>
      </c>
      <c r="U110" s="333">
        <f t="shared" si="21"/>
        <v>0</v>
      </c>
      <c r="V110" s="333">
        <f t="shared" si="21"/>
        <v>0</v>
      </c>
      <c r="W110" s="333">
        <f t="shared" si="21"/>
        <v>0</v>
      </c>
      <c r="X110" s="333">
        <f t="shared" si="21"/>
        <v>0</v>
      </c>
      <c r="Y110" s="333">
        <f t="shared" si="21"/>
        <v>0</v>
      </c>
      <c r="Z110" s="333">
        <f t="shared" si="21"/>
        <v>0</v>
      </c>
      <c r="AA110" s="333">
        <f t="shared" si="21"/>
        <v>0</v>
      </c>
      <c r="AB110" s="333">
        <f>-$J41/12</f>
        <v>-275</v>
      </c>
      <c r="AC110" s="333">
        <f t="shared" ref="AC110:AM110" si="22">-$J41/12</f>
        <v>-275</v>
      </c>
      <c r="AD110" s="333">
        <f t="shared" si="22"/>
        <v>-275</v>
      </c>
      <c r="AE110" s="333">
        <f t="shared" si="22"/>
        <v>-275</v>
      </c>
      <c r="AF110" s="333">
        <f t="shared" si="22"/>
        <v>-275</v>
      </c>
      <c r="AG110" s="333">
        <f t="shared" si="22"/>
        <v>-275</v>
      </c>
      <c r="AH110" s="333">
        <f t="shared" si="22"/>
        <v>-275</v>
      </c>
      <c r="AI110" s="333">
        <f t="shared" si="22"/>
        <v>-275</v>
      </c>
      <c r="AJ110" s="333">
        <f t="shared" si="22"/>
        <v>-275</v>
      </c>
      <c r="AK110" s="333">
        <f t="shared" si="22"/>
        <v>-275</v>
      </c>
      <c r="AL110" s="333">
        <f t="shared" si="22"/>
        <v>-275</v>
      </c>
      <c r="AM110" s="333">
        <f t="shared" si="22"/>
        <v>-275</v>
      </c>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s="323"/>
      <c r="BO110" s="323"/>
      <c r="BP110" s="323"/>
      <c r="BQ110" s="323"/>
      <c r="BR110" s="323"/>
      <c r="BS110" s="323"/>
      <c r="BT110" s="323"/>
      <c r="BU110" s="323"/>
      <c r="BV110" s="323"/>
      <c r="BW110" s="323"/>
      <c r="BX110" s="323"/>
      <c r="BY110" s="323"/>
      <c r="BZ110" s="323"/>
      <c r="CA110" s="323"/>
      <c r="CB110" s="323"/>
      <c r="CC110" s="323"/>
      <c r="CD110" s="323"/>
      <c r="CE110" s="323"/>
      <c r="CF110" s="323"/>
      <c r="CG110" s="323"/>
      <c r="CH110" s="323"/>
      <c r="CI110" s="323"/>
      <c r="CJ110" s="323"/>
      <c r="CK110" s="323"/>
      <c r="CL110" s="323"/>
      <c r="CM110" s="323"/>
      <c r="CN110" s="323"/>
      <c r="CO110" s="323"/>
      <c r="CP110" s="323"/>
      <c r="CQ110" s="323"/>
      <c r="CR110" s="323"/>
      <c r="CS110" s="323"/>
      <c r="CT110" s="323"/>
      <c r="CU110" s="323"/>
      <c r="CV110" s="323"/>
      <c r="CW110" s="323"/>
      <c r="CX110" s="323"/>
      <c r="CY110" s="323"/>
      <c r="CZ110" s="323"/>
      <c r="DA110" s="323"/>
      <c r="DB110" s="323"/>
      <c r="DC110" s="323"/>
      <c r="DD110" s="323"/>
      <c r="DE110" s="323"/>
      <c r="DF110" s="323"/>
      <c r="DG110" s="323"/>
      <c r="DH110" s="323"/>
      <c r="DI110" s="323"/>
      <c r="DJ110" s="323"/>
      <c r="DK110" s="323"/>
      <c r="DL110" s="323"/>
      <c r="DM110" s="323"/>
      <c r="DN110" s="323"/>
      <c r="DO110" s="323"/>
      <c r="DP110" s="323"/>
      <c r="DQ110" s="323"/>
      <c r="DR110" s="323"/>
      <c r="DS110" s="323"/>
      <c r="DT110" s="323"/>
      <c r="DU110" s="323"/>
      <c r="DV110" s="323"/>
      <c r="DW110" s="323"/>
      <c r="DX110" s="323"/>
      <c r="DY110" s="323"/>
    </row>
    <row r="111" spans="2:129" s="333" customFormat="1">
      <c r="B111" s="624" t="str">
        <f>B28</f>
        <v>Marketing</v>
      </c>
      <c r="D111" s="333">
        <f t="shared" ref="D111:O111" si="23">-$C33/12</f>
        <v>0</v>
      </c>
      <c r="E111" s="333">
        <f t="shared" si="23"/>
        <v>0</v>
      </c>
      <c r="F111" s="333">
        <f t="shared" si="23"/>
        <v>0</v>
      </c>
      <c r="G111" s="333">
        <f t="shared" si="23"/>
        <v>0</v>
      </c>
      <c r="H111" s="333">
        <f t="shared" si="23"/>
        <v>0</v>
      </c>
      <c r="I111" s="333">
        <f t="shared" si="23"/>
        <v>0</v>
      </c>
      <c r="J111" s="333">
        <f t="shared" si="23"/>
        <v>0</v>
      </c>
      <c r="K111" s="333">
        <f t="shared" si="23"/>
        <v>0</v>
      </c>
      <c r="L111" s="333">
        <f t="shared" si="23"/>
        <v>0</v>
      </c>
      <c r="M111" s="333">
        <f t="shared" si="23"/>
        <v>0</v>
      </c>
      <c r="N111" s="333">
        <f t="shared" si="23"/>
        <v>0</v>
      </c>
      <c r="O111" s="333">
        <f t="shared" si="23"/>
        <v>0</v>
      </c>
      <c r="P111" s="333">
        <f t="shared" ref="P111:AA111" si="24">-$D33/12</f>
        <v>0</v>
      </c>
      <c r="Q111" s="333">
        <f t="shared" si="24"/>
        <v>0</v>
      </c>
      <c r="R111" s="333">
        <f t="shared" si="24"/>
        <v>0</v>
      </c>
      <c r="S111" s="333">
        <f t="shared" si="24"/>
        <v>0</v>
      </c>
      <c r="T111" s="333">
        <f t="shared" si="24"/>
        <v>0</v>
      </c>
      <c r="U111" s="333">
        <f t="shared" si="24"/>
        <v>0</v>
      </c>
      <c r="V111" s="333">
        <f t="shared" si="24"/>
        <v>0</v>
      </c>
      <c r="W111" s="333">
        <f t="shared" si="24"/>
        <v>0</v>
      </c>
      <c r="X111" s="333">
        <f t="shared" si="24"/>
        <v>0</v>
      </c>
      <c r="Y111" s="333">
        <f t="shared" si="24"/>
        <v>0</v>
      </c>
      <c r="Z111" s="333">
        <f t="shared" si="24"/>
        <v>0</v>
      </c>
      <c r="AA111" s="333">
        <f t="shared" si="24"/>
        <v>0</v>
      </c>
      <c r="AB111" s="333">
        <f>-$E33/12</f>
        <v>-58.333333333333336</v>
      </c>
      <c r="AC111" s="333">
        <f t="shared" ref="AC111:AM111" si="25">-$E33/12</f>
        <v>-58.333333333333336</v>
      </c>
      <c r="AD111" s="333">
        <f t="shared" si="25"/>
        <v>-58.333333333333336</v>
      </c>
      <c r="AE111" s="333">
        <f t="shared" si="25"/>
        <v>-58.333333333333336</v>
      </c>
      <c r="AF111" s="333">
        <f t="shared" si="25"/>
        <v>-58.333333333333336</v>
      </c>
      <c r="AG111" s="333">
        <f t="shared" si="25"/>
        <v>-58.333333333333336</v>
      </c>
      <c r="AH111" s="333">
        <f t="shared" si="25"/>
        <v>-58.333333333333336</v>
      </c>
      <c r="AI111" s="333">
        <f t="shared" si="25"/>
        <v>-58.333333333333336</v>
      </c>
      <c r="AJ111" s="333">
        <f t="shared" si="25"/>
        <v>-58.333333333333336</v>
      </c>
      <c r="AK111" s="333">
        <f t="shared" si="25"/>
        <v>-58.333333333333336</v>
      </c>
      <c r="AL111" s="333">
        <f t="shared" si="25"/>
        <v>-58.333333333333336</v>
      </c>
      <c r="AM111" s="333">
        <f t="shared" si="25"/>
        <v>-58.333333333333336</v>
      </c>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s="323"/>
      <c r="BO111" s="323"/>
      <c r="BP111" s="323"/>
      <c r="BQ111" s="323"/>
      <c r="BR111" s="323"/>
      <c r="BS111" s="323"/>
      <c r="BT111" s="323"/>
      <c r="BU111" s="323"/>
      <c r="BV111" s="323"/>
      <c r="BW111" s="323"/>
      <c r="BX111" s="323"/>
      <c r="BY111" s="323"/>
      <c r="BZ111" s="323"/>
      <c r="CA111" s="323"/>
      <c r="CB111" s="323"/>
      <c r="CC111" s="323"/>
      <c r="CD111" s="323"/>
      <c r="CE111" s="323"/>
      <c r="CF111" s="323"/>
      <c r="CG111" s="323"/>
      <c r="CH111" s="323"/>
      <c r="CI111" s="323"/>
      <c r="CJ111" s="323"/>
      <c r="CK111" s="323"/>
      <c r="CL111" s="323"/>
      <c r="CM111" s="323"/>
      <c r="CN111" s="323"/>
      <c r="CO111" s="323"/>
      <c r="CP111" s="323"/>
      <c r="CQ111" s="323"/>
      <c r="CR111" s="323"/>
      <c r="CS111" s="323"/>
      <c r="CT111" s="323"/>
      <c r="CU111" s="323"/>
      <c r="CV111" s="323"/>
      <c r="CW111" s="323"/>
      <c r="CX111" s="323"/>
      <c r="CY111" s="323"/>
      <c r="CZ111" s="323"/>
      <c r="DA111" s="323"/>
      <c r="DB111" s="323"/>
      <c r="DC111" s="323"/>
      <c r="DD111" s="323"/>
      <c r="DE111" s="323"/>
      <c r="DF111" s="323"/>
      <c r="DG111" s="323"/>
      <c r="DH111" s="323"/>
      <c r="DI111" s="323"/>
      <c r="DJ111" s="323"/>
      <c r="DK111" s="323"/>
      <c r="DL111" s="323"/>
      <c r="DM111" s="323"/>
      <c r="DN111" s="323"/>
      <c r="DO111" s="323"/>
      <c r="DP111" s="323"/>
      <c r="DQ111" s="323"/>
      <c r="DR111" s="323"/>
      <c r="DS111" s="323"/>
      <c r="DT111" s="323"/>
      <c r="DU111" s="323"/>
      <c r="DV111" s="323"/>
      <c r="DW111" s="323"/>
      <c r="DX111" s="323"/>
      <c r="DY111" s="323"/>
    </row>
    <row r="112" spans="2:129" s="333" customFormat="1">
      <c r="B112" s="624" t="str">
        <f>G44</f>
        <v xml:space="preserve">Utilities </v>
      </c>
      <c r="C112" s="629"/>
      <c r="D112" s="333">
        <f t="shared" ref="D112:O112" si="26">-$H$50/12</f>
        <v>0</v>
      </c>
      <c r="E112" s="333">
        <f t="shared" si="26"/>
        <v>0</v>
      </c>
      <c r="F112" s="333">
        <f t="shared" si="26"/>
        <v>0</v>
      </c>
      <c r="G112" s="333">
        <f t="shared" si="26"/>
        <v>0</v>
      </c>
      <c r="H112" s="333">
        <f t="shared" si="26"/>
        <v>0</v>
      </c>
      <c r="I112" s="333">
        <f t="shared" si="26"/>
        <v>0</v>
      </c>
      <c r="J112" s="333">
        <f t="shared" si="26"/>
        <v>0</v>
      </c>
      <c r="K112" s="333">
        <f t="shared" si="26"/>
        <v>0</v>
      </c>
      <c r="L112" s="333">
        <f t="shared" si="26"/>
        <v>0</v>
      </c>
      <c r="M112" s="333">
        <f t="shared" si="26"/>
        <v>0</v>
      </c>
      <c r="N112" s="333">
        <f t="shared" si="26"/>
        <v>0</v>
      </c>
      <c r="O112" s="333">
        <f t="shared" si="26"/>
        <v>0</v>
      </c>
      <c r="P112" s="333">
        <f t="shared" ref="P112:AA112" si="27">-$I50/12</f>
        <v>0</v>
      </c>
      <c r="Q112" s="333">
        <f t="shared" si="27"/>
        <v>0</v>
      </c>
      <c r="R112" s="333">
        <f t="shared" si="27"/>
        <v>0</v>
      </c>
      <c r="S112" s="333">
        <f t="shared" si="27"/>
        <v>0</v>
      </c>
      <c r="T112" s="333">
        <f t="shared" si="27"/>
        <v>0</v>
      </c>
      <c r="U112" s="333">
        <f t="shared" si="27"/>
        <v>0</v>
      </c>
      <c r="V112" s="333">
        <f t="shared" si="27"/>
        <v>0</v>
      </c>
      <c r="W112" s="333">
        <f t="shared" si="27"/>
        <v>0</v>
      </c>
      <c r="X112" s="333">
        <f t="shared" si="27"/>
        <v>0</v>
      </c>
      <c r="Y112" s="333">
        <f t="shared" si="27"/>
        <v>0</v>
      </c>
      <c r="Z112" s="333">
        <f t="shared" si="27"/>
        <v>0</v>
      </c>
      <c r="AA112" s="333">
        <f t="shared" si="27"/>
        <v>0</v>
      </c>
      <c r="AB112" s="333">
        <f t="shared" ref="AB112:AM112" si="28">-$J50/12</f>
        <v>-61.666666666666664</v>
      </c>
      <c r="AC112" s="333">
        <f t="shared" si="28"/>
        <v>-61.666666666666664</v>
      </c>
      <c r="AD112" s="333">
        <f t="shared" si="28"/>
        <v>-61.666666666666664</v>
      </c>
      <c r="AE112" s="333">
        <f t="shared" si="28"/>
        <v>-61.666666666666664</v>
      </c>
      <c r="AF112" s="333">
        <f t="shared" si="28"/>
        <v>-61.666666666666664</v>
      </c>
      <c r="AG112" s="333">
        <f t="shared" si="28"/>
        <v>-61.666666666666664</v>
      </c>
      <c r="AH112" s="333">
        <f t="shared" si="28"/>
        <v>-61.666666666666664</v>
      </c>
      <c r="AI112" s="333">
        <f t="shared" si="28"/>
        <v>-61.666666666666664</v>
      </c>
      <c r="AJ112" s="333">
        <f t="shared" si="28"/>
        <v>-61.666666666666664</v>
      </c>
      <c r="AK112" s="333">
        <f t="shared" si="28"/>
        <v>-61.666666666666664</v>
      </c>
      <c r="AL112" s="333">
        <f t="shared" si="28"/>
        <v>-61.666666666666664</v>
      </c>
      <c r="AM112" s="333">
        <f t="shared" si="28"/>
        <v>-61.666666666666664</v>
      </c>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s="323"/>
      <c r="BO112" s="323"/>
      <c r="BP112" s="323"/>
      <c r="BQ112" s="323"/>
      <c r="BR112" s="323"/>
      <c r="BS112" s="323"/>
      <c r="BT112" s="323"/>
      <c r="BU112" s="323"/>
      <c r="BV112" s="323"/>
      <c r="BW112" s="323"/>
      <c r="BX112" s="323"/>
      <c r="BY112" s="323"/>
      <c r="BZ112" s="323"/>
      <c r="CA112" s="323"/>
      <c r="CB112" s="323"/>
      <c r="CC112" s="323"/>
      <c r="CD112" s="323"/>
      <c r="CE112" s="323"/>
      <c r="CF112" s="323"/>
      <c r="CG112" s="323"/>
      <c r="CH112" s="323"/>
      <c r="CI112" s="323"/>
      <c r="CJ112" s="323"/>
      <c r="CK112" s="323"/>
      <c r="CL112" s="323"/>
      <c r="CM112" s="323"/>
      <c r="CN112" s="323"/>
      <c r="CO112" s="323"/>
      <c r="CP112" s="323"/>
      <c r="CQ112" s="323"/>
      <c r="CR112" s="323"/>
      <c r="CS112" s="323"/>
      <c r="CT112" s="323"/>
      <c r="CU112" s="323"/>
      <c r="CV112" s="323"/>
      <c r="CW112" s="323"/>
      <c r="CX112" s="323"/>
      <c r="CY112" s="323"/>
      <c r="CZ112" s="323"/>
      <c r="DA112" s="323"/>
      <c r="DB112" s="323"/>
      <c r="DC112" s="323"/>
      <c r="DD112" s="323"/>
      <c r="DE112" s="323"/>
      <c r="DF112" s="323"/>
      <c r="DG112" s="323"/>
      <c r="DH112" s="323"/>
      <c r="DI112" s="323"/>
      <c r="DJ112" s="323"/>
      <c r="DK112" s="323"/>
      <c r="DL112" s="323"/>
      <c r="DM112" s="323"/>
      <c r="DN112" s="323"/>
      <c r="DO112" s="323"/>
      <c r="DP112" s="323"/>
      <c r="DQ112" s="323"/>
      <c r="DR112" s="323"/>
      <c r="DS112" s="323"/>
      <c r="DT112" s="323"/>
      <c r="DU112" s="323"/>
      <c r="DV112" s="323"/>
      <c r="DW112" s="323"/>
      <c r="DX112" s="323"/>
      <c r="DY112" s="323"/>
    </row>
    <row r="113" spans="1:129" s="333" customFormat="1">
      <c r="B113" s="624" t="str">
        <f>L26</f>
        <v>Software Subscriptions</v>
      </c>
      <c r="D113" s="333">
        <f t="shared" ref="D113:O113" si="29">-$M37/12</f>
        <v>0</v>
      </c>
      <c r="E113" s="333">
        <f t="shared" si="29"/>
        <v>0</v>
      </c>
      <c r="F113" s="333">
        <f t="shared" si="29"/>
        <v>0</v>
      </c>
      <c r="G113" s="333">
        <f t="shared" si="29"/>
        <v>0</v>
      </c>
      <c r="H113" s="333">
        <f t="shared" si="29"/>
        <v>0</v>
      </c>
      <c r="I113" s="333">
        <f t="shared" si="29"/>
        <v>0</v>
      </c>
      <c r="J113" s="333">
        <f t="shared" si="29"/>
        <v>0</v>
      </c>
      <c r="K113" s="333">
        <f t="shared" si="29"/>
        <v>0</v>
      </c>
      <c r="L113" s="333">
        <f t="shared" si="29"/>
        <v>0</v>
      </c>
      <c r="M113" s="333">
        <f t="shared" si="29"/>
        <v>0</v>
      </c>
      <c r="N113" s="333">
        <f t="shared" si="29"/>
        <v>0</v>
      </c>
      <c r="O113" s="333">
        <f t="shared" si="29"/>
        <v>0</v>
      </c>
      <c r="P113" s="333">
        <f t="shared" ref="P113:AA113" si="30">-$N37/12</f>
        <v>0</v>
      </c>
      <c r="Q113" s="333">
        <f t="shared" si="30"/>
        <v>0</v>
      </c>
      <c r="R113" s="333">
        <f t="shared" si="30"/>
        <v>0</v>
      </c>
      <c r="S113" s="333">
        <f t="shared" si="30"/>
        <v>0</v>
      </c>
      <c r="T113" s="333">
        <f t="shared" si="30"/>
        <v>0</v>
      </c>
      <c r="U113" s="333">
        <f t="shared" si="30"/>
        <v>0</v>
      </c>
      <c r="V113" s="333">
        <f t="shared" si="30"/>
        <v>0</v>
      </c>
      <c r="W113" s="333">
        <f t="shared" si="30"/>
        <v>0</v>
      </c>
      <c r="X113" s="333">
        <f t="shared" si="30"/>
        <v>0</v>
      </c>
      <c r="Y113" s="333">
        <f t="shared" si="30"/>
        <v>0</v>
      </c>
      <c r="Z113" s="333">
        <f t="shared" si="30"/>
        <v>0</v>
      </c>
      <c r="AA113" s="333">
        <f t="shared" si="30"/>
        <v>0</v>
      </c>
      <c r="AB113" s="333">
        <f t="shared" ref="AB113:AM113" si="31">-$O37/12</f>
        <v>-262.5</v>
      </c>
      <c r="AC113" s="333">
        <f t="shared" si="31"/>
        <v>-262.5</v>
      </c>
      <c r="AD113" s="333">
        <f t="shared" si="31"/>
        <v>-262.5</v>
      </c>
      <c r="AE113" s="333">
        <f t="shared" si="31"/>
        <v>-262.5</v>
      </c>
      <c r="AF113" s="333">
        <f t="shared" si="31"/>
        <v>-262.5</v>
      </c>
      <c r="AG113" s="333">
        <f t="shared" si="31"/>
        <v>-262.5</v>
      </c>
      <c r="AH113" s="333">
        <f t="shared" si="31"/>
        <v>-262.5</v>
      </c>
      <c r="AI113" s="333">
        <f t="shared" si="31"/>
        <v>-262.5</v>
      </c>
      <c r="AJ113" s="333">
        <f t="shared" si="31"/>
        <v>-262.5</v>
      </c>
      <c r="AK113" s="333">
        <f t="shared" si="31"/>
        <v>-262.5</v>
      </c>
      <c r="AL113" s="333">
        <f t="shared" si="31"/>
        <v>-262.5</v>
      </c>
      <c r="AM113" s="333">
        <f t="shared" si="31"/>
        <v>-262.5</v>
      </c>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s="323"/>
      <c r="BO113" s="323"/>
      <c r="BP113" s="323"/>
      <c r="BQ113" s="323"/>
      <c r="BR113" s="323"/>
      <c r="BS113" s="323"/>
      <c r="BT113" s="323"/>
      <c r="BU113" s="323"/>
      <c r="BV113" s="323"/>
      <c r="BW113" s="323"/>
      <c r="BX113" s="323"/>
      <c r="BY113" s="323"/>
      <c r="BZ113" s="323"/>
      <c r="CA113" s="323"/>
      <c r="CB113" s="323"/>
      <c r="CC113" s="323"/>
      <c r="CD113" s="323"/>
      <c r="CE113" s="323"/>
      <c r="CF113" s="323"/>
      <c r="CG113" s="323"/>
      <c r="CH113" s="323"/>
      <c r="CI113" s="323"/>
      <c r="CJ113" s="323"/>
      <c r="CK113" s="323"/>
      <c r="CL113" s="323"/>
      <c r="CM113" s="323"/>
      <c r="CN113" s="323"/>
      <c r="CO113" s="323"/>
      <c r="CP113" s="323"/>
      <c r="CQ113" s="323"/>
      <c r="CR113" s="323"/>
      <c r="CS113" s="323"/>
      <c r="CT113" s="323"/>
      <c r="CU113" s="323"/>
      <c r="CV113" s="323"/>
      <c r="CW113" s="323"/>
      <c r="CX113" s="323"/>
      <c r="CY113" s="323"/>
      <c r="CZ113" s="323"/>
      <c r="DA113" s="323"/>
      <c r="DB113" s="323"/>
      <c r="DC113" s="323"/>
      <c r="DD113" s="323"/>
      <c r="DE113" s="323"/>
      <c r="DF113" s="323"/>
      <c r="DG113" s="323"/>
      <c r="DH113" s="323"/>
      <c r="DI113" s="323"/>
      <c r="DJ113" s="323"/>
      <c r="DK113" s="323"/>
      <c r="DL113" s="323"/>
      <c r="DM113" s="323"/>
      <c r="DN113" s="323"/>
      <c r="DO113" s="323"/>
      <c r="DP113" s="323"/>
      <c r="DQ113" s="323"/>
      <c r="DR113" s="323"/>
      <c r="DS113" s="323"/>
      <c r="DT113" s="323"/>
      <c r="DU113" s="323"/>
      <c r="DV113" s="323"/>
      <c r="DW113" s="323"/>
      <c r="DX113" s="323"/>
      <c r="DY113" s="323"/>
    </row>
    <row r="114" spans="1:129" s="333" customFormat="1">
      <c r="B114" s="624" t="str">
        <f>G28</f>
        <v xml:space="preserve">Research and Development </v>
      </c>
      <c r="D114" s="333">
        <f t="shared" ref="D114:O114" si="32">-$H35/12</f>
        <v>0</v>
      </c>
      <c r="E114" s="333">
        <f t="shared" si="32"/>
        <v>0</v>
      </c>
      <c r="F114" s="333">
        <f t="shared" si="32"/>
        <v>0</v>
      </c>
      <c r="G114" s="333">
        <f t="shared" si="32"/>
        <v>0</v>
      </c>
      <c r="H114" s="333">
        <f t="shared" si="32"/>
        <v>0</v>
      </c>
      <c r="I114" s="333">
        <f t="shared" si="32"/>
        <v>0</v>
      </c>
      <c r="J114" s="333">
        <f t="shared" si="32"/>
        <v>0</v>
      </c>
      <c r="K114" s="333">
        <f t="shared" si="32"/>
        <v>0</v>
      </c>
      <c r="L114" s="333">
        <f t="shared" si="32"/>
        <v>0</v>
      </c>
      <c r="M114" s="333">
        <f t="shared" si="32"/>
        <v>0</v>
      </c>
      <c r="N114" s="333">
        <f t="shared" si="32"/>
        <v>0</v>
      </c>
      <c r="O114" s="333">
        <f t="shared" si="32"/>
        <v>0</v>
      </c>
      <c r="P114" s="333">
        <f t="shared" ref="P114:AA114" si="33">-$I35/12</f>
        <v>0</v>
      </c>
      <c r="Q114" s="333">
        <f t="shared" si="33"/>
        <v>0</v>
      </c>
      <c r="R114" s="333">
        <f t="shared" si="33"/>
        <v>0</v>
      </c>
      <c r="S114" s="333">
        <f t="shared" si="33"/>
        <v>0</v>
      </c>
      <c r="T114" s="333">
        <f t="shared" si="33"/>
        <v>0</v>
      </c>
      <c r="U114" s="333">
        <f t="shared" si="33"/>
        <v>0</v>
      </c>
      <c r="V114" s="333">
        <f t="shared" si="33"/>
        <v>0</v>
      </c>
      <c r="W114" s="333">
        <f t="shared" si="33"/>
        <v>0</v>
      </c>
      <c r="X114" s="333">
        <f t="shared" si="33"/>
        <v>0</v>
      </c>
      <c r="Y114" s="333">
        <f t="shared" si="33"/>
        <v>0</v>
      </c>
      <c r="Z114" s="333">
        <f t="shared" si="33"/>
        <v>0</v>
      </c>
      <c r="AA114" s="333">
        <f t="shared" si="33"/>
        <v>0</v>
      </c>
      <c r="AB114" s="333">
        <f t="shared" ref="AB114:AM114" si="34">-$J35/12</f>
        <v>-150</v>
      </c>
      <c r="AC114" s="333">
        <f t="shared" si="34"/>
        <v>-150</v>
      </c>
      <c r="AD114" s="333">
        <f t="shared" si="34"/>
        <v>-150</v>
      </c>
      <c r="AE114" s="333">
        <f t="shared" si="34"/>
        <v>-150</v>
      </c>
      <c r="AF114" s="333">
        <f t="shared" si="34"/>
        <v>-150</v>
      </c>
      <c r="AG114" s="333">
        <f t="shared" si="34"/>
        <v>-150</v>
      </c>
      <c r="AH114" s="333">
        <f t="shared" si="34"/>
        <v>-150</v>
      </c>
      <c r="AI114" s="333">
        <f t="shared" si="34"/>
        <v>-150</v>
      </c>
      <c r="AJ114" s="333">
        <f t="shared" si="34"/>
        <v>-150</v>
      </c>
      <c r="AK114" s="333">
        <f t="shared" si="34"/>
        <v>-150</v>
      </c>
      <c r="AL114" s="333">
        <f t="shared" si="34"/>
        <v>-150</v>
      </c>
      <c r="AM114" s="333">
        <f t="shared" si="34"/>
        <v>-150</v>
      </c>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s="323"/>
      <c r="BO114" s="323"/>
      <c r="BP114" s="323"/>
      <c r="BQ114" s="323"/>
      <c r="BR114" s="323"/>
      <c r="BS114" s="323"/>
      <c r="BT114" s="323"/>
      <c r="BU114" s="323"/>
      <c r="BV114" s="323"/>
      <c r="BW114" s="323"/>
      <c r="BX114" s="323"/>
      <c r="BY114" s="323"/>
      <c r="BZ114" s="323"/>
      <c r="CA114" s="323"/>
      <c r="CB114" s="323"/>
      <c r="CC114" s="323"/>
      <c r="CD114" s="323"/>
      <c r="CE114" s="323"/>
      <c r="CF114" s="323"/>
      <c r="CG114" s="323"/>
      <c r="CH114" s="323"/>
      <c r="CI114" s="323"/>
      <c r="CJ114" s="323"/>
      <c r="CK114" s="323"/>
      <c r="CL114" s="323"/>
      <c r="CM114" s="323"/>
      <c r="CN114" s="323"/>
      <c r="CO114" s="323"/>
      <c r="CP114" s="323"/>
      <c r="CQ114" s="323"/>
      <c r="CR114" s="323"/>
      <c r="CS114" s="323"/>
      <c r="CT114" s="323"/>
      <c r="CU114" s="323"/>
      <c r="CV114" s="323"/>
      <c r="CW114" s="323"/>
      <c r="CX114" s="323"/>
      <c r="CY114" s="323"/>
      <c r="CZ114" s="323"/>
      <c r="DA114" s="323"/>
      <c r="DB114" s="323"/>
      <c r="DC114" s="323"/>
      <c r="DD114" s="323"/>
      <c r="DE114" s="323"/>
      <c r="DF114" s="323"/>
      <c r="DG114" s="323"/>
      <c r="DH114" s="323"/>
      <c r="DI114" s="323"/>
      <c r="DJ114" s="323"/>
      <c r="DK114" s="323"/>
      <c r="DL114" s="323"/>
      <c r="DM114" s="323"/>
      <c r="DN114" s="323"/>
      <c r="DO114" s="323"/>
      <c r="DP114" s="323"/>
      <c r="DQ114" s="323"/>
      <c r="DR114" s="323"/>
      <c r="DS114" s="323"/>
      <c r="DT114" s="323"/>
      <c r="DU114" s="323"/>
      <c r="DV114" s="323"/>
      <c r="DW114" s="323"/>
      <c r="DX114" s="323"/>
      <c r="DY114" s="323"/>
    </row>
    <row r="115" spans="1:129" s="333" customFormat="1">
      <c r="B115" s="624" t="str">
        <f>B44</f>
        <v>Insurance</v>
      </c>
      <c r="D115" s="333">
        <f t="shared" ref="D115:O115" si="35">-$C48/12</f>
        <v>0</v>
      </c>
      <c r="E115" s="333">
        <f t="shared" si="35"/>
        <v>0</v>
      </c>
      <c r="F115" s="333">
        <f t="shared" si="35"/>
        <v>0</v>
      </c>
      <c r="G115" s="333">
        <f t="shared" si="35"/>
        <v>0</v>
      </c>
      <c r="H115" s="333">
        <f t="shared" si="35"/>
        <v>0</v>
      </c>
      <c r="I115" s="333">
        <f t="shared" si="35"/>
        <v>0</v>
      </c>
      <c r="J115" s="333">
        <f t="shared" si="35"/>
        <v>0</v>
      </c>
      <c r="K115" s="333">
        <f t="shared" si="35"/>
        <v>0</v>
      </c>
      <c r="L115" s="333">
        <f t="shared" si="35"/>
        <v>0</v>
      </c>
      <c r="M115" s="333">
        <f t="shared" si="35"/>
        <v>0</v>
      </c>
      <c r="N115" s="333">
        <f t="shared" si="35"/>
        <v>0</v>
      </c>
      <c r="O115" s="333">
        <f t="shared" si="35"/>
        <v>0</v>
      </c>
      <c r="P115" s="333">
        <f t="shared" ref="P115:AA115" si="36">-$D48/12</f>
        <v>0</v>
      </c>
      <c r="Q115" s="333">
        <f t="shared" si="36"/>
        <v>0</v>
      </c>
      <c r="R115" s="333">
        <f t="shared" si="36"/>
        <v>0</v>
      </c>
      <c r="S115" s="333">
        <f t="shared" si="36"/>
        <v>0</v>
      </c>
      <c r="T115" s="333">
        <f t="shared" si="36"/>
        <v>0</v>
      </c>
      <c r="U115" s="333">
        <f t="shared" si="36"/>
        <v>0</v>
      </c>
      <c r="V115" s="333">
        <f t="shared" si="36"/>
        <v>0</v>
      </c>
      <c r="W115" s="333">
        <f t="shared" si="36"/>
        <v>0</v>
      </c>
      <c r="X115" s="333">
        <f t="shared" si="36"/>
        <v>0</v>
      </c>
      <c r="Y115" s="333">
        <f t="shared" si="36"/>
        <v>0</v>
      </c>
      <c r="Z115" s="333">
        <f t="shared" si="36"/>
        <v>0</v>
      </c>
      <c r="AA115" s="333">
        <f t="shared" si="36"/>
        <v>0</v>
      </c>
      <c r="AB115" s="333">
        <f t="shared" ref="AB115:AM115" si="37">-$E48/12</f>
        <v>-125</v>
      </c>
      <c r="AC115" s="333">
        <f t="shared" si="37"/>
        <v>-125</v>
      </c>
      <c r="AD115" s="333">
        <f t="shared" si="37"/>
        <v>-125</v>
      </c>
      <c r="AE115" s="333">
        <f t="shared" si="37"/>
        <v>-125</v>
      </c>
      <c r="AF115" s="333">
        <f t="shared" si="37"/>
        <v>-125</v>
      </c>
      <c r="AG115" s="333">
        <f t="shared" si="37"/>
        <v>-125</v>
      </c>
      <c r="AH115" s="333">
        <f t="shared" si="37"/>
        <v>-125</v>
      </c>
      <c r="AI115" s="333">
        <f t="shared" si="37"/>
        <v>-125</v>
      </c>
      <c r="AJ115" s="333">
        <f t="shared" si="37"/>
        <v>-125</v>
      </c>
      <c r="AK115" s="333">
        <f t="shared" si="37"/>
        <v>-125</v>
      </c>
      <c r="AL115" s="333">
        <f t="shared" si="37"/>
        <v>-125</v>
      </c>
      <c r="AM115" s="333">
        <f t="shared" si="37"/>
        <v>-125</v>
      </c>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s="323"/>
      <c r="BO115" s="323"/>
      <c r="BP115" s="323"/>
      <c r="BQ115" s="323"/>
      <c r="BR115" s="323"/>
      <c r="BS115" s="323"/>
      <c r="BT115" s="323"/>
      <c r="BU115" s="323"/>
      <c r="BV115" s="323"/>
      <c r="BW115" s="323"/>
      <c r="BX115" s="323"/>
      <c r="BY115" s="323"/>
      <c r="BZ115" s="323"/>
      <c r="CA115" s="323"/>
      <c r="CB115" s="323"/>
      <c r="CC115" s="323"/>
      <c r="CD115" s="323"/>
      <c r="CE115" s="323"/>
      <c r="CF115" s="323"/>
      <c r="CG115" s="323"/>
      <c r="CH115" s="323"/>
      <c r="CI115" s="323"/>
      <c r="CJ115" s="323"/>
      <c r="CK115" s="323"/>
      <c r="CL115" s="323"/>
      <c r="CM115" s="323"/>
      <c r="CN115" s="323"/>
      <c r="CO115" s="323"/>
      <c r="CP115" s="323"/>
      <c r="CQ115" s="323"/>
      <c r="CR115" s="323"/>
      <c r="CS115" s="323"/>
      <c r="CT115" s="323"/>
      <c r="CU115" s="323"/>
      <c r="CV115" s="323"/>
      <c r="CW115" s="323"/>
      <c r="CX115" s="323"/>
      <c r="CY115" s="323"/>
      <c r="CZ115" s="323"/>
      <c r="DA115" s="323"/>
      <c r="DB115" s="323"/>
      <c r="DC115" s="323"/>
      <c r="DD115" s="323"/>
      <c r="DE115" s="323"/>
      <c r="DF115" s="323"/>
      <c r="DG115" s="323"/>
      <c r="DH115" s="323"/>
      <c r="DI115" s="323"/>
      <c r="DJ115" s="323"/>
      <c r="DK115" s="323"/>
      <c r="DL115" s="323"/>
      <c r="DM115" s="323"/>
      <c r="DN115" s="323"/>
      <c r="DO115" s="323"/>
      <c r="DP115" s="323"/>
      <c r="DQ115" s="323"/>
      <c r="DR115" s="323"/>
      <c r="DS115" s="323"/>
      <c r="DT115" s="323"/>
      <c r="DU115" s="323"/>
      <c r="DV115" s="323"/>
      <c r="DW115" s="323"/>
      <c r="DX115" s="323"/>
      <c r="DY115" s="323"/>
    </row>
    <row r="116" spans="1:129" s="323" customFormat="1">
      <c r="A116" s="608"/>
      <c r="B116" s="624" t="str">
        <f>B37</f>
        <v xml:space="preserve">Security </v>
      </c>
      <c r="D116" s="323">
        <f t="shared" ref="D116:O116" si="38">-$C$41/12</f>
        <v>0</v>
      </c>
      <c r="E116" s="323">
        <f t="shared" si="38"/>
        <v>0</v>
      </c>
      <c r="F116" s="323">
        <f t="shared" si="38"/>
        <v>0</v>
      </c>
      <c r="G116" s="323">
        <f t="shared" si="38"/>
        <v>0</v>
      </c>
      <c r="H116" s="323">
        <f t="shared" si="38"/>
        <v>0</v>
      </c>
      <c r="I116" s="323">
        <f t="shared" si="38"/>
        <v>0</v>
      </c>
      <c r="J116" s="323">
        <f t="shared" si="38"/>
        <v>0</v>
      </c>
      <c r="K116" s="323">
        <f t="shared" si="38"/>
        <v>0</v>
      </c>
      <c r="L116" s="323">
        <f t="shared" si="38"/>
        <v>0</v>
      </c>
      <c r="M116" s="323">
        <f t="shared" si="38"/>
        <v>0</v>
      </c>
      <c r="N116" s="323">
        <f t="shared" si="38"/>
        <v>0</v>
      </c>
      <c r="O116" s="323">
        <f t="shared" si="38"/>
        <v>0</v>
      </c>
      <c r="P116" s="323">
        <f t="shared" ref="P116:AA116" si="39">-$D$41/12</f>
        <v>0</v>
      </c>
      <c r="Q116" s="323">
        <f t="shared" si="39"/>
        <v>0</v>
      </c>
      <c r="R116" s="323">
        <f t="shared" si="39"/>
        <v>0</v>
      </c>
      <c r="S116" s="323">
        <f t="shared" si="39"/>
        <v>0</v>
      </c>
      <c r="T116" s="323">
        <f t="shared" si="39"/>
        <v>0</v>
      </c>
      <c r="U116" s="323">
        <f t="shared" si="39"/>
        <v>0</v>
      </c>
      <c r="V116" s="323">
        <f t="shared" si="39"/>
        <v>0</v>
      </c>
      <c r="W116" s="323">
        <f t="shared" si="39"/>
        <v>0</v>
      </c>
      <c r="X116" s="323">
        <f t="shared" si="39"/>
        <v>0</v>
      </c>
      <c r="Y116" s="323">
        <f t="shared" si="39"/>
        <v>0</v>
      </c>
      <c r="Z116" s="323">
        <f t="shared" si="39"/>
        <v>0</v>
      </c>
      <c r="AA116" s="323">
        <f t="shared" si="39"/>
        <v>0</v>
      </c>
      <c r="AB116" s="323">
        <f t="shared" ref="AB116:AM116" si="40">-$E$41/12</f>
        <v>-62.5</v>
      </c>
      <c r="AC116" s="323">
        <f t="shared" si="40"/>
        <v>-62.5</v>
      </c>
      <c r="AD116" s="323">
        <f t="shared" si="40"/>
        <v>-62.5</v>
      </c>
      <c r="AE116" s="323">
        <f t="shared" si="40"/>
        <v>-62.5</v>
      </c>
      <c r="AF116" s="323">
        <f t="shared" si="40"/>
        <v>-62.5</v>
      </c>
      <c r="AG116" s="323">
        <f t="shared" si="40"/>
        <v>-62.5</v>
      </c>
      <c r="AH116" s="323">
        <f t="shared" si="40"/>
        <v>-62.5</v>
      </c>
      <c r="AI116" s="323">
        <f t="shared" si="40"/>
        <v>-62.5</v>
      </c>
      <c r="AJ116" s="323">
        <f t="shared" si="40"/>
        <v>-62.5</v>
      </c>
      <c r="AK116" s="323">
        <f t="shared" si="40"/>
        <v>-62.5</v>
      </c>
      <c r="AL116" s="323">
        <f t="shared" si="40"/>
        <v>-62.5</v>
      </c>
      <c r="AM116" s="323">
        <f t="shared" si="40"/>
        <v>-62.5</v>
      </c>
    </row>
    <row r="117" spans="1:129" s="618" customFormat="1">
      <c r="A117" s="608"/>
      <c r="B117" s="628" t="s">
        <v>249</v>
      </c>
      <c r="D117" s="618">
        <f t="shared" ref="D117:AM117" si="41">SUM(D109:D116)</f>
        <v>0</v>
      </c>
      <c r="E117" s="618">
        <f t="shared" si="41"/>
        <v>0</v>
      </c>
      <c r="F117" s="618">
        <f t="shared" si="41"/>
        <v>0</v>
      </c>
      <c r="G117" s="618">
        <f t="shared" si="41"/>
        <v>0</v>
      </c>
      <c r="H117" s="618">
        <f t="shared" si="41"/>
        <v>0</v>
      </c>
      <c r="I117" s="618">
        <f t="shared" si="41"/>
        <v>0</v>
      </c>
      <c r="J117" s="618">
        <f t="shared" si="41"/>
        <v>0</v>
      </c>
      <c r="K117" s="618">
        <f t="shared" si="41"/>
        <v>0</v>
      </c>
      <c r="L117" s="618">
        <f t="shared" si="41"/>
        <v>0</v>
      </c>
      <c r="M117" s="618">
        <f t="shared" si="41"/>
        <v>0</v>
      </c>
      <c r="N117" s="618">
        <f t="shared" si="41"/>
        <v>0</v>
      </c>
      <c r="O117" s="618">
        <f t="shared" si="41"/>
        <v>0</v>
      </c>
      <c r="P117" s="618">
        <f t="shared" si="41"/>
        <v>0</v>
      </c>
      <c r="Q117" s="618">
        <f t="shared" si="41"/>
        <v>0</v>
      </c>
      <c r="R117" s="618">
        <f t="shared" si="41"/>
        <v>0</v>
      </c>
      <c r="S117" s="618">
        <f t="shared" si="41"/>
        <v>0</v>
      </c>
      <c r="T117" s="618">
        <f t="shared" si="41"/>
        <v>0</v>
      </c>
      <c r="U117" s="618">
        <f t="shared" si="41"/>
        <v>0</v>
      </c>
      <c r="V117" s="618">
        <f t="shared" si="41"/>
        <v>0</v>
      </c>
      <c r="W117" s="618">
        <f t="shared" si="41"/>
        <v>0</v>
      </c>
      <c r="X117" s="618">
        <f t="shared" si="41"/>
        <v>0</v>
      </c>
      <c r="Y117" s="618">
        <f t="shared" si="41"/>
        <v>0</v>
      </c>
      <c r="Z117" s="618">
        <f t="shared" si="41"/>
        <v>0</v>
      </c>
      <c r="AA117" s="618">
        <f t="shared" si="41"/>
        <v>0</v>
      </c>
      <c r="AB117" s="618">
        <f t="shared" si="41"/>
        <v>-35053.333333333336</v>
      </c>
      <c r="AC117" s="618">
        <f t="shared" si="41"/>
        <v>-35053.333333333336</v>
      </c>
      <c r="AD117" s="618">
        <f t="shared" si="41"/>
        <v>-35053.333333333336</v>
      </c>
      <c r="AE117" s="618">
        <f t="shared" si="41"/>
        <v>-35053.333333333336</v>
      </c>
      <c r="AF117" s="618">
        <f t="shared" si="41"/>
        <v>-35053.333333333336</v>
      </c>
      <c r="AG117" s="618">
        <f t="shared" si="41"/>
        <v>-35053.333333333336</v>
      </c>
      <c r="AH117" s="618">
        <f t="shared" si="41"/>
        <v>-35053.333333333336</v>
      </c>
      <c r="AI117" s="618">
        <f t="shared" si="41"/>
        <v>-35053.333333333336</v>
      </c>
      <c r="AJ117" s="618">
        <f t="shared" si="41"/>
        <v>-35053.333333333336</v>
      </c>
      <c r="AK117" s="618">
        <f t="shared" si="41"/>
        <v>-35053.333333333336</v>
      </c>
      <c r="AL117" s="618">
        <f t="shared" si="41"/>
        <v>-35053.333333333336</v>
      </c>
      <c r="AM117" s="618">
        <f t="shared" si="41"/>
        <v>-35053.333333333336</v>
      </c>
      <c r="AN117" s="345"/>
      <c r="AO117" s="345"/>
      <c r="AP117" s="345"/>
      <c r="AQ117" s="345"/>
      <c r="AR117" s="345"/>
      <c r="AS117" s="345"/>
      <c r="AT117" s="345"/>
      <c r="AU117" s="345"/>
      <c r="AV117" s="345"/>
      <c r="AW117" s="345"/>
      <c r="AX117" s="345"/>
      <c r="AY117" s="345"/>
      <c r="AZ117" s="345"/>
      <c r="BA117" s="345"/>
      <c r="BB117" s="345"/>
      <c r="BC117" s="345"/>
      <c r="BD117" s="345"/>
      <c r="BE117" s="345"/>
      <c r="BF117" s="345"/>
      <c r="BG117" s="345"/>
      <c r="BH117" s="345"/>
      <c r="BI117" s="345"/>
      <c r="BJ117" s="345"/>
      <c r="BK117" s="345"/>
      <c r="BL117" s="345"/>
      <c r="BM117" s="345"/>
      <c r="BN117" s="345"/>
      <c r="BO117" s="345"/>
      <c r="BP117" s="345"/>
      <c r="BQ117" s="345"/>
      <c r="BR117" s="345"/>
      <c r="BS117" s="345"/>
      <c r="BT117" s="345"/>
      <c r="BU117" s="345"/>
      <c r="BV117" s="345"/>
      <c r="BW117" s="345"/>
      <c r="BX117" s="345"/>
      <c r="BY117" s="345"/>
      <c r="BZ117" s="345"/>
      <c r="CA117" s="345"/>
      <c r="CB117" s="345"/>
      <c r="CC117" s="345"/>
      <c r="CD117" s="345"/>
      <c r="CE117" s="345"/>
      <c r="CF117" s="345"/>
      <c r="CG117" s="345"/>
      <c r="CH117" s="345"/>
      <c r="CI117" s="345"/>
      <c r="CJ117" s="345"/>
      <c r="CK117" s="345"/>
      <c r="CL117" s="345"/>
      <c r="CM117" s="345"/>
      <c r="CN117" s="345"/>
      <c r="CO117" s="345"/>
      <c r="CP117" s="345"/>
      <c r="CQ117" s="345"/>
      <c r="CR117" s="345"/>
      <c r="CS117" s="345"/>
      <c r="CT117" s="345"/>
      <c r="CU117" s="345"/>
      <c r="CV117" s="345"/>
      <c r="CW117" s="345"/>
      <c r="CX117" s="345"/>
      <c r="CY117" s="345"/>
      <c r="CZ117" s="345"/>
      <c r="DA117" s="345"/>
      <c r="DB117" s="345"/>
      <c r="DC117" s="345"/>
      <c r="DD117" s="345"/>
      <c r="DE117" s="345"/>
      <c r="DF117" s="345"/>
      <c r="DG117" s="345"/>
      <c r="DH117" s="345"/>
      <c r="DI117" s="345"/>
      <c r="DJ117" s="345"/>
      <c r="DK117" s="345"/>
      <c r="DL117" s="345"/>
      <c r="DM117" s="345"/>
      <c r="DN117" s="345"/>
      <c r="DO117" s="345"/>
      <c r="DP117" s="345"/>
      <c r="DQ117" s="345"/>
      <c r="DR117" s="345"/>
      <c r="DS117" s="345"/>
      <c r="DT117" s="345"/>
      <c r="DU117" s="345"/>
      <c r="DV117" s="345"/>
      <c r="DW117" s="345"/>
      <c r="DX117" s="345"/>
      <c r="DY117" s="345"/>
    </row>
    <row r="118" spans="1:129" s="333" customFormat="1">
      <c r="B118" s="624"/>
      <c r="O118" s="597"/>
      <c r="P118" s="598"/>
      <c r="Q118" s="323"/>
      <c r="R118" s="323"/>
      <c r="S118" s="323"/>
      <c r="T118" s="323"/>
      <c r="U118" s="323"/>
      <c r="V118" s="323"/>
      <c r="W118" s="323"/>
      <c r="X118" s="323"/>
      <c r="Y118" s="323"/>
      <c r="Z118" s="323"/>
      <c r="AA118" s="599"/>
      <c r="AB118" s="598"/>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c r="BN118" s="323"/>
      <c r="BO118" s="323"/>
      <c r="BP118" s="323"/>
      <c r="BQ118" s="323"/>
      <c r="BR118" s="323"/>
      <c r="BS118" s="323"/>
      <c r="BT118" s="323"/>
      <c r="BU118" s="323"/>
      <c r="BV118" s="323"/>
      <c r="BW118" s="323"/>
      <c r="BX118" s="323"/>
      <c r="BY118" s="323"/>
      <c r="BZ118" s="323"/>
      <c r="CA118" s="323"/>
      <c r="CB118" s="323"/>
      <c r="CC118" s="323"/>
      <c r="CD118" s="323"/>
      <c r="CE118" s="323"/>
      <c r="CF118" s="323"/>
      <c r="CG118" s="323"/>
      <c r="CH118" s="323"/>
      <c r="CI118" s="323"/>
      <c r="CJ118" s="323"/>
      <c r="CK118" s="323"/>
      <c r="CL118" s="323"/>
      <c r="CM118" s="323"/>
      <c r="CN118" s="323"/>
      <c r="CO118" s="323"/>
      <c r="CP118" s="323"/>
      <c r="CQ118" s="323"/>
      <c r="CR118" s="323"/>
      <c r="CS118" s="323"/>
      <c r="CT118" s="323"/>
      <c r="CU118" s="323"/>
      <c r="CV118" s="323"/>
      <c r="CW118" s="323"/>
      <c r="CX118" s="323"/>
      <c r="CY118" s="323"/>
      <c r="CZ118" s="323"/>
      <c r="DA118" s="323"/>
      <c r="DB118" s="323"/>
      <c r="DC118" s="323"/>
      <c r="DD118" s="323"/>
      <c r="DE118" s="323"/>
      <c r="DF118" s="323"/>
      <c r="DG118" s="323"/>
      <c r="DH118" s="323"/>
      <c r="DI118" s="323"/>
      <c r="DJ118" s="323"/>
      <c r="DK118" s="323"/>
      <c r="DL118" s="323"/>
      <c r="DM118" s="323"/>
      <c r="DN118" s="323"/>
      <c r="DO118" s="323"/>
      <c r="DP118" s="323"/>
      <c r="DQ118" s="323"/>
      <c r="DR118" s="323"/>
      <c r="DS118" s="323"/>
      <c r="DT118" s="323"/>
      <c r="DU118" s="323"/>
      <c r="DV118" s="323"/>
      <c r="DW118" s="323"/>
      <c r="DX118" s="323"/>
      <c r="DY118" s="323"/>
    </row>
    <row r="119" spans="1:129" s="621" customFormat="1">
      <c r="B119" s="622" t="s">
        <v>66</v>
      </c>
      <c r="D119" s="621">
        <f t="shared" ref="D119:AM119" si="42">D106+D117</f>
        <v>0</v>
      </c>
      <c r="E119" s="621">
        <f t="shared" si="42"/>
        <v>0</v>
      </c>
      <c r="F119" s="621">
        <f t="shared" si="42"/>
        <v>0</v>
      </c>
      <c r="G119" s="621">
        <f t="shared" si="42"/>
        <v>0</v>
      </c>
      <c r="H119" s="621">
        <f t="shared" si="42"/>
        <v>0</v>
      </c>
      <c r="I119" s="621">
        <f t="shared" si="42"/>
        <v>0</v>
      </c>
      <c r="J119" s="621">
        <f t="shared" si="42"/>
        <v>0</v>
      </c>
      <c r="K119" s="621">
        <f t="shared" si="42"/>
        <v>0</v>
      </c>
      <c r="L119" s="621">
        <f t="shared" si="42"/>
        <v>0</v>
      </c>
      <c r="M119" s="621">
        <f t="shared" si="42"/>
        <v>0</v>
      </c>
      <c r="N119" s="621">
        <f t="shared" si="42"/>
        <v>0</v>
      </c>
      <c r="O119" s="621">
        <f t="shared" si="42"/>
        <v>0</v>
      </c>
      <c r="P119" s="621">
        <f t="shared" si="42"/>
        <v>0</v>
      </c>
      <c r="Q119" s="621">
        <f t="shared" si="42"/>
        <v>0</v>
      </c>
      <c r="R119" s="621">
        <f t="shared" si="42"/>
        <v>0</v>
      </c>
      <c r="S119" s="621">
        <f t="shared" si="42"/>
        <v>0</v>
      </c>
      <c r="T119" s="621">
        <f t="shared" si="42"/>
        <v>0</v>
      </c>
      <c r="U119" s="621">
        <f t="shared" si="42"/>
        <v>0</v>
      </c>
      <c r="V119" s="621">
        <f t="shared" si="42"/>
        <v>0</v>
      </c>
      <c r="W119" s="621">
        <f t="shared" si="42"/>
        <v>0</v>
      </c>
      <c r="X119" s="621">
        <f t="shared" si="42"/>
        <v>0</v>
      </c>
      <c r="Y119" s="621">
        <f t="shared" si="42"/>
        <v>0</v>
      </c>
      <c r="Z119" s="621">
        <f t="shared" si="42"/>
        <v>0</v>
      </c>
      <c r="AA119" s="621">
        <f t="shared" si="42"/>
        <v>0</v>
      </c>
      <c r="AB119" s="621">
        <f t="shared" si="42"/>
        <v>-14818.533333333333</v>
      </c>
      <c r="AC119" s="621">
        <f t="shared" si="42"/>
        <v>-11396.173333333332</v>
      </c>
      <c r="AD119" s="621">
        <f t="shared" si="42"/>
        <v>-7408.2493333333332</v>
      </c>
      <c r="AE119" s="621">
        <f t="shared" si="42"/>
        <v>-2430.8593333333301</v>
      </c>
      <c r="AF119" s="621">
        <f t="shared" si="42"/>
        <v>3337.8166666666657</v>
      </c>
      <c r="AG119" s="621">
        <f t="shared" si="42"/>
        <v>9783.6586666666699</v>
      </c>
      <c r="AH119" s="621">
        <f t="shared" si="42"/>
        <v>10114.397066666672</v>
      </c>
      <c r="AI119" s="621">
        <f t="shared" si="42"/>
        <v>16062.171766666666</v>
      </c>
      <c r="AJ119" s="621">
        <f t="shared" si="42"/>
        <v>32563.026666666679</v>
      </c>
      <c r="AK119" s="621">
        <f t="shared" si="42"/>
        <v>44626.894666666682</v>
      </c>
      <c r="AL119" s="621">
        <f t="shared" si="42"/>
        <v>54555.926626666675</v>
      </c>
      <c r="AM119" s="621">
        <f t="shared" si="42"/>
        <v>63358.828266666686</v>
      </c>
      <c r="AN119" s="345"/>
      <c r="AO119" s="345"/>
      <c r="AP119" s="345"/>
      <c r="AQ119" s="345"/>
      <c r="AR119" s="345"/>
      <c r="AS119" s="345"/>
      <c r="AT119" s="345"/>
      <c r="AU119" s="345"/>
      <c r="AV119" s="345"/>
      <c r="AW119" s="345"/>
      <c r="AX119" s="345"/>
      <c r="AY119" s="345"/>
      <c r="AZ119" s="345"/>
      <c r="BA119" s="345"/>
      <c r="BB119" s="345"/>
      <c r="BC119" s="345"/>
      <c r="BD119" s="345"/>
      <c r="BE119" s="345"/>
      <c r="BF119" s="345"/>
      <c r="BG119" s="345"/>
      <c r="BH119" s="345"/>
      <c r="BI119" s="345"/>
      <c r="BJ119" s="345"/>
      <c r="BK119" s="345"/>
      <c r="BL119" s="345"/>
      <c r="BM119" s="345"/>
      <c r="BN119" s="345"/>
      <c r="BO119" s="345"/>
      <c r="BP119" s="345"/>
      <c r="BQ119" s="345"/>
      <c r="BR119" s="345"/>
      <c r="BS119" s="345"/>
      <c r="BT119" s="345"/>
      <c r="BU119" s="345"/>
      <c r="BV119" s="345"/>
      <c r="BW119" s="345"/>
      <c r="BX119" s="345"/>
      <c r="BY119" s="345"/>
      <c r="BZ119" s="345"/>
      <c r="CA119" s="345"/>
      <c r="CB119" s="345"/>
      <c r="CC119" s="345"/>
      <c r="CD119" s="345"/>
      <c r="CE119" s="345"/>
      <c r="CF119" s="345"/>
      <c r="CG119" s="345"/>
      <c r="CH119" s="345"/>
      <c r="CI119" s="345"/>
      <c r="CJ119" s="345"/>
      <c r="CK119" s="345"/>
      <c r="CL119" s="345"/>
      <c r="CM119" s="345"/>
      <c r="CN119" s="345"/>
      <c r="CO119" s="345"/>
      <c r="CP119" s="345"/>
      <c r="CQ119" s="345"/>
      <c r="CR119" s="345"/>
      <c r="CS119" s="345"/>
      <c r="CT119" s="345"/>
      <c r="CU119" s="345"/>
      <c r="CV119" s="345"/>
      <c r="CW119" s="345"/>
      <c r="CX119" s="345"/>
      <c r="CY119" s="345"/>
      <c r="CZ119" s="345"/>
      <c r="DA119" s="345"/>
      <c r="DB119" s="345"/>
      <c r="DC119" s="345"/>
      <c r="DD119" s="345"/>
      <c r="DE119" s="345"/>
      <c r="DF119" s="345"/>
      <c r="DG119" s="345"/>
      <c r="DH119" s="345"/>
      <c r="DI119" s="345"/>
      <c r="DJ119" s="345"/>
      <c r="DK119" s="345"/>
      <c r="DL119" s="345"/>
      <c r="DM119" s="345"/>
      <c r="DN119" s="345"/>
      <c r="DO119" s="345"/>
      <c r="DP119" s="345"/>
      <c r="DQ119" s="345"/>
      <c r="DR119" s="345"/>
      <c r="DS119" s="345"/>
      <c r="DT119" s="345"/>
      <c r="DU119" s="345"/>
      <c r="DV119" s="345"/>
      <c r="DW119" s="345"/>
      <c r="DX119" s="345"/>
      <c r="DY119" s="345"/>
    </row>
    <row r="120" spans="1:129" s="333" customFormat="1">
      <c r="B120" s="624"/>
      <c r="O120" s="597"/>
      <c r="P120" s="598"/>
      <c r="Q120" s="323"/>
      <c r="R120" s="323"/>
      <c r="S120" s="323"/>
      <c r="T120" s="323"/>
      <c r="U120" s="323"/>
      <c r="V120" s="323"/>
      <c r="W120" s="323"/>
      <c r="X120" s="323"/>
      <c r="Y120" s="323"/>
      <c r="Z120" s="323"/>
      <c r="AA120" s="599"/>
      <c r="AB120" s="598"/>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c r="BN120" s="323"/>
      <c r="BO120" s="323"/>
      <c r="BP120" s="323"/>
      <c r="BQ120" s="323"/>
      <c r="BR120" s="323"/>
      <c r="BS120" s="323"/>
      <c r="BT120" s="323"/>
      <c r="BU120" s="323"/>
      <c r="BV120" s="323"/>
      <c r="BW120" s="323"/>
      <c r="BX120" s="323"/>
      <c r="BY120" s="323"/>
      <c r="BZ120" s="323"/>
      <c r="CA120" s="323"/>
      <c r="CB120" s="323"/>
      <c r="CC120" s="323"/>
      <c r="CD120" s="323"/>
      <c r="CE120" s="323"/>
      <c r="CF120" s="323"/>
      <c r="CG120" s="323"/>
      <c r="CH120" s="323"/>
      <c r="CI120" s="323"/>
      <c r="CJ120" s="323"/>
      <c r="CK120" s="323"/>
      <c r="CL120" s="323"/>
      <c r="CM120" s="323"/>
      <c r="CN120" s="323"/>
      <c r="CO120" s="323"/>
      <c r="CP120" s="323"/>
      <c r="CQ120" s="323"/>
      <c r="CR120" s="323"/>
      <c r="CS120" s="323"/>
      <c r="CT120" s="323"/>
      <c r="CU120" s="323"/>
      <c r="CV120" s="323"/>
      <c r="CW120" s="323"/>
      <c r="CX120" s="323"/>
      <c r="CY120" s="323"/>
      <c r="CZ120" s="323"/>
      <c r="DA120" s="323"/>
      <c r="DB120" s="323"/>
      <c r="DC120" s="323"/>
      <c r="DD120" s="323"/>
      <c r="DE120" s="323"/>
      <c r="DF120" s="323"/>
      <c r="DG120" s="323"/>
      <c r="DH120" s="323"/>
      <c r="DI120" s="323"/>
      <c r="DJ120" s="323"/>
      <c r="DK120" s="323"/>
      <c r="DL120" s="323"/>
      <c r="DM120" s="323"/>
      <c r="DN120" s="323"/>
      <c r="DO120" s="323"/>
      <c r="DP120" s="323"/>
      <c r="DQ120" s="323"/>
      <c r="DR120" s="323"/>
      <c r="DS120" s="323"/>
      <c r="DT120" s="323"/>
      <c r="DU120" s="323"/>
      <c r="DV120" s="323"/>
      <c r="DW120" s="323"/>
      <c r="DX120" s="323"/>
      <c r="DY120" s="323"/>
    </row>
    <row r="121" spans="1:129" s="333" customFormat="1">
      <c r="B121" s="624" t="s">
        <v>31</v>
      </c>
      <c r="D121" s="333">
        <f>D239</f>
        <v>0</v>
      </c>
      <c r="E121" s="333">
        <f t="shared" ref="E121:AM121" si="43">E239</f>
        <v>0</v>
      </c>
      <c r="F121" s="333">
        <f t="shared" si="43"/>
        <v>0</v>
      </c>
      <c r="G121" s="333">
        <f t="shared" si="43"/>
        <v>0</v>
      </c>
      <c r="H121" s="333">
        <f t="shared" si="43"/>
        <v>0</v>
      </c>
      <c r="I121" s="333">
        <f t="shared" si="43"/>
        <v>0</v>
      </c>
      <c r="J121" s="333">
        <f t="shared" si="43"/>
        <v>0</v>
      </c>
      <c r="K121" s="333">
        <f t="shared" si="43"/>
        <v>0</v>
      </c>
      <c r="L121" s="333">
        <f t="shared" si="43"/>
        <v>0</v>
      </c>
      <c r="M121" s="333">
        <f t="shared" si="43"/>
        <v>0</v>
      </c>
      <c r="N121" s="333">
        <f t="shared" si="43"/>
        <v>0</v>
      </c>
      <c r="O121" s="597">
        <f t="shared" si="43"/>
        <v>0</v>
      </c>
      <c r="P121" s="333">
        <f t="shared" si="43"/>
        <v>0</v>
      </c>
      <c r="Q121" s="333">
        <f t="shared" si="43"/>
        <v>0</v>
      </c>
      <c r="R121" s="333">
        <f t="shared" si="43"/>
        <v>0</v>
      </c>
      <c r="S121" s="333">
        <f t="shared" si="43"/>
        <v>0</v>
      </c>
      <c r="T121" s="333">
        <f t="shared" si="43"/>
        <v>0</v>
      </c>
      <c r="U121" s="333">
        <f t="shared" si="43"/>
        <v>0</v>
      </c>
      <c r="V121" s="333">
        <f t="shared" si="43"/>
        <v>0</v>
      </c>
      <c r="W121" s="333">
        <f t="shared" si="43"/>
        <v>0</v>
      </c>
      <c r="X121" s="333">
        <f t="shared" si="43"/>
        <v>0</v>
      </c>
      <c r="Y121" s="333">
        <f t="shared" si="43"/>
        <v>0</v>
      </c>
      <c r="Z121" s="333">
        <f t="shared" si="43"/>
        <v>0</v>
      </c>
      <c r="AA121" s="597">
        <f t="shared" si="43"/>
        <v>0</v>
      </c>
      <c r="AB121" s="333">
        <f>AB239</f>
        <v>-2599.3452380952385</v>
      </c>
      <c r="AC121" s="333">
        <f t="shared" si="43"/>
        <v>-2599.3452380952385</v>
      </c>
      <c r="AD121" s="333">
        <f t="shared" si="43"/>
        <v>-2599.3452380952385</v>
      </c>
      <c r="AE121" s="333">
        <f t="shared" si="43"/>
        <v>-2599.3452380952385</v>
      </c>
      <c r="AF121" s="333">
        <f t="shared" si="43"/>
        <v>-2599.3452380952385</v>
      </c>
      <c r="AG121" s="333">
        <f t="shared" si="43"/>
        <v>-2599.3452380952385</v>
      </c>
      <c r="AH121" s="333">
        <f t="shared" si="43"/>
        <v>-2599.3452380952385</v>
      </c>
      <c r="AI121" s="333">
        <f t="shared" si="43"/>
        <v>-2599.3452380952385</v>
      </c>
      <c r="AJ121" s="333">
        <f t="shared" si="43"/>
        <v>-2599.3452380952385</v>
      </c>
      <c r="AK121" s="333">
        <f t="shared" si="43"/>
        <v>-2599.3452380952385</v>
      </c>
      <c r="AL121" s="333">
        <f t="shared" si="43"/>
        <v>-2599.3452380952385</v>
      </c>
      <c r="AM121" s="333">
        <f t="shared" si="43"/>
        <v>-2599.3452380952385</v>
      </c>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c r="BN121" s="323"/>
      <c r="BO121" s="323"/>
      <c r="BP121" s="323"/>
      <c r="BQ121" s="323"/>
      <c r="BR121" s="323"/>
      <c r="BS121" s="323"/>
      <c r="BT121" s="323"/>
      <c r="BU121" s="323"/>
      <c r="BV121" s="323"/>
      <c r="BW121" s="323"/>
      <c r="BX121" s="323"/>
      <c r="BY121" s="323"/>
      <c r="BZ121" s="323"/>
      <c r="CA121" s="323"/>
      <c r="CB121" s="323"/>
      <c r="CC121" s="323"/>
      <c r="CD121" s="323"/>
      <c r="CE121" s="323"/>
      <c r="CF121" s="323"/>
      <c r="CG121" s="323"/>
      <c r="CH121" s="323"/>
      <c r="CI121" s="323"/>
      <c r="CJ121" s="323"/>
      <c r="CK121" s="323"/>
      <c r="CL121" s="323"/>
      <c r="CM121" s="323"/>
      <c r="CN121" s="323"/>
      <c r="CO121" s="323"/>
      <c r="CP121" s="323"/>
      <c r="CQ121" s="323"/>
      <c r="CR121" s="323"/>
      <c r="CS121" s="323"/>
      <c r="CT121" s="323"/>
      <c r="CU121" s="323"/>
      <c r="CV121" s="323"/>
      <c r="CW121" s="323"/>
      <c r="CX121" s="323"/>
      <c r="CY121" s="323"/>
      <c r="CZ121" s="323"/>
      <c r="DA121" s="323"/>
      <c r="DB121" s="323"/>
      <c r="DC121" s="323"/>
      <c r="DD121" s="323"/>
      <c r="DE121" s="323"/>
      <c r="DF121" s="323"/>
      <c r="DG121" s="323"/>
      <c r="DH121" s="323"/>
      <c r="DI121" s="323"/>
      <c r="DJ121" s="323"/>
      <c r="DK121" s="323"/>
      <c r="DL121" s="323"/>
      <c r="DM121" s="323"/>
      <c r="DN121" s="323"/>
      <c r="DO121" s="323"/>
      <c r="DP121" s="323"/>
      <c r="DQ121" s="323"/>
      <c r="DR121" s="323"/>
      <c r="DS121" s="323"/>
      <c r="DT121" s="323"/>
      <c r="DU121" s="323"/>
      <c r="DV121" s="323"/>
      <c r="DW121" s="323"/>
      <c r="DX121" s="323"/>
      <c r="DY121" s="323"/>
    </row>
    <row r="122" spans="1:129" s="611" customFormat="1">
      <c r="B122" s="622" t="s">
        <v>24</v>
      </c>
      <c r="D122" s="611">
        <f>D121+D119</f>
        <v>0</v>
      </c>
      <c r="E122" s="611">
        <f t="shared" ref="E122:AM122" si="44">E121+E119</f>
        <v>0</v>
      </c>
      <c r="F122" s="611">
        <f t="shared" si="44"/>
        <v>0</v>
      </c>
      <c r="G122" s="611">
        <f t="shared" si="44"/>
        <v>0</v>
      </c>
      <c r="H122" s="611">
        <f t="shared" si="44"/>
        <v>0</v>
      </c>
      <c r="I122" s="611">
        <f t="shared" si="44"/>
        <v>0</v>
      </c>
      <c r="J122" s="611">
        <f t="shared" si="44"/>
        <v>0</v>
      </c>
      <c r="K122" s="611">
        <f t="shared" si="44"/>
        <v>0</v>
      </c>
      <c r="L122" s="611">
        <f t="shared" si="44"/>
        <v>0</v>
      </c>
      <c r="M122" s="611">
        <f t="shared" si="44"/>
        <v>0</v>
      </c>
      <c r="N122" s="611">
        <f t="shared" si="44"/>
        <v>0</v>
      </c>
      <c r="O122" s="611">
        <f t="shared" si="44"/>
        <v>0</v>
      </c>
      <c r="P122" s="611">
        <f t="shared" si="44"/>
        <v>0</v>
      </c>
      <c r="Q122" s="611">
        <f t="shared" si="44"/>
        <v>0</v>
      </c>
      <c r="R122" s="611">
        <f t="shared" si="44"/>
        <v>0</v>
      </c>
      <c r="S122" s="611">
        <f t="shared" si="44"/>
        <v>0</v>
      </c>
      <c r="T122" s="611">
        <f t="shared" si="44"/>
        <v>0</v>
      </c>
      <c r="U122" s="611">
        <f t="shared" si="44"/>
        <v>0</v>
      </c>
      <c r="V122" s="611">
        <f t="shared" si="44"/>
        <v>0</v>
      </c>
      <c r="W122" s="611">
        <f t="shared" si="44"/>
        <v>0</v>
      </c>
      <c r="X122" s="611">
        <f t="shared" si="44"/>
        <v>0</v>
      </c>
      <c r="Y122" s="611">
        <f t="shared" si="44"/>
        <v>0</v>
      </c>
      <c r="Z122" s="611">
        <f t="shared" si="44"/>
        <v>0</v>
      </c>
      <c r="AA122" s="611">
        <f t="shared" si="44"/>
        <v>0</v>
      </c>
      <c r="AB122" s="611">
        <f>AB121+AB119</f>
        <v>-17417.87857142857</v>
      </c>
      <c r="AC122" s="611">
        <f t="shared" si="44"/>
        <v>-13995.518571428571</v>
      </c>
      <c r="AD122" s="611">
        <f t="shared" si="44"/>
        <v>-10007.594571428572</v>
      </c>
      <c r="AE122" s="611">
        <f t="shared" si="44"/>
        <v>-5030.2045714285687</v>
      </c>
      <c r="AF122" s="611">
        <f t="shared" si="44"/>
        <v>738.47142857142717</v>
      </c>
      <c r="AG122" s="611">
        <f t="shared" si="44"/>
        <v>7184.3134285714314</v>
      </c>
      <c r="AH122" s="611">
        <f t="shared" si="44"/>
        <v>7515.0518285714334</v>
      </c>
      <c r="AI122" s="611">
        <f t="shared" si="44"/>
        <v>13462.826528571428</v>
      </c>
      <c r="AJ122" s="611">
        <f t="shared" si="44"/>
        <v>29963.681428571443</v>
      </c>
      <c r="AK122" s="611">
        <f t="shared" si="44"/>
        <v>42027.549428571445</v>
      </c>
      <c r="AL122" s="611">
        <f t="shared" si="44"/>
        <v>51956.581388571438</v>
      </c>
      <c r="AM122" s="611">
        <f t="shared" si="44"/>
        <v>60759.483028571449</v>
      </c>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c r="BN122" s="323"/>
      <c r="BO122" s="323"/>
      <c r="BP122" s="323"/>
      <c r="BQ122" s="323"/>
      <c r="BR122" s="323"/>
      <c r="BS122" s="323"/>
      <c r="BT122" s="323"/>
      <c r="BU122" s="323"/>
      <c r="BV122" s="323"/>
      <c r="BW122" s="323"/>
      <c r="BX122" s="323"/>
      <c r="BY122" s="323"/>
      <c r="BZ122" s="323"/>
      <c r="CA122" s="323"/>
      <c r="CB122" s="323"/>
      <c r="CC122" s="323"/>
      <c r="CD122" s="323"/>
      <c r="CE122" s="323"/>
      <c r="CF122" s="323"/>
      <c r="CG122" s="323"/>
      <c r="CH122" s="323"/>
      <c r="CI122" s="323"/>
      <c r="CJ122" s="323"/>
      <c r="CK122" s="323"/>
      <c r="CL122" s="323"/>
      <c r="CM122" s="323"/>
      <c r="CN122" s="323"/>
      <c r="CO122" s="323"/>
      <c r="CP122" s="323"/>
      <c r="CQ122" s="323"/>
      <c r="CR122" s="323"/>
      <c r="CS122" s="323"/>
      <c r="CT122" s="323"/>
      <c r="CU122" s="323"/>
      <c r="CV122" s="323"/>
      <c r="CW122" s="323"/>
      <c r="CX122" s="323"/>
      <c r="CY122" s="323"/>
      <c r="CZ122" s="323"/>
      <c r="DA122" s="323"/>
      <c r="DB122" s="323"/>
      <c r="DC122" s="323"/>
      <c r="DD122" s="323"/>
      <c r="DE122" s="323"/>
      <c r="DF122" s="323"/>
      <c r="DG122" s="323"/>
      <c r="DH122" s="323"/>
      <c r="DI122" s="323"/>
      <c r="DJ122" s="323"/>
      <c r="DK122" s="323"/>
      <c r="DL122" s="323"/>
      <c r="DM122" s="323"/>
      <c r="DN122" s="323"/>
      <c r="DO122" s="323"/>
      <c r="DP122" s="323"/>
      <c r="DQ122" s="323"/>
      <c r="DR122" s="323"/>
      <c r="DS122" s="323"/>
      <c r="DT122" s="323"/>
      <c r="DU122" s="323"/>
      <c r="DV122" s="323"/>
      <c r="DW122" s="323"/>
      <c r="DX122" s="323"/>
      <c r="DY122" s="323"/>
    </row>
    <row r="123" spans="1:129" s="333" customFormat="1">
      <c r="B123" s="624"/>
      <c r="O123" s="597"/>
      <c r="P123" s="598"/>
      <c r="Q123" s="598"/>
      <c r="R123" s="598"/>
      <c r="S123" s="598"/>
      <c r="T123" s="598"/>
      <c r="U123" s="598"/>
      <c r="V123" s="598"/>
      <c r="W123" s="598"/>
      <c r="X123" s="598"/>
      <c r="Y123" s="598"/>
      <c r="Z123" s="598"/>
      <c r="AA123" s="599"/>
      <c r="AB123" s="598"/>
      <c r="AC123" s="598"/>
      <c r="AD123" s="598"/>
      <c r="AE123" s="598"/>
      <c r="AF123" s="598"/>
      <c r="AG123" s="598"/>
      <c r="AH123" s="598"/>
      <c r="AI123" s="598"/>
      <c r="AJ123" s="598"/>
      <c r="AK123" s="598"/>
      <c r="AL123" s="598"/>
      <c r="AM123" s="598"/>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s="323"/>
      <c r="BO123" s="323"/>
      <c r="BP123" s="323"/>
      <c r="BQ123" s="323"/>
      <c r="BR123" s="323"/>
      <c r="BS123" s="323"/>
      <c r="BT123" s="323"/>
      <c r="BU123" s="323"/>
      <c r="BV123" s="323"/>
      <c r="BW123" s="323"/>
      <c r="BX123" s="323"/>
      <c r="BY123" s="323"/>
      <c r="BZ123" s="323"/>
      <c r="CA123" s="323"/>
      <c r="CB123" s="323"/>
      <c r="CC123" s="323"/>
      <c r="CD123" s="323"/>
      <c r="CE123" s="323"/>
      <c r="CF123" s="323"/>
      <c r="CG123" s="323"/>
      <c r="CH123" s="323"/>
      <c r="CI123" s="323"/>
      <c r="CJ123" s="323"/>
      <c r="CK123" s="323"/>
      <c r="CL123" s="323"/>
      <c r="CM123" s="323"/>
      <c r="CN123" s="323"/>
      <c r="CO123" s="323"/>
      <c r="CP123" s="323"/>
      <c r="CQ123" s="323"/>
      <c r="CR123" s="323"/>
      <c r="CS123" s="323"/>
      <c r="CT123" s="323"/>
      <c r="CU123" s="323"/>
      <c r="CV123" s="323"/>
      <c r="CW123" s="323"/>
      <c r="CX123" s="323"/>
      <c r="CY123" s="323"/>
      <c r="CZ123" s="323"/>
      <c r="DA123" s="323"/>
      <c r="DB123" s="323"/>
      <c r="DC123" s="323"/>
      <c r="DD123" s="323"/>
      <c r="DE123" s="323"/>
      <c r="DF123" s="323"/>
      <c r="DG123" s="323"/>
      <c r="DH123" s="323"/>
      <c r="DI123" s="323"/>
      <c r="DJ123" s="323"/>
      <c r="DK123" s="323"/>
      <c r="DL123" s="323"/>
      <c r="DM123" s="323"/>
      <c r="DN123" s="323"/>
      <c r="DO123" s="323"/>
      <c r="DP123" s="323"/>
      <c r="DQ123" s="323"/>
      <c r="DR123" s="323"/>
      <c r="DS123" s="323"/>
      <c r="DT123" s="323"/>
      <c r="DU123" s="323"/>
      <c r="DV123" s="323"/>
      <c r="DW123" s="323"/>
      <c r="DX123" s="323"/>
      <c r="DY123" s="323"/>
    </row>
    <row r="124" spans="1:129" s="333" customFormat="1">
      <c r="B124" s="624" t="s">
        <v>30</v>
      </c>
      <c r="D124" s="333">
        <f t="shared" ref="D124:AM124" si="45">-IF(D101&gt;$D76,0,IPMT($D75/12,D101,$D76,-$D74))</f>
        <v>0</v>
      </c>
      <c r="E124" s="333">
        <f t="shared" si="45"/>
        <v>0</v>
      </c>
      <c r="F124" s="333">
        <f t="shared" si="45"/>
        <v>0</v>
      </c>
      <c r="G124" s="333">
        <f t="shared" si="45"/>
        <v>0</v>
      </c>
      <c r="H124" s="333">
        <f t="shared" si="45"/>
        <v>0</v>
      </c>
      <c r="I124" s="333">
        <f t="shared" si="45"/>
        <v>0</v>
      </c>
      <c r="J124" s="333">
        <f t="shared" si="45"/>
        <v>0</v>
      </c>
      <c r="K124" s="333">
        <f t="shared" si="45"/>
        <v>0</v>
      </c>
      <c r="L124" s="333">
        <f t="shared" si="45"/>
        <v>0</v>
      </c>
      <c r="M124" s="333">
        <f t="shared" si="45"/>
        <v>0</v>
      </c>
      <c r="N124" s="333">
        <f t="shared" si="45"/>
        <v>0</v>
      </c>
      <c r="O124" s="333">
        <f t="shared" si="45"/>
        <v>0</v>
      </c>
      <c r="P124" s="333">
        <f t="shared" si="45"/>
        <v>0</v>
      </c>
      <c r="Q124" s="333">
        <f t="shared" si="45"/>
        <v>0</v>
      </c>
      <c r="R124" s="333">
        <f t="shared" si="45"/>
        <v>0</v>
      </c>
      <c r="S124" s="333">
        <f t="shared" si="45"/>
        <v>0</v>
      </c>
      <c r="T124" s="333">
        <f t="shared" si="45"/>
        <v>0</v>
      </c>
      <c r="U124" s="333">
        <f t="shared" si="45"/>
        <v>0</v>
      </c>
      <c r="V124" s="333">
        <f t="shared" si="45"/>
        <v>0</v>
      </c>
      <c r="W124" s="333">
        <f t="shared" si="45"/>
        <v>0</v>
      </c>
      <c r="X124" s="333">
        <f t="shared" si="45"/>
        <v>0</v>
      </c>
      <c r="Y124" s="333">
        <f t="shared" si="45"/>
        <v>0</v>
      </c>
      <c r="Z124" s="333">
        <f t="shared" si="45"/>
        <v>0</v>
      </c>
      <c r="AA124" s="333">
        <f t="shared" si="45"/>
        <v>0</v>
      </c>
      <c r="AB124" s="333">
        <f t="shared" si="45"/>
        <v>0</v>
      </c>
      <c r="AC124" s="333">
        <f t="shared" si="45"/>
        <v>0</v>
      </c>
      <c r="AD124" s="333">
        <f t="shared" si="45"/>
        <v>0</v>
      </c>
      <c r="AE124" s="333">
        <f t="shared" si="45"/>
        <v>0</v>
      </c>
      <c r="AF124" s="333">
        <f t="shared" si="45"/>
        <v>0</v>
      </c>
      <c r="AG124" s="333">
        <f t="shared" si="45"/>
        <v>0</v>
      </c>
      <c r="AH124" s="333">
        <f t="shared" si="45"/>
        <v>0</v>
      </c>
      <c r="AI124" s="333">
        <f t="shared" si="45"/>
        <v>0</v>
      </c>
      <c r="AJ124" s="333">
        <f t="shared" si="45"/>
        <v>0</v>
      </c>
      <c r="AK124" s="333">
        <f t="shared" si="45"/>
        <v>0</v>
      </c>
      <c r="AL124" s="333">
        <f t="shared" si="45"/>
        <v>0</v>
      </c>
      <c r="AM124" s="333">
        <f t="shared" si="45"/>
        <v>0</v>
      </c>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s="323"/>
      <c r="BO124" s="323"/>
      <c r="BP124" s="323"/>
      <c r="BQ124" s="323"/>
      <c r="BR124" s="323"/>
      <c r="BS124" s="323"/>
      <c r="BT124" s="323"/>
      <c r="BU124" s="323"/>
      <c r="BV124" s="323"/>
      <c r="BW124" s="323"/>
      <c r="BX124" s="323"/>
      <c r="BY124" s="323"/>
      <c r="BZ124" s="323"/>
      <c r="CA124" s="323"/>
      <c r="CB124" s="323"/>
      <c r="CC124" s="323"/>
      <c r="CD124" s="323"/>
      <c r="CE124" s="323"/>
      <c r="CF124" s="323"/>
      <c r="CG124" s="323"/>
      <c r="CH124" s="323"/>
      <c r="CI124" s="323"/>
      <c r="CJ124" s="323"/>
      <c r="CK124" s="323"/>
      <c r="CL124" s="323"/>
      <c r="CM124" s="323"/>
      <c r="CN124" s="323"/>
      <c r="CO124" s="323"/>
      <c r="CP124" s="323"/>
      <c r="CQ124" s="323"/>
      <c r="CR124" s="323"/>
      <c r="CS124" s="323"/>
      <c r="CT124" s="323"/>
      <c r="CU124" s="323"/>
      <c r="CV124" s="323"/>
      <c r="CW124" s="323"/>
      <c r="CX124" s="323"/>
      <c r="CY124" s="323"/>
      <c r="CZ124" s="323"/>
      <c r="DA124" s="323"/>
      <c r="DB124" s="323"/>
      <c r="DC124" s="323"/>
      <c r="DD124" s="323"/>
      <c r="DE124" s="323"/>
      <c r="DF124" s="323"/>
      <c r="DG124" s="323"/>
      <c r="DH124" s="323"/>
      <c r="DI124" s="323"/>
      <c r="DJ124" s="323"/>
      <c r="DK124" s="323"/>
      <c r="DL124" s="323"/>
      <c r="DM124" s="323"/>
      <c r="DN124" s="323"/>
      <c r="DO124" s="323"/>
      <c r="DP124" s="323"/>
      <c r="DQ124" s="323"/>
      <c r="DR124" s="323"/>
      <c r="DS124" s="323"/>
      <c r="DT124" s="323"/>
      <c r="DU124" s="323"/>
      <c r="DV124" s="323"/>
      <c r="DW124" s="323"/>
      <c r="DX124" s="323"/>
      <c r="DY124" s="323"/>
    </row>
    <row r="125" spans="1:129" s="621" customFormat="1">
      <c r="B125" s="622" t="s">
        <v>105</v>
      </c>
      <c r="D125" s="621">
        <f>D122+D124</f>
        <v>0</v>
      </c>
      <c r="E125" s="621">
        <f t="shared" ref="E125:AM125" si="46">E122+E124</f>
        <v>0</v>
      </c>
      <c r="F125" s="621">
        <f t="shared" si="46"/>
        <v>0</v>
      </c>
      <c r="G125" s="621">
        <f t="shared" si="46"/>
        <v>0</v>
      </c>
      <c r="H125" s="621">
        <f t="shared" si="46"/>
        <v>0</v>
      </c>
      <c r="I125" s="621">
        <f t="shared" si="46"/>
        <v>0</v>
      </c>
      <c r="J125" s="621">
        <f t="shared" si="46"/>
        <v>0</v>
      </c>
      <c r="K125" s="621">
        <f t="shared" si="46"/>
        <v>0</v>
      </c>
      <c r="L125" s="621">
        <f t="shared" si="46"/>
        <v>0</v>
      </c>
      <c r="M125" s="621">
        <f t="shared" si="46"/>
        <v>0</v>
      </c>
      <c r="N125" s="621">
        <f t="shared" si="46"/>
        <v>0</v>
      </c>
      <c r="O125" s="621">
        <f t="shared" si="46"/>
        <v>0</v>
      </c>
      <c r="P125" s="621">
        <f t="shared" si="46"/>
        <v>0</v>
      </c>
      <c r="Q125" s="621">
        <f t="shared" si="46"/>
        <v>0</v>
      </c>
      <c r="R125" s="621">
        <f t="shared" si="46"/>
        <v>0</v>
      </c>
      <c r="S125" s="621">
        <f t="shared" si="46"/>
        <v>0</v>
      </c>
      <c r="T125" s="621">
        <f t="shared" si="46"/>
        <v>0</v>
      </c>
      <c r="U125" s="621">
        <f t="shared" si="46"/>
        <v>0</v>
      </c>
      <c r="V125" s="621">
        <f t="shared" si="46"/>
        <v>0</v>
      </c>
      <c r="W125" s="621">
        <f t="shared" si="46"/>
        <v>0</v>
      </c>
      <c r="X125" s="621">
        <f t="shared" si="46"/>
        <v>0</v>
      </c>
      <c r="Y125" s="621">
        <f t="shared" si="46"/>
        <v>0</v>
      </c>
      <c r="Z125" s="621">
        <f t="shared" si="46"/>
        <v>0</v>
      </c>
      <c r="AA125" s="621">
        <f t="shared" si="46"/>
        <v>0</v>
      </c>
      <c r="AB125" s="621">
        <f>AB122+AB124</f>
        <v>-17417.87857142857</v>
      </c>
      <c r="AC125" s="621">
        <f t="shared" si="46"/>
        <v>-13995.518571428571</v>
      </c>
      <c r="AD125" s="621">
        <f t="shared" si="46"/>
        <v>-10007.594571428572</v>
      </c>
      <c r="AE125" s="621">
        <f t="shared" si="46"/>
        <v>-5030.2045714285687</v>
      </c>
      <c r="AF125" s="621">
        <f t="shared" si="46"/>
        <v>738.47142857142717</v>
      </c>
      <c r="AG125" s="621">
        <f t="shared" si="46"/>
        <v>7184.3134285714314</v>
      </c>
      <c r="AH125" s="621">
        <f t="shared" si="46"/>
        <v>7515.0518285714334</v>
      </c>
      <c r="AI125" s="621">
        <f t="shared" si="46"/>
        <v>13462.826528571428</v>
      </c>
      <c r="AJ125" s="621">
        <f t="shared" si="46"/>
        <v>29963.681428571443</v>
      </c>
      <c r="AK125" s="621">
        <f t="shared" si="46"/>
        <v>42027.549428571445</v>
      </c>
      <c r="AL125" s="621">
        <f t="shared" si="46"/>
        <v>51956.581388571438</v>
      </c>
      <c r="AM125" s="621">
        <f t="shared" si="46"/>
        <v>60759.483028571449</v>
      </c>
      <c r="AN125" s="345"/>
      <c r="AO125" s="345"/>
      <c r="AP125" s="345"/>
      <c r="AQ125" s="345"/>
      <c r="AR125" s="345"/>
      <c r="AS125" s="345"/>
      <c r="AT125" s="345"/>
      <c r="AU125" s="345"/>
      <c r="AV125" s="345"/>
      <c r="AW125" s="345"/>
      <c r="AX125" s="345"/>
      <c r="AY125" s="345"/>
      <c r="AZ125" s="345"/>
      <c r="BA125" s="345"/>
      <c r="BB125" s="345"/>
      <c r="BC125" s="345"/>
      <c r="BD125" s="345"/>
      <c r="BE125" s="345"/>
      <c r="BF125" s="345"/>
      <c r="BG125" s="345"/>
      <c r="BH125" s="345"/>
      <c r="BI125" s="345"/>
      <c r="BJ125" s="345"/>
      <c r="BK125" s="345"/>
      <c r="BL125" s="345"/>
      <c r="BM125" s="345"/>
      <c r="BN125" s="345"/>
      <c r="BO125" s="345"/>
      <c r="BP125" s="345"/>
      <c r="BQ125" s="345"/>
      <c r="BR125" s="345"/>
      <c r="BS125" s="345"/>
      <c r="BT125" s="345"/>
      <c r="BU125" s="345"/>
      <c r="BV125" s="345"/>
      <c r="BW125" s="345"/>
      <c r="BX125" s="345"/>
      <c r="BY125" s="345"/>
      <c r="BZ125" s="345"/>
      <c r="CA125" s="345"/>
      <c r="CB125" s="345"/>
      <c r="CC125" s="345"/>
      <c r="CD125" s="345"/>
      <c r="CE125" s="345"/>
      <c r="CF125" s="345"/>
      <c r="CG125" s="345"/>
      <c r="CH125" s="345"/>
      <c r="CI125" s="345"/>
      <c r="CJ125" s="345"/>
      <c r="CK125" s="345"/>
      <c r="CL125" s="345"/>
      <c r="CM125" s="345"/>
      <c r="CN125" s="345"/>
      <c r="CO125" s="345"/>
      <c r="CP125" s="345"/>
      <c r="CQ125" s="345"/>
      <c r="CR125" s="345"/>
      <c r="CS125" s="345"/>
      <c r="CT125" s="345"/>
      <c r="CU125" s="345"/>
      <c r="CV125" s="345"/>
      <c r="CW125" s="345"/>
      <c r="CX125" s="345"/>
      <c r="CY125" s="345"/>
      <c r="CZ125" s="345"/>
      <c r="DA125" s="345"/>
      <c r="DB125" s="345"/>
      <c r="DC125" s="345"/>
      <c r="DD125" s="345"/>
      <c r="DE125" s="345"/>
      <c r="DF125" s="345"/>
      <c r="DG125" s="345"/>
      <c r="DH125" s="345"/>
      <c r="DI125" s="345"/>
      <c r="DJ125" s="345"/>
      <c r="DK125" s="345"/>
      <c r="DL125" s="345"/>
      <c r="DM125" s="345"/>
      <c r="DN125" s="345"/>
      <c r="DO125" s="345"/>
      <c r="DP125" s="345"/>
      <c r="DQ125" s="345"/>
      <c r="DR125" s="345"/>
      <c r="DS125" s="345"/>
      <c r="DT125" s="345"/>
      <c r="DU125" s="345"/>
      <c r="DV125" s="345"/>
      <c r="DW125" s="345"/>
      <c r="DX125" s="345"/>
      <c r="DY125" s="345"/>
    </row>
    <row r="126" spans="1:129" s="618" customFormat="1">
      <c r="B126" s="628"/>
      <c r="C126" s="632"/>
      <c r="O126" s="630"/>
      <c r="P126" s="633"/>
      <c r="AA126" s="630"/>
      <c r="AB126" s="633"/>
      <c r="AN126" s="345"/>
      <c r="AO126" s="345"/>
      <c r="AP126" s="345"/>
      <c r="AQ126" s="345"/>
      <c r="AR126" s="345"/>
      <c r="AS126" s="345"/>
      <c r="AT126" s="345"/>
      <c r="AU126" s="345"/>
      <c r="AV126" s="345"/>
      <c r="AW126" s="345"/>
      <c r="AX126" s="345"/>
      <c r="AY126" s="345"/>
      <c r="AZ126" s="345"/>
      <c r="BA126" s="345"/>
      <c r="BB126" s="345"/>
      <c r="BC126" s="345"/>
      <c r="BD126" s="345"/>
      <c r="BE126" s="345"/>
      <c r="BF126" s="345"/>
      <c r="BG126" s="345"/>
      <c r="BH126" s="345"/>
      <c r="BI126" s="345"/>
      <c r="BJ126" s="345"/>
      <c r="BK126" s="345"/>
      <c r="BL126" s="345"/>
      <c r="BM126" s="345"/>
      <c r="BN126" s="345"/>
      <c r="BO126" s="345"/>
      <c r="BP126" s="345"/>
      <c r="BQ126" s="345"/>
      <c r="BR126" s="345"/>
      <c r="BS126" s="345"/>
      <c r="BT126" s="345"/>
      <c r="BU126" s="345"/>
      <c r="BV126" s="345"/>
      <c r="BW126" s="345"/>
      <c r="BX126" s="345"/>
      <c r="BY126" s="345"/>
      <c r="BZ126" s="345"/>
      <c r="CA126" s="345"/>
      <c r="CB126" s="345"/>
      <c r="CC126" s="345"/>
      <c r="CD126" s="345"/>
      <c r="CE126" s="345"/>
      <c r="CF126" s="345"/>
      <c r="CG126" s="345"/>
      <c r="CH126" s="345"/>
      <c r="CI126" s="345"/>
      <c r="CJ126" s="345"/>
      <c r="CK126" s="345"/>
      <c r="CL126" s="345"/>
      <c r="CM126" s="345"/>
      <c r="CN126" s="345"/>
      <c r="CO126" s="345"/>
      <c r="CP126" s="345"/>
      <c r="CQ126" s="345"/>
      <c r="CR126" s="345"/>
      <c r="CS126" s="345"/>
      <c r="CT126" s="345"/>
      <c r="CU126" s="345"/>
      <c r="CV126" s="345"/>
      <c r="CW126" s="345"/>
      <c r="CX126" s="345"/>
      <c r="CY126" s="345"/>
      <c r="CZ126" s="345"/>
      <c r="DA126" s="345"/>
      <c r="DB126" s="345"/>
      <c r="DC126" s="345"/>
      <c r="DD126" s="345"/>
      <c r="DE126" s="345"/>
      <c r="DF126" s="345"/>
      <c r="DG126" s="345"/>
      <c r="DH126" s="345"/>
      <c r="DI126" s="345"/>
      <c r="DJ126" s="345"/>
      <c r="DK126" s="345"/>
      <c r="DL126" s="345"/>
      <c r="DM126" s="345"/>
      <c r="DN126" s="345"/>
      <c r="DO126" s="345"/>
      <c r="DP126" s="345"/>
      <c r="DQ126" s="345"/>
      <c r="DR126" s="345"/>
      <c r="DS126" s="345"/>
      <c r="DT126" s="345"/>
      <c r="DU126" s="345"/>
      <c r="DV126" s="345"/>
      <c r="DW126" s="345"/>
      <c r="DX126" s="345"/>
      <c r="DY126" s="345"/>
    </row>
    <row r="127" spans="1:129" s="618" customFormat="1" ht="17.55" customHeight="1">
      <c r="B127" s="624" t="s">
        <v>4</v>
      </c>
      <c r="C127" s="634"/>
      <c r="D127" s="635">
        <f>-D250</f>
        <v>0</v>
      </c>
      <c r="E127" s="635">
        <f>-E250</f>
        <v>0</v>
      </c>
      <c r="F127" s="635">
        <f>-F250</f>
        <v>0</v>
      </c>
      <c r="G127" s="635">
        <f t="shared" ref="G127:AA127" si="47">-G250</f>
        <v>0</v>
      </c>
      <c r="H127" s="635">
        <f t="shared" si="47"/>
        <v>0</v>
      </c>
      <c r="I127" s="635">
        <f t="shared" si="47"/>
        <v>0</v>
      </c>
      <c r="J127" s="635">
        <f t="shared" si="47"/>
        <v>0</v>
      </c>
      <c r="K127" s="635">
        <f t="shared" si="47"/>
        <v>0</v>
      </c>
      <c r="L127" s="635">
        <f t="shared" si="47"/>
        <v>0</v>
      </c>
      <c r="M127" s="635">
        <f t="shared" si="47"/>
        <v>0</v>
      </c>
      <c r="N127" s="635">
        <f t="shared" si="47"/>
        <v>0</v>
      </c>
      <c r="O127" s="635">
        <f t="shared" si="47"/>
        <v>0</v>
      </c>
      <c r="P127" s="635">
        <f t="shared" si="47"/>
        <v>0</v>
      </c>
      <c r="Q127" s="635">
        <f t="shared" si="47"/>
        <v>0</v>
      </c>
      <c r="R127" s="635">
        <f t="shared" si="47"/>
        <v>0</v>
      </c>
      <c r="S127" s="635">
        <f t="shared" si="47"/>
        <v>0</v>
      </c>
      <c r="T127" s="635">
        <f t="shared" si="47"/>
        <v>0</v>
      </c>
      <c r="U127" s="635">
        <f t="shared" si="47"/>
        <v>0</v>
      </c>
      <c r="V127" s="635">
        <f t="shared" si="47"/>
        <v>0</v>
      </c>
      <c r="W127" s="635">
        <f t="shared" si="47"/>
        <v>0</v>
      </c>
      <c r="X127" s="635">
        <f t="shared" si="47"/>
        <v>0</v>
      </c>
      <c r="Y127" s="635">
        <f t="shared" si="47"/>
        <v>0</v>
      </c>
      <c r="Z127" s="635">
        <f t="shared" si="47"/>
        <v>0</v>
      </c>
      <c r="AA127" s="635">
        <f t="shared" si="47"/>
        <v>0</v>
      </c>
      <c r="AB127" s="333">
        <f>-AB250</f>
        <v>0</v>
      </c>
      <c r="AC127" s="333">
        <f t="shared" ref="AC127:AM127" si="48">-AC250</f>
        <v>0</v>
      </c>
      <c r="AD127" s="333">
        <f t="shared" si="48"/>
        <v>0</v>
      </c>
      <c r="AE127" s="333">
        <f t="shared" si="48"/>
        <v>0</v>
      </c>
      <c r="AF127" s="333">
        <f t="shared" si="48"/>
        <v>0</v>
      </c>
      <c r="AG127" s="333">
        <f t="shared" si="48"/>
        <v>0</v>
      </c>
      <c r="AH127" s="333">
        <f t="shared" si="48"/>
        <v>0</v>
      </c>
      <c r="AI127" s="333">
        <f t="shared" si="48"/>
        <v>0</v>
      </c>
      <c r="AJ127" s="333">
        <f t="shared" si="48"/>
        <v>0</v>
      </c>
      <c r="AK127" s="333">
        <f t="shared" si="48"/>
        <v>0</v>
      </c>
      <c r="AL127" s="333">
        <f t="shared" si="48"/>
        <v>-9547.5191983333443</v>
      </c>
      <c r="AM127" s="333">
        <f t="shared" si="48"/>
        <v>-15839.707066666671</v>
      </c>
      <c r="AN127" s="345"/>
      <c r="AO127" s="345"/>
      <c r="AP127" s="345"/>
      <c r="AQ127" s="345"/>
      <c r="AR127" s="345"/>
      <c r="AS127" s="345"/>
      <c r="AT127" s="345"/>
      <c r="AU127" s="345"/>
      <c r="AV127" s="345"/>
      <c r="AW127" s="345"/>
      <c r="AX127" s="345"/>
      <c r="AY127" s="345"/>
      <c r="AZ127" s="345"/>
      <c r="BA127" s="345"/>
      <c r="BB127" s="345"/>
      <c r="BC127" s="345"/>
      <c r="BD127" s="345"/>
      <c r="BE127" s="345"/>
      <c r="BF127" s="345"/>
      <c r="BG127" s="345"/>
      <c r="BH127" s="345"/>
      <c r="BI127" s="345"/>
      <c r="BJ127" s="345"/>
      <c r="BK127" s="345"/>
      <c r="BL127" s="345"/>
      <c r="BM127" s="345"/>
      <c r="BN127" s="345"/>
      <c r="BO127" s="345"/>
      <c r="BP127" s="345"/>
      <c r="BQ127" s="345"/>
      <c r="BR127" s="345"/>
      <c r="BS127" s="345"/>
      <c r="BT127" s="345"/>
      <c r="BU127" s="345"/>
      <c r="BV127" s="345"/>
      <c r="BW127" s="345"/>
      <c r="BX127" s="345"/>
      <c r="BY127" s="345"/>
      <c r="BZ127" s="345"/>
      <c r="CA127" s="345"/>
      <c r="CB127" s="345"/>
      <c r="CC127" s="345"/>
      <c r="CD127" s="345"/>
      <c r="CE127" s="345"/>
      <c r="CF127" s="345"/>
      <c r="CG127" s="345"/>
      <c r="CH127" s="345"/>
      <c r="CI127" s="345"/>
      <c r="CJ127" s="345"/>
      <c r="CK127" s="345"/>
      <c r="CL127" s="345"/>
      <c r="CM127" s="345"/>
      <c r="CN127" s="345"/>
      <c r="CO127" s="345"/>
      <c r="CP127" s="345"/>
      <c r="CQ127" s="345"/>
      <c r="CR127" s="345"/>
      <c r="CS127" s="345"/>
      <c r="CT127" s="345"/>
      <c r="CU127" s="345"/>
      <c r="CV127" s="345"/>
      <c r="CW127" s="345"/>
      <c r="CX127" s="345"/>
      <c r="CY127" s="345"/>
      <c r="CZ127" s="345"/>
      <c r="DA127" s="345"/>
      <c r="DB127" s="345"/>
      <c r="DC127" s="345"/>
      <c r="DD127" s="345"/>
      <c r="DE127" s="345"/>
      <c r="DF127" s="345"/>
      <c r="DG127" s="345"/>
      <c r="DH127" s="345"/>
      <c r="DI127" s="345"/>
      <c r="DJ127" s="345"/>
      <c r="DK127" s="345"/>
      <c r="DL127" s="345"/>
      <c r="DM127" s="345"/>
      <c r="DN127" s="345"/>
      <c r="DO127" s="345"/>
      <c r="DP127" s="345"/>
      <c r="DQ127" s="345"/>
      <c r="DR127" s="345"/>
      <c r="DS127" s="345"/>
      <c r="DT127" s="345"/>
      <c r="DU127" s="345"/>
      <c r="DV127" s="345"/>
      <c r="DW127" s="345"/>
      <c r="DX127" s="345"/>
      <c r="DY127" s="345"/>
    </row>
    <row r="128" spans="1:129" s="621" customFormat="1">
      <c r="B128" s="637" t="s">
        <v>106</v>
      </c>
      <c r="D128" s="621">
        <f>D125+D127</f>
        <v>0</v>
      </c>
      <c r="E128" s="621">
        <f t="shared" ref="E128:AM128" si="49">E125+E127</f>
        <v>0</v>
      </c>
      <c r="F128" s="621">
        <f t="shared" si="49"/>
        <v>0</v>
      </c>
      <c r="G128" s="621">
        <f t="shared" si="49"/>
        <v>0</v>
      </c>
      <c r="H128" s="621">
        <f t="shared" si="49"/>
        <v>0</v>
      </c>
      <c r="I128" s="621">
        <f t="shared" si="49"/>
        <v>0</v>
      </c>
      <c r="J128" s="621">
        <f t="shared" si="49"/>
        <v>0</v>
      </c>
      <c r="K128" s="621">
        <f t="shared" si="49"/>
        <v>0</v>
      </c>
      <c r="L128" s="621">
        <f t="shared" si="49"/>
        <v>0</v>
      </c>
      <c r="M128" s="621">
        <f t="shared" si="49"/>
        <v>0</v>
      </c>
      <c r="N128" s="621">
        <f t="shared" si="49"/>
        <v>0</v>
      </c>
      <c r="O128" s="621">
        <f t="shared" si="49"/>
        <v>0</v>
      </c>
      <c r="P128" s="621">
        <f t="shared" si="49"/>
        <v>0</v>
      </c>
      <c r="Q128" s="621">
        <f t="shared" si="49"/>
        <v>0</v>
      </c>
      <c r="R128" s="621">
        <f t="shared" si="49"/>
        <v>0</v>
      </c>
      <c r="S128" s="621">
        <f t="shared" si="49"/>
        <v>0</v>
      </c>
      <c r="T128" s="621">
        <f t="shared" si="49"/>
        <v>0</v>
      </c>
      <c r="U128" s="621">
        <f t="shared" si="49"/>
        <v>0</v>
      </c>
      <c r="V128" s="621">
        <f t="shared" si="49"/>
        <v>0</v>
      </c>
      <c r="W128" s="621">
        <f t="shared" si="49"/>
        <v>0</v>
      </c>
      <c r="X128" s="621">
        <f t="shared" si="49"/>
        <v>0</v>
      </c>
      <c r="Y128" s="621">
        <f t="shared" si="49"/>
        <v>0</v>
      </c>
      <c r="Z128" s="621">
        <f t="shared" si="49"/>
        <v>0</v>
      </c>
      <c r="AA128" s="621">
        <f t="shared" si="49"/>
        <v>0</v>
      </c>
      <c r="AB128" s="621">
        <f>AB125+AB127</f>
        <v>-17417.87857142857</v>
      </c>
      <c r="AC128" s="621">
        <f t="shared" si="49"/>
        <v>-13995.518571428571</v>
      </c>
      <c r="AD128" s="621">
        <f t="shared" si="49"/>
        <v>-10007.594571428572</v>
      </c>
      <c r="AE128" s="621">
        <f t="shared" si="49"/>
        <v>-5030.2045714285687</v>
      </c>
      <c r="AF128" s="621">
        <f t="shared" si="49"/>
        <v>738.47142857142717</v>
      </c>
      <c r="AG128" s="621">
        <f t="shared" si="49"/>
        <v>7184.3134285714314</v>
      </c>
      <c r="AH128" s="621">
        <f t="shared" si="49"/>
        <v>7515.0518285714334</v>
      </c>
      <c r="AI128" s="621">
        <f t="shared" si="49"/>
        <v>13462.826528571428</v>
      </c>
      <c r="AJ128" s="621">
        <f>AJ125+AJ127</f>
        <v>29963.681428571443</v>
      </c>
      <c r="AK128" s="621">
        <f>AK125+AK127</f>
        <v>42027.549428571445</v>
      </c>
      <c r="AL128" s="621">
        <f t="shared" si="49"/>
        <v>42409.062190238095</v>
      </c>
      <c r="AM128" s="621">
        <f t="shared" si="49"/>
        <v>44919.775961904779</v>
      </c>
      <c r="AN128" s="345"/>
      <c r="AO128" s="345"/>
      <c r="AP128" s="345"/>
      <c r="AQ128" s="345"/>
      <c r="AR128" s="345"/>
      <c r="AS128" s="345"/>
      <c r="AT128" s="345"/>
      <c r="AU128" s="345"/>
      <c r="AV128" s="345"/>
      <c r="AW128" s="345"/>
      <c r="AX128" s="345"/>
      <c r="AY128" s="345"/>
      <c r="AZ128" s="345"/>
      <c r="BA128" s="345"/>
      <c r="BB128" s="345"/>
      <c r="BC128" s="345"/>
      <c r="BD128" s="345"/>
      <c r="BE128" s="345"/>
      <c r="BF128" s="345"/>
      <c r="BG128" s="345"/>
      <c r="BH128" s="345"/>
      <c r="BI128" s="345"/>
      <c r="BJ128" s="345"/>
      <c r="BK128" s="345"/>
      <c r="BL128" s="345"/>
      <c r="BM128" s="345"/>
      <c r="BN128" s="345"/>
      <c r="BO128" s="345"/>
      <c r="BP128" s="345"/>
      <c r="BQ128" s="345"/>
      <c r="BR128" s="345"/>
      <c r="BS128" s="345"/>
      <c r="BT128" s="345"/>
      <c r="BU128" s="345"/>
      <c r="BV128" s="345"/>
      <c r="BW128" s="345"/>
      <c r="BX128" s="345"/>
      <c r="BY128" s="345"/>
      <c r="BZ128" s="345"/>
      <c r="CA128" s="345"/>
      <c r="CB128" s="345"/>
      <c r="CC128" s="345"/>
      <c r="CD128" s="345"/>
      <c r="CE128" s="345"/>
      <c r="CF128" s="345"/>
      <c r="CG128" s="345"/>
      <c r="CH128" s="345"/>
      <c r="CI128" s="345"/>
      <c r="CJ128" s="345"/>
      <c r="CK128" s="345"/>
      <c r="CL128" s="345"/>
      <c r="CM128" s="345"/>
      <c r="CN128" s="345"/>
      <c r="CO128" s="345"/>
      <c r="CP128" s="345"/>
      <c r="CQ128" s="345"/>
      <c r="CR128" s="345"/>
      <c r="CS128" s="345"/>
      <c r="CT128" s="345"/>
      <c r="CU128" s="345"/>
      <c r="CV128" s="345"/>
      <c r="CW128" s="345"/>
      <c r="CX128" s="345"/>
      <c r="CY128" s="345"/>
      <c r="CZ128" s="345"/>
      <c r="DA128" s="345"/>
      <c r="DB128" s="345"/>
      <c r="DC128" s="345"/>
      <c r="DD128" s="345"/>
      <c r="DE128" s="345"/>
      <c r="DF128" s="345"/>
      <c r="DG128" s="345"/>
      <c r="DH128" s="345"/>
      <c r="DI128" s="345"/>
      <c r="DJ128" s="345"/>
      <c r="DK128" s="345"/>
      <c r="DL128" s="345"/>
      <c r="DM128" s="345"/>
      <c r="DN128" s="345"/>
      <c r="DO128" s="345"/>
      <c r="DP128" s="345"/>
      <c r="DQ128" s="345"/>
      <c r="DR128" s="345"/>
      <c r="DS128" s="345"/>
      <c r="DT128" s="345"/>
      <c r="DU128" s="345"/>
      <c r="DV128" s="345"/>
      <c r="DW128" s="345"/>
      <c r="DX128" s="345"/>
      <c r="DY128" s="345"/>
    </row>
    <row r="129" spans="2:129" s="618" customFormat="1">
      <c r="B129" s="305"/>
      <c r="O129" s="630"/>
      <c r="P129" s="633"/>
      <c r="AA129" s="630"/>
      <c r="AB129" s="633"/>
      <c r="AN129" s="345"/>
      <c r="AO129" s="345"/>
      <c r="AP129" s="345"/>
      <c r="AQ129" s="345"/>
      <c r="AR129" s="345"/>
      <c r="AS129" s="345"/>
      <c r="AT129" s="345"/>
      <c r="AU129" s="345"/>
      <c r="AV129" s="345"/>
      <c r="AW129" s="345"/>
      <c r="AX129" s="345"/>
      <c r="AY129" s="345"/>
      <c r="AZ129" s="345"/>
      <c r="BA129" s="345"/>
      <c r="BB129" s="345"/>
      <c r="BC129" s="345"/>
      <c r="BD129" s="345"/>
      <c r="BE129" s="345"/>
      <c r="BF129" s="345"/>
      <c r="BG129" s="345"/>
      <c r="BH129" s="345"/>
      <c r="BI129" s="345"/>
      <c r="BJ129" s="345"/>
      <c r="BK129" s="345"/>
      <c r="BL129" s="345"/>
      <c r="BM129" s="345"/>
      <c r="BN129" s="345"/>
      <c r="BO129" s="345"/>
      <c r="BP129" s="345"/>
      <c r="BQ129" s="345"/>
      <c r="BR129" s="345"/>
      <c r="BS129" s="345"/>
      <c r="BT129" s="345"/>
      <c r="BU129" s="345"/>
      <c r="BV129" s="345"/>
      <c r="BW129" s="345"/>
      <c r="BX129" s="345"/>
      <c r="BY129" s="345"/>
      <c r="BZ129" s="345"/>
      <c r="CA129" s="345"/>
      <c r="CB129" s="345"/>
      <c r="CC129" s="345"/>
      <c r="CD129" s="345"/>
      <c r="CE129" s="345"/>
      <c r="CF129" s="345"/>
      <c r="CG129" s="345"/>
      <c r="CH129" s="345"/>
      <c r="CI129" s="345"/>
      <c r="CJ129" s="345"/>
      <c r="CK129" s="345"/>
      <c r="CL129" s="345"/>
      <c r="CM129" s="345"/>
      <c r="CN129" s="345"/>
      <c r="CO129" s="345"/>
      <c r="CP129" s="345"/>
      <c r="CQ129" s="345"/>
      <c r="CR129" s="345"/>
      <c r="CS129" s="345"/>
      <c r="CT129" s="345"/>
      <c r="CU129" s="345"/>
      <c r="CV129" s="345"/>
      <c r="CW129" s="345"/>
      <c r="CX129" s="345"/>
      <c r="CY129" s="345"/>
      <c r="CZ129" s="345"/>
      <c r="DA129" s="345"/>
      <c r="DB129" s="345"/>
      <c r="DC129" s="345"/>
      <c r="DD129" s="345"/>
      <c r="DE129" s="345"/>
      <c r="DF129" s="345"/>
      <c r="DG129" s="345"/>
      <c r="DH129" s="345"/>
      <c r="DI129" s="345"/>
      <c r="DJ129" s="345"/>
      <c r="DK129" s="345"/>
      <c r="DL129" s="345"/>
      <c r="DM129" s="345"/>
      <c r="DN129" s="345"/>
      <c r="DO129" s="345"/>
      <c r="DP129" s="345"/>
      <c r="DQ129" s="345"/>
      <c r="DR129" s="345"/>
      <c r="DS129" s="345"/>
      <c r="DT129" s="345"/>
      <c r="DU129" s="345"/>
      <c r="DV129" s="345"/>
      <c r="DW129" s="345"/>
      <c r="DX129" s="345"/>
      <c r="DY129" s="345"/>
    </row>
    <row r="130" spans="2:129" s="618" customFormat="1">
      <c r="B130" s="305"/>
      <c r="O130" s="630"/>
      <c r="P130" s="633"/>
      <c r="AA130" s="630"/>
      <c r="AB130" s="633"/>
      <c r="AN130" s="345"/>
      <c r="AO130" s="345"/>
      <c r="AP130" s="345"/>
      <c r="AQ130" s="345"/>
      <c r="AR130" s="345"/>
      <c r="AS130" s="345"/>
      <c r="AT130" s="345"/>
      <c r="AU130" s="345"/>
      <c r="AV130" s="345"/>
      <c r="AW130" s="345"/>
      <c r="AX130" s="345"/>
      <c r="AY130" s="345"/>
      <c r="AZ130" s="345"/>
      <c r="BA130" s="345"/>
      <c r="BB130" s="345"/>
      <c r="BC130" s="345"/>
      <c r="BD130" s="345"/>
      <c r="BE130" s="345"/>
      <c r="BF130" s="345"/>
      <c r="BG130" s="345"/>
      <c r="BH130" s="345"/>
      <c r="BI130" s="345"/>
      <c r="BJ130" s="345"/>
      <c r="BK130" s="345"/>
      <c r="BL130" s="345"/>
      <c r="BM130" s="345"/>
      <c r="BN130" s="345"/>
      <c r="BO130" s="345"/>
      <c r="BP130" s="345"/>
      <c r="BQ130" s="345"/>
      <c r="BR130" s="345"/>
      <c r="BS130" s="345"/>
      <c r="BT130" s="345"/>
      <c r="BU130" s="345"/>
      <c r="BV130" s="345"/>
      <c r="BW130" s="345"/>
      <c r="BX130" s="345"/>
      <c r="BY130" s="345"/>
      <c r="BZ130" s="345"/>
      <c r="CA130" s="345"/>
      <c r="CB130" s="345"/>
      <c r="CC130" s="345"/>
      <c r="CD130" s="345"/>
      <c r="CE130" s="345"/>
      <c r="CF130" s="345"/>
      <c r="CG130" s="345"/>
      <c r="CH130" s="345"/>
      <c r="CI130" s="345"/>
      <c r="CJ130" s="345"/>
      <c r="CK130" s="345"/>
      <c r="CL130" s="345"/>
      <c r="CM130" s="345"/>
      <c r="CN130" s="345"/>
      <c r="CO130" s="345"/>
      <c r="CP130" s="345"/>
      <c r="CQ130" s="345"/>
      <c r="CR130" s="345"/>
      <c r="CS130" s="345"/>
      <c r="CT130" s="345"/>
      <c r="CU130" s="345"/>
      <c r="CV130" s="345"/>
      <c r="CW130" s="345"/>
      <c r="CX130" s="345"/>
      <c r="CY130" s="345"/>
      <c r="CZ130" s="345"/>
      <c r="DA130" s="345"/>
      <c r="DB130" s="345"/>
      <c r="DC130" s="345"/>
      <c r="DD130" s="345"/>
      <c r="DE130" s="345"/>
      <c r="DF130" s="345"/>
      <c r="DG130" s="345"/>
      <c r="DH130" s="345"/>
      <c r="DI130" s="345"/>
      <c r="DJ130" s="345"/>
      <c r="DK130" s="345"/>
      <c r="DL130" s="345"/>
      <c r="DM130" s="345"/>
      <c r="DN130" s="345"/>
      <c r="DO130" s="345"/>
      <c r="DP130" s="345"/>
      <c r="DQ130" s="345"/>
      <c r="DR130" s="345"/>
      <c r="DS130" s="345"/>
      <c r="DT130" s="345"/>
      <c r="DU130" s="345"/>
      <c r="DV130" s="345"/>
      <c r="DW130" s="345"/>
      <c r="DX130" s="345"/>
      <c r="DY130" s="345"/>
    </row>
    <row r="131" spans="2:129" s="621" customFormat="1">
      <c r="B131" s="637" t="s">
        <v>89</v>
      </c>
      <c r="D131" s="621">
        <f>0</f>
        <v>0</v>
      </c>
      <c r="E131" s="621">
        <f>0</f>
        <v>0</v>
      </c>
      <c r="F131" s="621">
        <f>0</f>
        <v>0</v>
      </c>
      <c r="G131" s="621">
        <f>0</f>
        <v>0</v>
      </c>
      <c r="H131" s="621">
        <f>0</f>
        <v>0</v>
      </c>
      <c r="I131" s="621">
        <f>0</f>
        <v>0</v>
      </c>
      <c r="J131" s="621">
        <f>0</f>
        <v>0</v>
      </c>
      <c r="K131" s="621">
        <f>0</f>
        <v>0</v>
      </c>
      <c r="L131" s="621">
        <f>0</f>
        <v>0</v>
      </c>
      <c r="M131" s="621">
        <f>0</f>
        <v>0</v>
      </c>
      <c r="N131" s="621">
        <f>0</f>
        <v>0</v>
      </c>
      <c r="O131" s="621">
        <f>0</f>
        <v>0</v>
      </c>
      <c r="P131" s="621">
        <f>0</f>
        <v>0</v>
      </c>
      <c r="Q131" s="621">
        <f>0</f>
        <v>0</v>
      </c>
      <c r="R131" s="621">
        <f>0</f>
        <v>0</v>
      </c>
      <c r="S131" s="621">
        <f>0</f>
        <v>0</v>
      </c>
      <c r="T131" s="621">
        <f>0</f>
        <v>0</v>
      </c>
      <c r="U131" s="621">
        <f>0</f>
        <v>0</v>
      </c>
      <c r="V131" s="621">
        <f>0</f>
        <v>0</v>
      </c>
      <c r="W131" s="621">
        <f>0</f>
        <v>0</v>
      </c>
      <c r="X131" s="621">
        <f>0</f>
        <v>0</v>
      </c>
      <c r="Y131" s="621">
        <f>0</f>
        <v>0</v>
      </c>
      <c r="Z131" s="621">
        <f>0</f>
        <v>0</v>
      </c>
      <c r="AA131" s="621">
        <f>0</f>
        <v>0</v>
      </c>
      <c r="AB131" s="621">
        <f t="shared" ref="AB131:AM131" si="50">-(AB117+AB121+AB124)/AB107</f>
        <v>64513.157309966708</v>
      </c>
      <c r="AC131" s="621">
        <f t="shared" si="50"/>
        <v>64544.311258651258</v>
      </c>
      <c r="AD131" s="621">
        <f t="shared" si="50"/>
        <v>64591.72963252449</v>
      </c>
      <c r="AE131" s="621">
        <f t="shared" si="50"/>
        <v>64619.277798171985</v>
      </c>
      <c r="AF131" s="621">
        <f t="shared" si="50"/>
        <v>64657.049416941518</v>
      </c>
      <c r="AG131" s="621">
        <f t="shared" si="50"/>
        <v>64687.335161460294</v>
      </c>
      <c r="AH131" s="621">
        <f t="shared" si="50"/>
        <v>64707.616724796571</v>
      </c>
      <c r="AI131" s="621">
        <f t="shared" si="50"/>
        <v>64723.335251650133</v>
      </c>
      <c r="AJ131" s="621">
        <f t="shared" si="50"/>
        <v>64704.816914870891</v>
      </c>
      <c r="AK131" s="621">
        <f t="shared" si="50"/>
        <v>64728.222633716417</v>
      </c>
      <c r="AL131" s="621">
        <f t="shared" si="50"/>
        <v>64834.090605540878</v>
      </c>
      <c r="AM131" s="621">
        <f t="shared" si="50"/>
        <v>64891.063295582702</v>
      </c>
      <c r="AN131" s="345"/>
      <c r="AO131" s="345"/>
      <c r="AP131" s="345"/>
      <c r="AQ131" s="345"/>
      <c r="AR131" s="345"/>
      <c r="AS131" s="345"/>
      <c r="AT131" s="345"/>
      <c r="AU131" s="345"/>
      <c r="AV131" s="345"/>
      <c r="AW131" s="345"/>
      <c r="AX131" s="345"/>
      <c r="AY131" s="345"/>
      <c r="AZ131" s="345"/>
      <c r="BA131" s="345"/>
      <c r="BB131" s="345"/>
      <c r="BC131" s="345"/>
      <c r="BD131" s="345"/>
      <c r="BE131" s="345"/>
      <c r="BF131" s="345"/>
      <c r="BG131" s="345"/>
      <c r="BH131" s="345"/>
      <c r="BI131" s="345"/>
      <c r="BJ131" s="345"/>
      <c r="BK131" s="345"/>
      <c r="BL131" s="345"/>
      <c r="BM131" s="345"/>
      <c r="BN131" s="345"/>
      <c r="BO131" s="345"/>
      <c r="BP131" s="345"/>
      <c r="BQ131" s="345"/>
      <c r="BR131" s="345"/>
      <c r="BS131" s="345"/>
      <c r="BT131" s="345"/>
      <c r="BU131" s="345"/>
      <c r="BV131" s="345"/>
      <c r="BW131" s="345"/>
      <c r="BX131" s="345"/>
      <c r="BY131" s="345"/>
      <c r="BZ131" s="345"/>
      <c r="CA131" s="345"/>
      <c r="CB131" s="345"/>
      <c r="CC131" s="345"/>
      <c r="CD131" s="345"/>
      <c r="CE131" s="345"/>
      <c r="CF131" s="345"/>
      <c r="CG131" s="345"/>
      <c r="CH131" s="345"/>
      <c r="CI131" s="345"/>
      <c r="CJ131" s="345"/>
      <c r="CK131" s="345"/>
      <c r="CL131" s="345"/>
      <c r="CM131" s="345"/>
      <c r="CN131" s="345"/>
      <c r="CO131" s="345"/>
      <c r="CP131" s="345"/>
      <c r="CQ131" s="345"/>
      <c r="CR131" s="345"/>
      <c r="CS131" s="345"/>
      <c r="CT131" s="345"/>
      <c r="CU131" s="345"/>
      <c r="CV131" s="345"/>
      <c r="CW131" s="345"/>
      <c r="CX131" s="345"/>
      <c r="CY131" s="345"/>
      <c r="CZ131" s="345"/>
      <c r="DA131" s="345"/>
      <c r="DB131" s="345"/>
      <c r="DC131" s="345"/>
      <c r="DD131" s="345"/>
      <c r="DE131" s="345"/>
      <c r="DF131" s="345"/>
      <c r="DG131" s="345"/>
      <c r="DH131" s="345"/>
      <c r="DI131" s="345"/>
      <c r="DJ131" s="345"/>
      <c r="DK131" s="345"/>
      <c r="DL131" s="345"/>
      <c r="DM131" s="345"/>
      <c r="DN131" s="345"/>
      <c r="DO131" s="345"/>
      <c r="DP131" s="345"/>
      <c r="DQ131" s="345"/>
      <c r="DR131" s="345"/>
      <c r="DS131" s="345"/>
      <c r="DT131" s="345"/>
      <c r="DU131" s="345"/>
      <c r="DV131" s="345"/>
      <c r="DW131" s="345"/>
      <c r="DX131" s="345"/>
      <c r="DY131" s="345"/>
    </row>
    <row r="132" spans="2:129" s="333" customFormat="1">
      <c r="B132" s="593"/>
      <c r="C132" s="323"/>
      <c r="O132" s="597"/>
      <c r="P132" s="598"/>
      <c r="Q132" s="323"/>
      <c r="R132" s="323"/>
      <c r="S132" s="323"/>
      <c r="T132" s="323"/>
      <c r="U132" s="323"/>
      <c r="V132" s="323"/>
      <c r="W132" s="323"/>
      <c r="X132" s="323"/>
      <c r="Y132" s="323"/>
      <c r="Z132" s="323"/>
      <c r="AA132" s="599"/>
      <c r="AB132" s="598"/>
      <c r="AN132" s="323"/>
      <c r="AO132" s="323"/>
      <c r="AP132" s="323"/>
      <c r="AQ132" s="323"/>
      <c r="AR132" s="323"/>
      <c r="AS132" s="323"/>
      <c r="AT132" s="323"/>
      <c r="AU132" s="323"/>
      <c r="AV132" s="323"/>
      <c r="AW132" s="323"/>
      <c r="AX132" s="323"/>
      <c r="AY132" s="323"/>
      <c r="AZ132" s="323"/>
      <c r="BA132" s="323"/>
      <c r="BB132" s="323"/>
      <c r="BC132" s="323"/>
      <c r="BD132" s="323"/>
      <c r="BE132" s="323"/>
      <c r="BF132" s="323"/>
      <c r="BG132" s="323"/>
      <c r="BH132" s="323"/>
      <c r="BI132" s="323"/>
      <c r="BJ132" s="323"/>
      <c r="BK132" s="323"/>
      <c r="BL132" s="323"/>
      <c r="BM132" s="323"/>
      <c r="BN132" s="323"/>
      <c r="BO132" s="323"/>
      <c r="BP132" s="323"/>
      <c r="BQ132" s="323"/>
      <c r="BR132" s="323"/>
      <c r="BS132" s="323"/>
      <c r="BT132" s="323"/>
      <c r="BU132" s="323"/>
      <c r="BV132" s="323"/>
      <c r="BW132" s="323"/>
      <c r="BX132" s="323"/>
      <c r="BY132" s="323"/>
      <c r="BZ132" s="323"/>
      <c r="CA132" s="323"/>
      <c r="CB132" s="323"/>
      <c r="CC132" s="323"/>
      <c r="CD132" s="323"/>
      <c r="CE132" s="323"/>
      <c r="CF132" s="323"/>
      <c r="CG132" s="323"/>
      <c r="CH132" s="323"/>
      <c r="CI132" s="323"/>
      <c r="CJ132" s="323"/>
      <c r="CK132" s="323"/>
      <c r="CL132" s="323"/>
      <c r="CM132" s="323"/>
      <c r="CN132" s="323"/>
      <c r="CO132" s="323"/>
      <c r="CP132" s="323"/>
      <c r="CQ132" s="323"/>
      <c r="CR132" s="323"/>
      <c r="CS132" s="323"/>
      <c r="CT132" s="323"/>
      <c r="CU132" s="323"/>
      <c r="CV132" s="323"/>
      <c r="CW132" s="323"/>
      <c r="CX132" s="323"/>
      <c r="CY132" s="323"/>
      <c r="CZ132" s="323"/>
      <c r="DA132" s="323"/>
      <c r="DB132" s="323"/>
      <c r="DC132" s="323"/>
      <c r="DD132" s="323"/>
      <c r="DE132" s="323"/>
      <c r="DF132" s="323"/>
      <c r="DG132" s="323"/>
      <c r="DH132" s="323"/>
      <c r="DI132" s="323"/>
      <c r="DJ132" s="323"/>
      <c r="DK132" s="323"/>
      <c r="DL132" s="323"/>
      <c r="DM132" s="323"/>
      <c r="DN132" s="323"/>
      <c r="DO132" s="323"/>
      <c r="DP132" s="323"/>
      <c r="DQ132" s="323"/>
      <c r="DR132" s="323"/>
      <c r="DS132" s="323"/>
      <c r="DT132" s="323"/>
      <c r="DU132" s="323"/>
      <c r="DV132" s="323"/>
      <c r="DW132" s="323"/>
      <c r="DX132" s="323"/>
      <c r="DY132" s="323"/>
    </row>
    <row r="133" spans="2:129" s="935" customFormat="1" ht="25.8">
      <c r="B133" s="645" t="s">
        <v>61</v>
      </c>
      <c r="C133" s="646"/>
      <c r="D133" s="646"/>
      <c r="O133" s="952"/>
      <c r="P133" s="936"/>
      <c r="AA133" s="952"/>
      <c r="AB133" s="936"/>
      <c r="AN133" s="323"/>
      <c r="AO133" s="323"/>
      <c r="AP133" s="323"/>
      <c r="AQ133" s="323"/>
      <c r="AR133" s="323"/>
      <c r="AS133" s="323"/>
      <c r="AT133" s="323"/>
      <c r="AU133" s="323"/>
      <c r="AV133" s="323"/>
      <c r="AW133" s="323"/>
      <c r="AX133" s="323"/>
      <c r="AY133" s="323"/>
      <c r="AZ133" s="323"/>
      <c r="BA133" s="323"/>
      <c r="BB133" s="323"/>
      <c r="BC133" s="323"/>
      <c r="BD133" s="323"/>
      <c r="BE133" s="323"/>
      <c r="BF133" s="323"/>
      <c r="BG133" s="323"/>
      <c r="BH133" s="323"/>
      <c r="BI133" s="323"/>
      <c r="BJ133" s="323"/>
      <c r="BK133" s="323"/>
      <c r="BL133" s="323"/>
      <c r="BM133" s="323"/>
      <c r="BN133" s="323"/>
      <c r="BO133" s="323"/>
      <c r="BP133" s="323"/>
      <c r="BQ133" s="323"/>
      <c r="BR133" s="323"/>
      <c r="BS133" s="323"/>
      <c r="BT133" s="323"/>
      <c r="BU133" s="323"/>
      <c r="BV133" s="323"/>
      <c r="BW133" s="323"/>
      <c r="BX133" s="323"/>
      <c r="BY133" s="323"/>
      <c r="BZ133" s="323"/>
      <c r="CA133" s="323"/>
      <c r="CB133" s="323"/>
      <c r="CC133" s="323"/>
      <c r="CD133" s="323"/>
      <c r="CE133" s="323"/>
      <c r="CF133" s="323"/>
      <c r="CG133" s="323"/>
      <c r="CH133" s="323"/>
      <c r="CI133" s="323"/>
      <c r="CJ133" s="323"/>
      <c r="CK133" s="323"/>
      <c r="CL133" s="323"/>
      <c r="CM133" s="323"/>
      <c r="CN133" s="323"/>
      <c r="CO133" s="323"/>
      <c r="CP133" s="323"/>
      <c r="CQ133" s="323"/>
      <c r="CR133" s="323"/>
      <c r="CS133" s="323"/>
      <c r="CT133" s="323"/>
      <c r="CU133" s="323"/>
      <c r="CV133" s="323"/>
      <c r="CW133" s="323"/>
      <c r="CX133" s="323"/>
      <c r="CY133" s="323"/>
      <c r="CZ133" s="323"/>
      <c r="DA133" s="323"/>
      <c r="DB133" s="323"/>
      <c r="DC133" s="323"/>
      <c r="DD133" s="323"/>
      <c r="DE133" s="323"/>
      <c r="DF133" s="323"/>
      <c r="DG133" s="323"/>
      <c r="DH133" s="323"/>
      <c r="DI133" s="323"/>
      <c r="DJ133" s="323"/>
      <c r="DK133" s="323"/>
      <c r="DL133" s="323"/>
      <c r="DM133" s="323"/>
      <c r="DN133" s="323"/>
      <c r="DO133" s="323"/>
      <c r="DP133" s="323"/>
      <c r="DQ133" s="323"/>
      <c r="DR133" s="323"/>
      <c r="DS133" s="323"/>
      <c r="DT133" s="323"/>
      <c r="DU133" s="323"/>
      <c r="DV133" s="323"/>
      <c r="DW133" s="323"/>
      <c r="DX133" s="323"/>
      <c r="DY133" s="323"/>
    </row>
    <row r="134" spans="2:129" s="333" customFormat="1" ht="26.55" customHeight="1">
      <c r="B134" s="593"/>
      <c r="D134" s="1217"/>
      <c r="E134" s="1217"/>
      <c r="F134" s="1217"/>
      <c r="G134" s="1217"/>
      <c r="H134" s="1217"/>
      <c r="I134" s="1217"/>
      <c r="J134" s="1217"/>
      <c r="K134" s="1217"/>
      <c r="L134" s="1217"/>
      <c r="M134" s="1217"/>
      <c r="N134" s="1217"/>
      <c r="O134" s="1229"/>
      <c r="P134" s="1217"/>
      <c r="Q134" s="1217"/>
      <c r="R134" s="1217"/>
      <c r="S134" s="1217"/>
      <c r="T134" s="1217"/>
      <c r="U134" s="1217"/>
      <c r="V134" s="1217"/>
      <c r="W134" s="1217"/>
      <c r="X134" s="1217"/>
      <c r="Y134" s="1217"/>
      <c r="Z134" s="1217"/>
      <c r="AA134" s="1229"/>
      <c r="AB134" s="1217"/>
      <c r="AC134" s="1217"/>
      <c r="AD134" s="1217"/>
      <c r="AE134" s="1217"/>
      <c r="AF134" s="1217"/>
      <c r="AG134" s="1217"/>
      <c r="AH134" s="1217"/>
      <c r="AI134" s="1217"/>
      <c r="AJ134" s="1217"/>
      <c r="AK134" s="1217"/>
      <c r="AL134" s="1217"/>
      <c r="AM134" s="1229"/>
      <c r="AN134" s="323"/>
      <c r="AO134" s="323"/>
      <c r="AP134" s="323"/>
      <c r="AQ134" s="323"/>
      <c r="AR134" s="323"/>
      <c r="AS134" s="323"/>
      <c r="AT134" s="323"/>
      <c r="AU134" s="323"/>
      <c r="AV134" s="323"/>
      <c r="AW134" s="323"/>
      <c r="AX134" s="323"/>
      <c r="AY134" s="323"/>
      <c r="AZ134" s="323"/>
      <c r="BA134" s="323"/>
      <c r="BB134" s="323"/>
      <c r="BC134" s="323"/>
      <c r="BD134" s="323"/>
      <c r="BE134" s="323"/>
      <c r="BF134" s="323"/>
      <c r="BG134" s="323"/>
      <c r="BH134" s="323"/>
      <c r="BI134" s="323"/>
      <c r="BJ134" s="323"/>
      <c r="BK134" s="323"/>
      <c r="BL134" s="323"/>
      <c r="BM134" s="323"/>
      <c r="BN134" s="323"/>
      <c r="BO134" s="323"/>
      <c r="BP134" s="323"/>
      <c r="BQ134" s="323"/>
      <c r="BR134" s="323"/>
      <c r="BS134" s="323"/>
      <c r="BT134" s="323"/>
      <c r="BU134" s="323"/>
      <c r="BV134" s="323"/>
      <c r="BW134" s="323"/>
      <c r="BX134" s="323"/>
      <c r="BY134" s="323"/>
      <c r="BZ134" s="323"/>
      <c r="CA134" s="323"/>
      <c r="CB134" s="323"/>
      <c r="CC134" s="323"/>
      <c r="CD134" s="323"/>
      <c r="CE134" s="323"/>
      <c r="CF134" s="323"/>
      <c r="CG134" s="323"/>
      <c r="CH134" s="323"/>
      <c r="CI134" s="323"/>
      <c r="CJ134" s="323"/>
      <c r="CK134" s="323"/>
      <c r="CL134" s="323"/>
      <c r="CM134" s="323"/>
      <c r="CN134" s="323"/>
      <c r="CO134" s="323"/>
      <c r="CP134" s="323"/>
      <c r="CQ134" s="323"/>
      <c r="CR134" s="323"/>
      <c r="CS134" s="323"/>
      <c r="CT134" s="323"/>
      <c r="CU134" s="323"/>
      <c r="CV134" s="323"/>
      <c r="CW134" s="323"/>
      <c r="CX134" s="323"/>
      <c r="CY134" s="323"/>
      <c r="CZ134" s="323"/>
      <c r="DA134" s="323"/>
      <c r="DB134" s="323"/>
      <c r="DC134" s="323"/>
      <c r="DD134" s="323"/>
      <c r="DE134" s="323"/>
      <c r="DF134" s="323"/>
      <c r="DG134" s="323"/>
      <c r="DH134" s="323"/>
      <c r="DI134" s="323"/>
      <c r="DJ134" s="323"/>
      <c r="DK134" s="323"/>
      <c r="DL134" s="323"/>
      <c r="DM134" s="323"/>
      <c r="DN134" s="323"/>
      <c r="DO134" s="323"/>
      <c r="DP134" s="323"/>
      <c r="DQ134" s="323"/>
      <c r="DR134" s="323"/>
      <c r="DS134" s="323"/>
      <c r="DT134" s="323"/>
      <c r="DU134" s="323"/>
      <c r="DV134" s="323"/>
      <c r="DW134" s="323"/>
      <c r="DX134" s="323"/>
      <c r="DY134" s="323"/>
    </row>
    <row r="135" spans="2:129" s="300" customFormat="1">
      <c r="C135" s="300" t="str">
        <f t="shared" ref="C135:AM135" si="51">C100</f>
        <v>Month:</v>
      </c>
      <c r="D135" s="615">
        <f t="shared" si="51"/>
        <v>45292</v>
      </c>
      <c r="E135" s="615">
        <f t="shared" si="51"/>
        <v>45323</v>
      </c>
      <c r="F135" s="615">
        <f t="shared" si="51"/>
        <v>45352</v>
      </c>
      <c r="G135" s="615">
        <f t="shared" si="51"/>
        <v>45383</v>
      </c>
      <c r="H135" s="615">
        <f t="shared" si="51"/>
        <v>45413</v>
      </c>
      <c r="I135" s="615">
        <f t="shared" si="51"/>
        <v>45444</v>
      </c>
      <c r="J135" s="615">
        <f t="shared" si="51"/>
        <v>45474</v>
      </c>
      <c r="K135" s="615">
        <f t="shared" si="51"/>
        <v>45505</v>
      </c>
      <c r="L135" s="615">
        <f t="shared" si="51"/>
        <v>45536</v>
      </c>
      <c r="M135" s="615">
        <f t="shared" si="51"/>
        <v>45566</v>
      </c>
      <c r="N135" s="615">
        <f t="shared" si="51"/>
        <v>45597</v>
      </c>
      <c r="O135" s="616">
        <f t="shared" si="51"/>
        <v>45627</v>
      </c>
      <c r="P135" s="615">
        <f t="shared" si="51"/>
        <v>45658</v>
      </c>
      <c r="Q135" s="615">
        <f t="shared" si="51"/>
        <v>45689</v>
      </c>
      <c r="R135" s="615">
        <f t="shared" si="51"/>
        <v>45717</v>
      </c>
      <c r="S135" s="615">
        <f t="shared" si="51"/>
        <v>45748</v>
      </c>
      <c r="T135" s="615">
        <f t="shared" si="51"/>
        <v>45778</v>
      </c>
      <c r="U135" s="615">
        <f t="shared" si="51"/>
        <v>45809</v>
      </c>
      <c r="V135" s="615">
        <f t="shared" si="51"/>
        <v>45839</v>
      </c>
      <c r="W135" s="615">
        <f t="shared" si="51"/>
        <v>45870</v>
      </c>
      <c r="X135" s="615">
        <f t="shared" si="51"/>
        <v>45901</v>
      </c>
      <c r="Y135" s="615">
        <f t="shared" si="51"/>
        <v>45931</v>
      </c>
      <c r="Z135" s="615">
        <f t="shared" si="51"/>
        <v>45962</v>
      </c>
      <c r="AA135" s="616">
        <f t="shared" si="51"/>
        <v>45992</v>
      </c>
      <c r="AB135" s="615">
        <f t="shared" si="51"/>
        <v>46023</v>
      </c>
      <c r="AC135" s="615">
        <f t="shared" si="51"/>
        <v>46054</v>
      </c>
      <c r="AD135" s="615">
        <f t="shared" si="51"/>
        <v>46082</v>
      </c>
      <c r="AE135" s="615">
        <f t="shared" si="51"/>
        <v>46113</v>
      </c>
      <c r="AF135" s="615">
        <f t="shared" si="51"/>
        <v>46143</v>
      </c>
      <c r="AG135" s="615">
        <f t="shared" si="51"/>
        <v>46174</v>
      </c>
      <c r="AH135" s="615">
        <f t="shared" si="51"/>
        <v>46204</v>
      </c>
      <c r="AI135" s="615">
        <f t="shared" si="51"/>
        <v>46235</v>
      </c>
      <c r="AJ135" s="615">
        <f t="shared" si="51"/>
        <v>46266</v>
      </c>
      <c r="AK135" s="615">
        <f t="shared" si="51"/>
        <v>46296</v>
      </c>
      <c r="AL135" s="615">
        <f t="shared" si="51"/>
        <v>46327</v>
      </c>
      <c r="AM135" s="615">
        <f t="shared" si="51"/>
        <v>46357</v>
      </c>
    </row>
    <row r="136" spans="2:129" s="300" customFormat="1">
      <c r="D136" s="615"/>
      <c r="E136" s="615"/>
      <c r="F136" s="615"/>
      <c r="G136" s="615"/>
      <c r="H136" s="615"/>
      <c r="I136" s="615"/>
      <c r="J136" s="615"/>
      <c r="K136" s="615"/>
      <c r="L136" s="615"/>
      <c r="M136" s="615"/>
      <c r="N136" s="615"/>
      <c r="O136" s="616"/>
      <c r="P136" s="615"/>
      <c r="Q136" s="615"/>
      <c r="R136" s="615"/>
      <c r="S136" s="615"/>
      <c r="T136" s="615"/>
      <c r="U136" s="615"/>
      <c r="V136" s="615"/>
      <c r="W136" s="615"/>
      <c r="X136" s="615"/>
      <c r="Y136" s="615"/>
      <c r="Z136" s="615"/>
      <c r="AA136" s="616"/>
      <c r="AB136" s="615"/>
      <c r="AC136" s="615"/>
      <c r="AD136" s="615"/>
      <c r="AE136" s="615"/>
      <c r="AF136" s="615"/>
      <c r="AG136" s="615"/>
      <c r="AH136" s="615"/>
      <c r="AI136" s="615"/>
      <c r="AJ136" s="615"/>
      <c r="AK136" s="615"/>
      <c r="AL136" s="615"/>
      <c r="AM136" s="615"/>
    </row>
    <row r="137" spans="2:129" s="300" customFormat="1">
      <c r="D137" s="615"/>
      <c r="E137" s="615"/>
      <c r="F137" s="615"/>
      <c r="G137" s="615"/>
      <c r="H137" s="615"/>
      <c r="I137" s="615"/>
      <c r="J137" s="615"/>
      <c r="K137" s="615"/>
      <c r="L137" s="615"/>
      <c r="M137" s="615"/>
      <c r="N137" s="615"/>
      <c r="O137" s="616"/>
      <c r="P137" s="615"/>
      <c r="Q137" s="615"/>
      <c r="R137" s="615"/>
      <c r="S137" s="615"/>
      <c r="T137" s="615"/>
      <c r="U137" s="615"/>
      <c r="V137" s="615"/>
      <c r="W137" s="615"/>
      <c r="X137" s="615"/>
      <c r="Y137" s="615"/>
      <c r="Z137" s="615"/>
      <c r="AA137" s="616"/>
      <c r="AB137" s="615"/>
      <c r="AC137" s="615"/>
      <c r="AD137" s="615"/>
      <c r="AE137" s="615"/>
      <c r="AF137" s="615"/>
      <c r="AG137" s="615"/>
      <c r="AH137" s="615"/>
      <c r="AI137" s="615"/>
      <c r="AJ137" s="615"/>
      <c r="AK137" s="615"/>
      <c r="AL137" s="615"/>
      <c r="AM137" s="615"/>
    </row>
    <row r="138" spans="2:129" ht="18.600000000000001" thickBot="1">
      <c r="B138" s="968" t="s">
        <v>253</v>
      </c>
      <c r="D138" s="323"/>
      <c r="E138" s="323"/>
      <c r="F138" s="323"/>
      <c r="G138" s="323"/>
      <c r="H138" s="323"/>
      <c r="I138" s="323"/>
      <c r="J138" s="323"/>
      <c r="K138" s="323"/>
      <c r="L138" s="323"/>
      <c r="M138" s="323"/>
      <c r="N138" s="323"/>
      <c r="O138" s="599"/>
      <c r="P138" s="323"/>
      <c r="Q138" s="323"/>
      <c r="R138" s="323"/>
      <c r="S138" s="323"/>
      <c r="T138" s="323"/>
      <c r="U138" s="323"/>
      <c r="V138" s="323"/>
      <c r="W138" s="323"/>
      <c r="X138" s="323"/>
      <c r="Y138" s="323"/>
      <c r="Z138" s="323"/>
      <c r="AA138" s="599"/>
      <c r="AB138" s="323"/>
      <c r="AC138" s="323"/>
      <c r="AD138" s="323"/>
      <c r="AE138" s="323"/>
      <c r="AF138" s="323"/>
      <c r="AG138" s="323"/>
      <c r="AH138" s="323"/>
      <c r="AI138" s="323"/>
      <c r="AJ138" s="323"/>
      <c r="AK138" s="323"/>
      <c r="AL138" s="323"/>
      <c r="AM138" s="323"/>
      <c r="AN138" s="323"/>
      <c r="AO138" s="323"/>
      <c r="AP138" s="323"/>
      <c r="AQ138" s="323"/>
      <c r="AR138" s="323"/>
      <c r="AS138" s="323"/>
      <c r="AT138" s="323"/>
      <c r="AU138" s="323"/>
      <c r="AV138" s="323"/>
      <c r="AW138" s="323"/>
      <c r="AX138" s="323"/>
      <c r="AY138" s="323"/>
      <c r="AZ138" s="323"/>
      <c r="BA138" s="323"/>
      <c r="BB138" s="323"/>
      <c r="BC138" s="323"/>
      <c r="BD138" s="323"/>
      <c r="BE138" s="323"/>
      <c r="BF138" s="323"/>
      <c r="BG138" s="323"/>
      <c r="BH138" s="323"/>
    </row>
    <row r="139" spans="2:129" ht="16.8" thickTop="1" thickBot="1">
      <c r="B139" s="962" t="s">
        <v>254</v>
      </c>
      <c r="C139" s="953"/>
      <c r="D139" s="953">
        <f t="shared" ref="D139:AM139" si="52">$D$86</f>
        <v>0</v>
      </c>
      <c r="E139" s="953">
        <f t="shared" si="52"/>
        <v>0</v>
      </c>
      <c r="F139" s="953">
        <f t="shared" si="52"/>
        <v>0</v>
      </c>
      <c r="G139" s="953">
        <f t="shared" si="52"/>
        <v>0</v>
      </c>
      <c r="H139" s="953">
        <f t="shared" si="52"/>
        <v>0</v>
      </c>
      <c r="I139" s="953">
        <f t="shared" si="52"/>
        <v>0</v>
      </c>
      <c r="J139" s="953">
        <f t="shared" si="52"/>
        <v>0</v>
      </c>
      <c r="K139" s="953">
        <f t="shared" si="52"/>
        <v>0</v>
      </c>
      <c r="L139" s="953">
        <f t="shared" si="52"/>
        <v>0</v>
      </c>
      <c r="M139" s="953">
        <f t="shared" si="52"/>
        <v>0</v>
      </c>
      <c r="N139" s="953">
        <f t="shared" si="52"/>
        <v>0</v>
      </c>
      <c r="O139" s="954">
        <f t="shared" si="52"/>
        <v>0</v>
      </c>
      <c r="P139" s="953">
        <f t="shared" si="52"/>
        <v>0</v>
      </c>
      <c r="Q139" s="953">
        <f t="shared" si="52"/>
        <v>0</v>
      </c>
      <c r="R139" s="953">
        <f t="shared" si="52"/>
        <v>0</v>
      </c>
      <c r="S139" s="953">
        <f t="shared" si="52"/>
        <v>0</v>
      </c>
      <c r="T139" s="953">
        <f t="shared" si="52"/>
        <v>0</v>
      </c>
      <c r="U139" s="953">
        <f t="shared" si="52"/>
        <v>0</v>
      </c>
      <c r="V139" s="953">
        <f t="shared" si="52"/>
        <v>0</v>
      </c>
      <c r="W139" s="953">
        <f t="shared" si="52"/>
        <v>0</v>
      </c>
      <c r="X139" s="953">
        <f t="shared" si="52"/>
        <v>0</v>
      </c>
      <c r="Y139" s="953">
        <f t="shared" si="52"/>
        <v>0</v>
      </c>
      <c r="Z139" s="953">
        <f t="shared" si="52"/>
        <v>0</v>
      </c>
      <c r="AA139" s="954">
        <f t="shared" si="52"/>
        <v>0</v>
      </c>
      <c r="AB139" s="953">
        <f t="shared" si="52"/>
        <v>0</v>
      </c>
      <c r="AC139" s="953">
        <f t="shared" si="52"/>
        <v>0</v>
      </c>
      <c r="AD139" s="953">
        <f t="shared" si="52"/>
        <v>0</v>
      </c>
      <c r="AE139" s="953">
        <f t="shared" si="52"/>
        <v>0</v>
      </c>
      <c r="AF139" s="953">
        <f t="shared" si="52"/>
        <v>0</v>
      </c>
      <c r="AG139" s="953">
        <f t="shared" si="52"/>
        <v>0</v>
      </c>
      <c r="AH139" s="953">
        <f t="shared" si="52"/>
        <v>0</v>
      </c>
      <c r="AI139" s="953">
        <f t="shared" si="52"/>
        <v>0</v>
      </c>
      <c r="AJ139" s="953">
        <f t="shared" si="52"/>
        <v>0</v>
      </c>
      <c r="AK139" s="953">
        <f t="shared" si="52"/>
        <v>0</v>
      </c>
      <c r="AL139" s="953">
        <f t="shared" si="52"/>
        <v>0</v>
      </c>
      <c r="AM139" s="953">
        <f t="shared" si="52"/>
        <v>0</v>
      </c>
      <c r="AN139" s="323"/>
      <c r="AO139" s="323"/>
      <c r="AP139" s="323"/>
      <c r="AQ139" s="323"/>
      <c r="AR139" s="323"/>
      <c r="AS139" s="323"/>
      <c r="AT139" s="323"/>
      <c r="AU139" s="323"/>
      <c r="AV139" s="323"/>
      <c r="AW139" s="323"/>
      <c r="AX139" s="323"/>
      <c r="AY139" s="323"/>
      <c r="AZ139" s="323"/>
      <c r="BA139" s="323"/>
      <c r="BB139" s="323"/>
      <c r="BC139" s="323"/>
      <c r="BD139" s="323"/>
      <c r="BE139" s="323"/>
      <c r="BF139" s="323"/>
      <c r="BG139" s="323"/>
      <c r="BH139" s="323"/>
    </row>
    <row r="140" spans="2:129" ht="16.8" thickTop="1" thickBot="1">
      <c r="C140" s="953"/>
      <c r="D140" s="955"/>
      <c r="E140" s="956"/>
      <c r="F140" s="956"/>
      <c r="G140" s="956"/>
      <c r="H140" s="956"/>
      <c r="I140" s="956"/>
      <c r="J140" s="956"/>
      <c r="K140" s="956"/>
      <c r="L140" s="956"/>
      <c r="M140" s="956"/>
      <c r="N140" s="956"/>
      <c r="O140" s="957"/>
      <c r="P140" s="956"/>
      <c r="Q140" s="956"/>
      <c r="R140" s="956"/>
      <c r="S140" s="956"/>
      <c r="T140" s="956"/>
      <c r="U140" s="956"/>
      <c r="V140" s="956"/>
      <c r="W140" s="956"/>
      <c r="X140" s="956"/>
      <c r="Y140" s="956"/>
      <c r="Z140" s="956"/>
      <c r="AA140" s="957"/>
      <c r="AB140" s="956"/>
      <c r="AC140" s="956"/>
      <c r="AD140" s="956"/>
      <c r="AE140" s="956"/>
      <c r="AF140" s="956"/>
      <c r="AG140" s="956"/>
      <c r="AH140" s="956"/>
      <c r="AI140" s="956"/>
      <c r="AJ140" s="956"/>
      <c r="AK140" s="956"/>
      <c r="AL140" s="956"/>
      <c r="AM140" s="956"/>
      <c r="AN140" s="323"/>
      <c r="AO140" s="323"/>
      <c r="AP140" s="323"/>
      <c r="AQ140" s="323"/>
      <c r="AR140" s="323"/>
      <c r="AS140" s="323"/>
      <c r="AT140" s="323"/>
      <c r="AU140" s="323"/>
      <c r="AV140" s="323"/>
      <c r="AW140" s="323"/>
      <c r="AX140" s="323"/>
      <c r="AY140" s="323"/>
      <c r="AZ140" s="323"/>
      <c r="BA140" s="323"/>
      <c r="BB140" s="323"/>
      <c r="BC140" s="323"/>
      <c r="BD140" s="323"/>
      <c r="BE140" s="323"/>
      <c r="BF140" s="323"/>
      <c r="BG140" s="323"/>
      <c r="BH140" s="323"/>
    </row>
    <row r="141" spans="2:129" ht="16.2" thickTop="1">
      <c r="B141" s="963" t="str">
        <f>B54</f>
        <v xml:space="preserve">Computers </v>
      </c>
      <c r="C141" s="953"/>
      <c r="D141" s="956"/>
      <c r="E141" s="956"/>
      <c r="F141" s="956"/>
      <c r="G141" s="956"/>
      <c r="H141" s="956"/>
      <c r="I141" s="956"/>
      <c r="J141" s="956"/>
      <c r="K141" s="956"/>
      <c r="L141" s="956"/>
      <c r="M141" s="956"/>
      <c r="N141" s="956"/>
      <c r="O141" s="957"/>
      <c r="P141" s="956"/>
      <c r="Q141" s="956"/>
      <c r="R141" s="956"/>
      <c r="S141" s="956"/>
      <c r="T141" s="956"/>
      <c r="U141" s="956"/>
      <c r="V141" s="956"/>
      <c r="W141" s="956"/>
      <c r="X141" s="956"/>
      <c r="Y141" s="956"/>
      <c r="Z141" s="956"/>
      <c r="AA141" s="957"/>
      <c r="AB141" s="956"/>
      <c r="AC141" s="956"/>
      <c r="AD141" s="956"/>
      <c r="AE141" s="956"/>
      <c r="AF141" s="956"/>
      <c r="AG141" s="956"/>
      <c r="AH141" s="956"/>
      <c r="AI141" s="956"/>
      <c r="AJ141" s="956"/>
      <c r="AK141" s="956"/>
      <c r="AL141" s="956"/>
      <c r="AM141" s="956"/>
      <c r="AN141" s="323"/>
      <c r="AO141" s="323"/>
      <c r="AP141" s="323"/>
      <c r="AQ141" s="323"/>
      <c r="AR141" s="323"/>
      <c r="AS141" s="323"/>
      <c r="AT141" s="323"/>
      <c r="AU141" s="323"/>
      <c r="AV141" s="323"/>
      <c r="AW141" s="323"/>
      <c r="AX141" s="323"/>
      <c r="AY141" s="323"/>
      <c r="AZ141" s="323"/>
      <c r="BA141" s="323"/>
      <c r="BB141" s="323"/>
      <c r="BC141" s="323"/>
      <c r="BD141" s="323"/>
      <c r="BE141" s="323"/>
      <c r="BF141" s="323"/>
      <c r="BG141" s="323"/>
      <c r="BH141" s="323"/>
    </row>
    <row r="142" spans="2:129" ht="15" customHeight="1">
      <c r="B142" s="964" t="s">
        <v>112</v>
      </c>
      <c r="C142" s="953"/>
      <c r="D142" s="953">
        <v>0</v>
      </c>
      <c r="E142" s="956">
        <f>D146</f>
        <v>0</v>
      </c>
      <c r="F142" s="956">
        <f t="shared" ref="F142:AM142" si="53">E146</f>
        <v>0</v>
      </c>
      <c r="G142" s="956">
        <f t="shared" si="53"/>
        <v>0</v>
      </c>
      <c r="H142" s="956">
        <f t="shared" si="53"/>
        <v>0</v>
      </c>
      <c r="I142" s="956">
        <f t="shared" si="53"/>
        <v>0</v>
      </c>
      <c r="J142" s="956">
        <f>I146</f>
        <v>0</v>
      </c>
      <c r="K142" s="956">
        <f t="shared" si="53"/>
        <v>0</v>
      </c>
      <c r="L142" s="956">
        <f t="shared" si="53"/>
        <v>0</v>
      </c>
      <c r="M142" s="956">
        <f t="shared" si="53"/>
        <v>0</v>
      </c>
      <c r="N142" s="956">
        <f t="shared" si="53"/>
        <v>0</v>
      </c>
      <c r="O142" s="957">
        <f t="shared" si="53"/>
        <v>0</v>
      </c>
      <c r="P142" s="956">
        <f t="shared" si="53"/>
        <v>0</v>
      </c>
      <c r="Q142" s="956">
        <f t="shared" si="53"/>
        <v>0</v>
      </c>
      <c r="R142" s="956">
        <f t="shared" si="53"/>
        <v>0</v>
      </c>
      <c r="S142" s="956">
        <f t="shared" si="53"/>
        <v>0</v>
      </c>
      <c r="T142" s="956">
        <f t="shared" si="53"/>
        <v>0</v>
      </c>
      <c r="U142" s="956">
        <f t="shared" si="53"/>
        <v>0</v>
      </c>
      <c r="V142" s="956">
        <f t="shared" si="53"/>
        <v>0</v>
      </c>
      <c r="W142" s="956">
        <f t="shared" si="53"/>
        <v>0</v>
      </c>
      <c r="X142" s="956">
        <f t="shared" si="53"/>
        <v>0</v>
      </c>
      <c r="Y142" s="956">
        <f t="shared" si="53"/>
        <v>0</v>
      </c>
      <c r="Z142" s="956">
        <f t="shared" si="53"/>
        <v>0</v>
      </c>
      <c r="AA142" s="957">
        <f t="shared" si="53"/>
        <v>0</v>
      </c>
      <c r="AB142" s="956">
        <f t="shared" si="53"/>
        <v>0</v>
      </c>
      <c r="AC142" s="956">
        <f t="shared" si="53"/>
        <v>3916.6666666666665</v>
      </c>
      <c r="AD142" s="956">
        <f t="shared" si="53"/>
        <v>3833.333333333333</v>
      </c>
      <c r="AE142" s="956">
        <f t="shared" si="53"/>
        <v>3749.9999999999995</v>
      </c>
      <c r="AF142" s="956">
        <f t="shared" si="53"/>
        <v>3666.6666666666661</v>
      </c>
      <c r="AG142" s="956">
        <f t="shared" si="53"/>
        <v>3583.3333333333326</v>
      </c>
      <c r="AH142" s="956">
        <f t="shared" si="53"/>
        <v>3499.9999999999991</v>
      </c>
      <c r="AI142" s="956">
        <f t="shared" si="53"/>
        <v>3416.6666666666656</v>
      </c>
      <c r="AJ142" s="956">
        <f t="shared" si="53"/>
        <v>3333.3333333333321</v>
      </c>
      <c r="AK142" s="956">
        <f t="shared" si="53"/>
        <v>3249.9999999999986</v>
      </c>
      <c r="AL142" s="956">
        <f t="shared" si="53"/>
        <v>3166.6666666666652</v>
      </c>
      <c r="AM142" s="956">
        <f t="shared" si="53"/>
        <v>3083.3333333333317</v>
      </c>
      <c r="AN142" s="323"/>
      <c r="AO142" s="323"/>
      <c r="AP142" s="323"/>
      <c r="AQ142" s="323"/>
      <c r="AR142" s="323"/>
      <c r="AS142" s="323"/>
      <c r="AT142" s="323"/>
      <c r="AU142" s="323"/>
      <c r="AV142" s="323"/>
      <c r="AW142" s="323"/>
      <c r="AX142" s="323"/>
      <c r="AY142" s="323"/>
      <c r="AZ142" s="323"/>
      <c r="BA142" s="323"/>
      <c r="BB142" s="323"/>
      <c r="BC142" s="323"/>
      <c r="BD142" s="323"/>
      <c r="BE142" s="323"/>
      <c r="BF142" s="323"/>
      <c r="BG142" s="323"/>
      <c r="BH142" s="323"/>
    </row>
    <row r="143" spans="2:129" ht="15" customHeight="1">
      <c r="B143" s="964" t="s">
        <v>265</v>
      </c>
      <c r="C143" s="953"/>
      <c r="D143" s="956">
        <f>G54</f>
        <v>0</v>
      </c>
      <c r="E143" s="956"/>
      <c r="F143" s="956"/>
      <c r="G143" s="956"/>
      <c r="H143" s="956"/>
      <c r="I143" s="956"/>
      <c r="J143" s="956"/>
      <c r="K143" s="956"/>
      <c r="L143" s="956"/>
      <c r="M143" s="956"/>
      <c r="N143" s="956"/>
      <c r="O143" s="957"/>
      <c r="P143" s="956">
        <f>H54</f>
        <v>0</v>
      </c>
      <c r="Q143" s="956"/>
      <c r="R143" s="956"/>
      <c r="S143" s="956"/>
      <c r="T143" s="956"/>
      <c r="U143" s="956"/>
      <c r="V143" s="956"/>
      <c r="W143" s="956"/>
      <c r="X143" s="956"/>
      <c r="Y143" s="956"/>
      <c r="Z143" s="956"/>
      <c r="AA143" s="957"/>
      <c r="AB143" s="956">
        <f>I54</f>
        <v>4000</v>
      </c>
      <c r="AC143" s="956"/>
      <c r="AD143" s="956"/>
      <c r="AE143" s="956"/>
      <c r="AF143" s="956"/>
      <c r="AG143" s="956"/>
      <c r="AH143" s="956"/>
      <c r="AI143" s="956"/>
      <c r="AJ143" s="956"/>
      <c r="AK143" s="956"/>
      <c r="AL143" s="956"/>
      <c r="AM143" s="956"/>
      <c r="AN143" s="323"/>
      <c r="AO143" s="323"/>
      <c r="AP143" s="323"/>
      <c r="AQ143" s="323"/>
      <c r="AR143" s="323"/>
      <c r="AS143" s="323"/>
      <c r="AT143" s="323"/>
      <c r="AU143" s="323"/>
      <c r="AV143" s="323"/>
      <c r="AW143" s="323"/>
      <c r="AX143" s="323"/>
      <c r="AY143" s="323"/>
      <c r="AZ143" s="323"/>
      <c r="BA143" s="323"/>
      <c r="BB143" s="323"/>
      <c r="BC143" s="323"/>
      <c r="BD143" s="323"/>
      <c r="BE143" s="323"/>
      <c r="BF143" s="323"/>
      <c r="BG143" s="323"/>
      <c r="BH143" s="323"/>
    </row>
    <row r="144" spans="2:129" ht="15" customHeight="1">
      <c r="B144" s="964" t="s">
        <v>110</v>
      </c>
      <c r="C144" s="953"/>
      <c r="D144" s="956">
        <f>SUM(D142:D143)</f>
        <v>0</v>
      </c>
      <c r="E144" s="956">
        <f>SUM(E142:E143)</f>
        <v>0</v>
      </c>
      <c r="F144" s="956">
        <f t="shared" ref="F144:AM144" si="54">SUM(F142:F143)</f>
        <v>0</v>
      </c>
      <c r="G144" s="956">
        <f t="shared" si="54"/>
        <v>0</v>
      </c>
      <c r="H144" s="956">
        <f t="shared" si="54"/>
        <v>0</v>
      </c>
      <c r="I144" s="956">
        <f t="shared" si="54"/>
        <v>0</v>
      </c>
      <c r="J144" s="956">
        <f t="shared" si="54"/>
        <v>0</v>
      </c>
      <c r="K144" s="956">
        <f t="shared" si="54"/>
        <v>0</v>
      </c>
      <c r="L144" s="956">
        <f t="shared" si="54"/>
        <v>0</v>
      </c>
      <c r="M144" s="956">
        <f t="shared" si="54"/>
        <v>0</v>
      </c>
      <c r="N144" s="956">
        <f t="shared" si="54"/>
        <v>0</v>
      </c>
      <c r="O144" s="957">
        <f t="shared" si="54"/>
        <v>0</v>
      </c>
      <c r="P144" s="956">
        <f>SUM(P142:P143)</f>
        <v>0</v>
      </c>
      <c r="Q144" s="956">
        <f t="shared" si="54"/>
        <v>0</v>
      </c>
      <c r="R144" s="956">
        <f t="shared" si="54"/>
        <v>0</v>
      </c>
      <c r="S144" s="956">
        <f t="shared" si="54"/>
        <v>0</v>
      </c>
      <c r="T144" s="956">
        <f t="shared" si="54"/>
        <v>0</v>
      </c>
      <c r="U144" s="956">
        <f t="shared" si="54"/>
        <v>0</v>
      </c>
      <c r="V144" s="956">
        <f t="shared" si="54"/>
        <v>0</v>
      </c>
      <c r="W144" s="956">
        <f t="shared" si="54"/>
        <v>0</v>
      </c>
      <c r="X144" s="956">
        <f t="shared" si="54"/>
        <v>0</v>
      </c>
      <c r="Y144" s="956">
        <f t="shared" si="54"/>
        <v>0</v>
      </c>
      <c r="Z144" s="956">
        <f t="shared" si="54"/>
        <v>0</v>
      </c>
      <c r="AA144" s="957">
        <f t="shared" si="54"/>
        <v>0</v>
      </c>
      <c r="AB144" s="956">
        <f>SUM(AB142:AB143)</f>
        <v>4000</v>
      </c>
      <c r="AC144" s="956">
        <f t="shared" si="54"/>
        <v>3916.6666666666665</v>
      </c>
      <c r="AD144" s="956">
        <f t="shared" si="54"/>
        <v>3833.333333333333</v>
      </c>
      <c r="AE144" s="956">
        <f t="shared" si="54"/>
        <v>3749.9999999999995</v>
      </c>
      <c r="AF144" s="956">
        <f t="shared" si="54"/>
        <v>3666.6666666666661</v>
      </c>
      <c r="AG144" s="956">
        <f t="shared" si="54"/>
        <v>3583.3333333333326</v>
      </c>
      <c r="AH144" s="956">
        <f t="shared" si="54"/>
        <v>3499.9999999999991</v>
      </c>
      <c r="AI144" s="956">
        <f t="shared" si="54"/>
        <v>3416.6666666666656</v>
      </c>
      <c r="AJ144" s="956">
        <f t="shared" si="54"/>
        <v>3333.3333333333321</v>
      </c>
      <c r="AK144" s="956">
        <f t="shared" si="54"/>
        <v>3249.9999999999986</v>
      </c>
      <c r="AL144" s="956">
        <f t="shared" si="54"/>
        <v>3166.6666666666652</v>
      </c>
      <c r="AM144" s="956">
        <f t="shared" si="54"/>
        <v>3083.3333333333317</v>
      </c>
      <c r="AN144" s="323"/>
      <c r="AO144" s="323"/>
      <c r="AP144" s="323"/>
      <c r="AQ144" s="323"/>
      <c r="AR144" s="323"/>
      <c r="AS144" s="323"/>
      <c r="AT144" s="323"/>
      <c r="AU144" s="323"/>
      <c r="AV144" s="323"/>
      <c r="AW144" s="323"/>
      <c r="AX144" s="323"/>
      <c r="AY144" s="323"/>
      <c r="AZ144" s="323"/>
      <c r="BA144" s="323"/>
      <c r="BB144" s="323"/>
      <c r="BC144" s="323"/>
      <c r="BD144" s="323"/>
      <c r="BE144" s="323"/>
      <c r="BF144" s="323"/>
      <c r="BG144" s="323"/>
      <c r="BH144" s="323"/>
    </row>
    <row r="145" spans="2:60" ht="15" customHeight="1">
      <c r="B145" s="964" t="s">
        <v>57</v>
      </c>
      <c r="C145" s="953"/>
      <c r="D145" s="956">
        <f t="shared" ref="D145:O145" si="55">-$D$143/$J$54/12</f>
        <v>0</v>
      </c>
      <c r="E145" s="956">
        <f t="shared" si="55"/>
        <v>0</v>
      </c>
      <c r="F145" s="956">
        <f t="shared" si="55"/>
        <v>0</v>
      </c>
      <c r="G145" s="956">
        <f t="shared" si="55"/>
        <v>0</v>
      </c>
      <c r="H145" s="956">
        <f t="shared" si="55"/>
        <v>0</v>
      </c>
      <c r="I145" s="956">
        <f t="shared" si="55"/>
        <v>0</v>
      </c>
      <c r="J145" s="956">
        <f t="shared" si="55"/>
        <v>0</v>
      </c>
      <c r="K145" s="956">
        <f t="shared" si="55"/>
        <v>0</v>
      </c>
      <c r="L145" s="956">
        <f t="shared" si="55"/>
        <v>0</v>
      </c>
      <c r="M145" s="956">
        <f t="shared" si="55"/>
        <v>0</v>
      </c>
      <c r="N145" s="956">
        <f t="shared" si="55"/>
        <v>0</v>
      </c>
      <c r="O145" s="956">
        <f t="shared" si="55"/>
        <v>0</v>
      </c>
      <c r="P145" s="956">
        <f t="shared" ref="P145:AA145" si="56">(-$D$143/$J$54/12)-($H$54/$J$54/12)</f>
        <v>0</v>
      </c>
      <c r="Q145" s="956">
        <f t="shared" si="56"/>
        <v>0</v>
      </c>
      <c r="R145" s="956">
        <f t="shared" si="56"/>
        <v>0</v>
      </c>
      <c r="S145" s="956">
        <f t="shared" si="56"/>
        <v>0</v>
      </c>
      <c r="T145" s="956">
        <f t="shared" si="56"/>
        <v>0</v>
      </c>
      <c r="U145" s="956">
        <f t="shared" si="56"/>
        <v>0</v>
      </c>
      <c r="V145" s="956">
        <f t="shared" si="56"/>
        <v>0</v>
      </c>
      <c r="W145" s="956">
        <f t="shared" si="56"/>
        <v>0</v>
      </c>
      <c r="X145" s="956">
        <f t="shared" si="56"/>
        <v>0</v>
      </c>
      <c r="Y145" s="956">
        <f t="shared" si="56"/>
        <v>0</v>
      </c>
      <c r="Z145" s="956">
        <f t="shared" si="56"/>
        <v>0</v>
      </c>
      <c r="AA145" s="956">
        <f t="shared" si="56"/>
        <v>0</v>
      </c>
      <c r="AB145" s="956">
        <f t="shared" ref="AB145:AM145" si="57">(-$D$143/$J$54/12)-($H$54/$J$54/12)-($I$54/$J$54/12)</f>
        <v>-83.333333333333329</v>
      </c>
      <c r="AC145" s="956">
        <f t="shared" si="57"/>
        <v>-83.333333333333329</v>
      </c>
      <c r="AD145" s="956">
        <f t="shared" si="57"/>
        <v>-83.333333333333329</v>
      </c>
      <c r="AE145" s="956">
        <f t="shared" si="57"/>
        <v>-83.333333333333329</v>
      </c>
      <c r="AF145" s="956">
        <f t="shared" si="57"/>
        <v>-83.333333333333329</v>
      </c>
      <c r="AG145" s="956">
        <f t="shared" si="57"/>
        <v>-83.333333333333329</v>
      </c>
      <c r="AH145" s="956">
        <f t="shared" si="57"/>
        <v>-83.333333333333329</v>
      </c>
      <c r="AI145" s="956">
        <f t="shared" si="57"/>
        <v>-83.333333333333329</v>
      </c>
      <c r="AJ145" s="956">
        <f t="shared" si="57"/>
        <v>-83.333333333333329</v>
      </c>
      <c r="AK145" s="956">
        <f t="shared" si="57"/>
        <v>-83.333333333333329</v>
      </c>
      <c r="AL145" s="956">
        <f t="shared" si="57"/>
        <v>-83.333333333333329</v>
      </c>
      <c r="AM145" s="956">
        <f t="shared" si="57"/>
        <v>-83.333333333333329</v>
      </c>
      <c r="AN145" s="323"/>
      <c r="AO145" s="323"/>
      <c r="AP145" s="323"/>
      <c r="AQ145" s="323"/>
      <c r="AR145" s="323"/>
      <c r="AS145" s="323"/>
      <c r="AT145" s="323"/>
      <c r="AU145" s="323"/>
      <c r="AV145" s="323"/>
      <c r="AW145" s="323"/>
      <c r="AX145" s="323"/>
      <c r="AY145" s="323"/>
      <c r="AZ145" s="323"/>
      <c r="BA145" s="323"/>
      <c r="BB145" s="323"/>
      <c r="BC145" s="323"/>
      <c r="BD145" s="323"/>
      <c r="BE145" s="323"/>
      <c r="BF145" s="323"/>
      <c r="BG145" s="323"/>
      <c r="BH145" s="323"/>
    </row>
    <row r="146" spans="2:60" s="305" customFormat="1" ht="15" customHeight="1" thickBot="1">
      <c r="B146" s="965" t="s">
        <v>435</v>
      </c>
      <c r="C146" s="958"/>
      <c r="D146" s="956">
        <f>SUM(D144:D145)</f>
        <v>0</v>
      </c>
      <c r="E146" s="956">
        <f t="shared" ref="E146:AM146" si="58">SUM(E144:E145)</f>
        <v>0</v>
      </c>
      <c r="F146" s="956">
        <f t="shared" si="58"/>
        <v>0</v>
      </c>
      <c r="G146" s="956">
        <f t="shared" si="58"/>
        <v>0</v>
      </c>
      <c r="H146" s="956">
        <f t="shared" si="58"/>
        <v>0</v>
      </c>
      <c r="I146" s="956">
        <f t="shared" si="58"/>
        <v>0</v>
      </c>
      <c r="J146" s="956">
        <f t="shared" si="58"/>
        <v>0</v>
      </c>
      <c r="K146" s="956">
        <f t="shared" si="58"/>
        <v>0</v>
      </c>
      <c r="L146" s="956">
        <f t="shared" si="58"/>
        <v>0</v>
      </c>
      <c r="M146" s="956">
        <f t="shared" si="58"/>
        <v>0</v>
      </c>
      <c r="N146" s="956">
        <f t="shared" si="58"/>
        <v>0</v>
      </c>
      <c r="O146" s="957">
        <f t="shared" si="58"/>
        <v>0</v>
      </c>
      <c r="P146" s="956">
        <f>SUM(P144:P145)</f>
        <v>0</v>
      </c>
      <c r="Q146" s="956">
        <f t="shared" si="58"/>
        <v>0</v>
      </c>
      <c r="R146" s="956">
        <f t="shared" si="58"/>
        <v>0</v>
      </c>
      <c r="S146" s="956">
        <f t="shared" si="58"/>
        <v>0</v>
      </c>
      <c r="T146" s="956">
        <f t="shared" si="58"/>
        <v>0</v>
      </c>
      <c r="U146" s="956">
        <f t="shared" si="58"/>
        <v>0</v>
      </c>
      <c r="V146" s="956">
        <f t="shared" si="58"/>
        <v>0</v>
      </c>
      <c r="W146" s="956">
        <f t="shared" si="58"/>
        <v>0</v>
      </c>
      <c r="X146" s="956">
        <f t="shared" si="58"/>
        <v>0</v>
      </c>
      <c r="Y146" s="956">
        <f t="shared" si="58"/>
        <v>0</v>
      </c>
      <c r="Z146" s="956">
        <f t="shared" si="58"/>
        <v>0</v>
      </c>
      <c r="AA146" s="957">
        <f t="shared" si="58"/>
        <v>0</v>
      </c>
      <c r="AB146" s="956">
        <f>SUM(AB144:AB145)</f>
        <v>3916.6666666666665</v>
      </c>
      <c r="AC146" s="956">
        <f t="shared" si="58"/>
        <v>3833.333333333333</v>
      </c>
      <c r="AD146" s="956">
        <f t="shared" si="58"/>
        <v>3749.9999999999995</v>
      </c>
      <c r="AE146" s="956">
        <f t="shared" si="58"/>
        <v>3666.6666666666661</v>
      </c>
      <c r="AF146" s="956">
        <f t="shared" si="58"/>
        <v>3583.3333333333326</v>
      </c>
      <c r="AG146" s="956">
        <f t="shared" si="58"/>
        <v>3499.9999999999991</v>
      </c>
      <c r="AH146" s="956">
        <f t="shared" si="58"/>
        <v>3416.6666666666656</v>
      </c>
      <c r="AI146" s="956">
        <f t="shared" si="58"/>
        <v>3333.3333333333321</v>
      </c>
      <c r="AJ146" s="956">
        <f t="shared" si="58"/>
        <v>3249.9999999999986</v>
      </c>
      <c r="AK146" s="956">
        <f t="shared" si="58"/>
        <v>3166.6666666666652</v>
      </c>
      <c r="AL146" s="956">
        <f t="shared" si="58"/>
        <v>3083.3333333333317</v>
      </c>
      <c r="AM146" s="956">
        <f t="shared" si="58"/>
        <v>2999.9999999999982</v>
      </c>
      <c r="AN146" s="345"/>
      <c r="AO146" s="345"/>
      <c r="AP146" s="345"/>
      <c r="AQ146" s="345"/>
      <c r="AR146" s="345"/>
      <c r="AS146" s="345"/>
      <c r="AT146" s="345"/>
      <c r="AU146" s="345"/>
      <c r="AV146" s="345"/>
      <c r="AW146" s="345"/>
      <c r="AX146" s="345"/>
      <c r="AY146" s="345"/>
      <c r="AZ146" s="345"/>
      <c r="BA146" s="345"/>
      <c r="BB146" s="345"/>
      <c r="BC146" s="345"/>
      <c r="BD146" s="345"/>
      <c r="BE146" s="345"/>
      <c r="BF146" s="345"/>
      <c r="BG146" s="345"/>
      <c r="BH146" s="345"/>
    </row>
    <row r="147" spans="2:60" ht="15" customHeight="1" thickTop="1" thickBot="1">
      <c r="E147" s="323"/>
      <c r="F147" s="323"/>
      <c r="G147" s="323"/>
      <c r="H147" s="323"/>
      <c r="I147" s="323"/>
      <c r="J147" s="323"/>
      <c r="K147" s="323"/>
      <c r="L147" s="323"/>
      <c r="M147" s="323"/>
      <c r="N147" s="323"/>
      <c r="O147" s="599"/>
      <c r="P147" s="323"/>
      <c r="Q147" s="323"/>
      <c r="R147" s="323"/>
      <c r="S147" s="323"/>
      <c r="T147" s="323"/>
      <c r="U147" s="323"/>
      <c r="V147" s="323"/>
      <c r="W147" s="323"/>
      <c r="X147" s="323"/>
      <c r="Y147" s="323"/>
      <c r="Z147" s="323"/>
      <c r="AA147" s="599"/>
      <c r="AB147" s="323"/>
      <c r="AC147" s="323"/>
      <c r="AD147" s="323"/>
      <c r="AE147" s="323"/>
      <c r="AF147" s="323"/>
      <c r="AG147" s="323"/>
      <c r="AH147" s="323"/>
      <c r="AI147" s="323"/>
      <c r="AJ147" s="323"/>
      <c r="AK147" s="323"/>
      <c r="AL147" s="323"/>
      <c r="AM147" s="323"/>
      <c r="AN147" s="323"/>
      <c r="AO147" s="323"/>
      <c r="AP147" s="323"/>
      <c r="AQ147" s="323"/>
      <c r="AR147" s="323"/>
      <c r="AS147" s="323"/>
      <c r="AT147" s="323"/>
      <c r="AU147" s="323"/>
      <c r="AV147" s="323"/>
      <c r="AW147" s="323"/>
      <c r="AX147" s="323"/>
      <c r="AY147" s="323"/>
      <c r="AZ147" s="323"/>
      <c r="BA147" s="323"/>
      <c r="BB147" s="323"/>
      <c r="BC147" s="323"/>
      <c r="BD147" s="323"/>
      <c r="BE147" s="323"/>
      <c r="BF147" s="323"/>
      <c r="BG147" s="323"/>
      <c r="BH147" s="323"/>
    </row>
    <row r="148" spans="2:60" ht="15" customHeight="1" thickTop="1">
      <c r="B148" s="963" t="str">
        <f>B55</f>
        <v>Camera</v>
      </c>
      <c r="D148" s="323"/>
      <c r="E148" s="323"/>
      <c r="F148" s="323"/>
      <c r="G148" s="323"/>
      <c r="H148" s="323"/>
      <c r="I148" s="323"/>
      <c r="J148" s="323"/>
      <c r="K148" s="323"/>
      <c r="L148" s="323"/>
      <c r="M148" s="323"/>
      <c r="N148" s="323"/>
      <c r="O148" s="599"/>
      <c r="P148" s="323"/>
      <c r="Q148" s="323"/>
      <c r="R148" s="323"/>
      <c r="S148" s="323"/>
      <c r="T148" s="323"/>
      <c r="U148" s="323"/>
      <c r="V148" s="323"/>
      <c r="W148" s="323"/>
      <c r="X148" s="323"/>
      <c r="Y148" s="323"/>
      <c r="Z148" s="323"/>
      <c r="AA148" s="599"/>
      <c r="AB148" s="323"/>
      <c r="AC148" s="323"/>
      <c r="AD148" s="323"/>
      <c r="AE148" s="323"/>
      <c r="AF148" s="323"/>
      <c r="AG148" s="323"/>
      <c r="AH148" s="323"/>
      <c r="AI148" s="323"/>
      <c r="AJ148" s="323"/>
      <c r="AK148" s="323"/>
      <c r="AL148" s="323"/>
      <c r="AM148" s="323"/>
      <c r="AN148" s="323"/>
      <c r="AO148" s="323"/>
      <c r="AP148" s="323"/>
      <c r="AQ148" s="323"/>
      <c r="AR148" s="323"/>
      <c r="AS148" s="323"/>
      <c r="AT148" s="323"/>
      <c r="AU148" s="323"/>
      <c r="AV148" s="323"/>
      <c r="AW148" s="323"/>
      <c r="AX148" s="323"/>
      <c r="AY148" s="323"/>
      <c r="AZ148" s="323"/>
      <c r="BA148" s="323"/>
      <c r="BB148" s="323"/>
      <c r="BC148" s="323"/>
      <c r="BD148" s="323"/>
      <c r="BE148" s="323"/>
      <c r="BF148" s="323"/>
      <c r="BG148" s="323"/>
      <c r="BH148" s="323"/>
    </row>
    <row r="149" spans="2:60" ht="15" customHeight="1">
      <c r="B149" s="964" t="s">
        <v>112</v>
      </c>
      <c r="C149" s="953"/>
      <c r="D149" s="953">
        <v>0</v>
      </c>
      <c r="E149" s="956">
        <f>D153</f>
        <v>0</v>
      </c>
      <c r="F149" s="956">
        <f t="shared" ref="F149:AM149" si="59">E153</f>
        <v>0</v>
      </c>
      <c r="G149" s="956">
        <f t="shared" si="59"/>
        <v>0</v>
      </c>
      <c r="H149" s="956">
        <f t="shared" si="59"/>
        <v>0</v>
      </c>
      <c r="I149" s="956">
        <f t="shared" si="59"/>
        <v>0</v>
      </c>
      <c r="J149" s="956">
        <f>I153</f>
        <v>0</v>
      </c>
      <c r="K149" s="956">
        <f t="shared" si="59"/>
        <v>0</v>
      </c>
      <c r="L149" s="956">
        <f t="shared" si="59"/>
        <v>0</v>
      </c>
      <c r="M149" s="956">
        <f t="shared" si="59"/>
        <v>0</v>
      </c>
      <c r="N149" s="956">
        <f t="shared" si="59"/>
        <v>0</v>
      </c>
      <c r="O149" s="957">
        <f t="shared" si="59"/>
        <v>0</v>
      </c>
      <c r="P149" s="956">
        <f t="shared" si="59"/>
        <v>0</v>
      </c>
      <c r="Q149" s="956">
        <f t="shared" si="59"/>
        <v>0</v>
      </c>
      <c r="R149" s="956">
        <f t="shared" si="59"/>
        <v>0</v>
      </c>
      <c r="S149" s="956">
        <f t="shared" si="59"/>
        <v>0</v>
      </c>
      <c r="T149" s="956">
        <f t="shared" si="59"/>
        <v>0</v>
      </c>
      <c r="U149" s="956">
        <f t="shared" si="59"/>
        <v>0</v>
      </c>
      <c r="V149" s="956">
        <f t="shared" si="59"/>
        <v>0</v>
      </c>
      <c r="W149" s="956">
        <f t="shared" si="59"/>
        <v>0</v>
      </c>
      <c r="X149" s="956">
        <f t="shared" si="59"/>
        <v>0</v>
      </c>
      <c r="Y149" s="956">
        <f t="shared" si="59"/>
        <v>0</v>
      </c>
      <c r="Z149" s="956">
        <f t="shared" si="59"/>
        <v>0</v>
      </c>
      <c r="AA149" s="957">
        <f t="shared" si="59"/>
        <v>0</v>
      </c>
      <c r="AB149" s="956">
        <f t="shared" si="59"/>
        <v>0</v>
      </c>
      <c r="AC149" s="956">
        <f t="shared" si="59"/>
        <v>1180</v>
      </c>
      <c r="AD149" s="956">
        <f t="shared" si="59"/>
        <v>1160</v>
      </c>
      <c r="AE149" s="956">
        <f t="shared" si="59"/>
        <v>1140</v>
      </c>
      <c r="AF149" s="956">
        <f t="shared" si="59"/>
        <v>1120</v>
      </c>
      <c r="AG149" s="956">
        <f t="shared" si="59"/>
        <v>1100</v>
      </c>
      <c r="AH149" s="956">
        <f t="shared" si="59"/>
        <v>1080</v>
      </c>
      <c r="AI149" s="956">
        <f t="shared" si="59"/>
        <v>1060</v>
      </c>
      <c r="AJ149" s="956">
        <f t="shared" si="59"/>
        <v>1040</v>
      </c>
      <c r="AK149" s="956">
        <f t="shared" si="59"/>
        <v>1020</v>
      </c>
      <c r="AL149" s="956">
        <f t="shared" si="59"/>
        <v>1000</v>
      </c>
      <c r="AM149" s="956">
        <f t="shared" si="59"/>
        <v>980</v>
      </c>
      <c r="AN149" s="323"/>
      <c r="AO149" s="323"/>
      <c r="AP149" s="323"/>
      <c r="AQ149" s="323"/>
      <c r="AR149" s="323"/>
      <c r="AS149" s="323"/>
      <c r="AT149" s="323"/>
      <c r="AU149" s="323"/>
      <c r="AV149" s="323"/>
      <c r="AW149" s="323"/>
      <c r="AX149" s="323"/>
      <c r="AY149" s="323"/>
      <c r="AZ149" s="323"/>
      <c r="BA149" s="323"/>
      <c r="BB149" s="323"/>
      <c r="BC149" s="323"/>
      <c r="BD149" s="323"/>
      <c r="BE149" s="323"/>
      <c r="BF149" s="323"/>
      <c r="BG149" s="323"/>
      <c r="BH149" s="323"/>
    </row>
    <row r="150" spans="2:60" ht="15" customHeight="1">
      <c r="B150" s="964" t="s">
        <v>265</v>
      </c>
      <c r="C150" s="953"/>
      <c r="D150" s="956">
        <f>G55</f>
        <v>0</v>
      </c>
      <c r="E150" s="956"/>
      <c r="F150" s="956"/>
      <c r="G150" s="956"/>
      <c r="H150" s="956"/>
      <c r="I150" s="956"/>
      <c r="J150" s="956"/>
      <c r="K150" s="956"/>
      <c r="L150" s="956"/>
      <c r="M150" s="956"/>
      <c r="N150" s="956"/>
      <c r="O150" s="957"/>
      <c r="P150" s="956"/>
      <c r="Q150" s="956"/>
      <c r="R150" s="956"/>
      <c r="S150" s="956"/>
      <c r="T150" s="956"/>
      <c r="U150" s="956"/>
      <c r="V150" s="956"/>
      <c r="W150" s="956"/>
      <c r="X150" s="956"/>
      <c r="Y150" s="956"/>
      <c r="Z150" s="956"/>
      <c r="AA150" s="957"/>
      <c r="AB150" s="956">
        <f>I55</f>
        <v>1200</v>
      </c>
      <c r="AC150" s="956"/>
      <c r="AD150" s="956"/>
      <c r="AE150" s="956"/>
      <c r="AF150" s="956"/>
      <c r="AG150" s="956"/>
      <c r="AH150" s="956"/>
      <c r="AI150" s="956"/>
      <c r="AJ150" s="956"/>
      <c r="AK150" s="956"/>
      <c r="AL150" s="956"/>
      <c r="AM150" s="956"/>
      <c r="AN150" s="323"/>
      <c r="AO150" s="323"/>
      <c r="AP150" s="323"/>
      <c r="AQ150" s="323"/>
      <c r="AR150" s="323"/>
      <c r="AS150" s="323"/>
      <c r="AT150" s="323"/>
      <c r="AU150" s="323"/>
      <c r="AV150" s="323"/>
      <c r="AW150" s="323"/>
      <c r="AX150" s="323"/>
      <c r="AY150" s="323"/>
      <c r="AZ150" s="323"/>
      <c r="BA150" s="323"/>
      <c r="BB150" s="323"/>
      <c r="BC150" s="323"/>
      <c r="BD150" s="323"/>
      <c r="BE150" s="323"/>
      <c r="BF150" s="323"/>
      <c r="BG150" s="323"/>
      <c r="BH150" s="323"/>
    </row>
    <row r="151" spans="2:60" ht="15" customHeight="1">
      <c r="B151" s="964" t="s">
        <v>110</v>
      </c>
      <c r="C151" s="953"/>
      <c r="D151" s="956">
        <f>SUM(D149:D150)</f>
        <v>0</v>
      </c>
      <c r="E151" s="956">
        <f t="shared" ref="E151:AM151" si="60">SUM(E149:E150)</f>
        <v>0</v>
      </c>
      <c r="F151" s="956">
        <f t="shared" si="60"/>
        <v>0</v>
      </c>
      <c r="G151" s="956">
        <f t="shared" si="60"/>
        <v>0</v>
      </c>
      <c r="H151" s="956">
        <f t="shared" si="60"/>
        <v>0</v>
      </c>
      <c r="I151" s="956">
        <f t="shared" si="60"/>
        <v>0</v>
      </c>
      <c r="J151" s="956">
        <f t="shared" si="60"/>
        <v>0</v>
      </c>
      <c r="K151" s="956">
        <f t="shared" si="60"/>
        <v>0</v>
      </c>
      <c r="L151" s="956">
        <f t="shared" si="60"/>
        <v>0</v>
      </c>
      <c r="M151" s="956">
        <f t="shared" si="60"/>
        <v>0</v>
      </c>
      <c r="N151" s="956">
        <f t="shared" si="60"/>
        <v>0</v>
      </c>
      <c r="O151" s="957">
        <f t="shared" si="60"/>
        <v>0</v>
      </c>
      <c r="P151" s="956">
        <f t="shared" si="60"/>
        <v>0</v>
      </c>
      <c r="Q151" s="956">
        <f t="shared" si="60"/>
        <v>0</v>
      </c>
      <c r="R151" s="956">
        <f t="shared" si="60"/>
        <v>0</v>
      </c>
      <c r="S151" s="956">
        <f t="shared" si="60"/>
        <v>0</v>
      </c>
      <c r="T151" s="956">
        <f t="shared" si="60"/>
        <v>0</v>
      </c>
      <c r="U151" s="956">
        <f t="shared" si="60"/>
        <v>0</v>
      </c>
      <c r="V151" s="956">
        <f t="shared" si="60"/>
        <v>0</v>
      </c>
      <c r="W151" s="956">
        <f t="shared" si="60"/>
        <v>0</v>
      </c>
      <c r="X151" s="956">
        <f t="shared" si="60"/>
        <v>0</v>
      </c>
      <c r="Y151" s="956">
        <f t="shared" si="60"/>
        <v>0</v>
      </c>
      <c r="Z151" s="956">
        <f t="shared" si="60"/>
        <v>0</v>
      </c>
      <c r="AA151" s="957">
        <f t="shared" si="60"/>
        <v>0</v>
      </c>
      <c r="AB151" s="956">
        <f>SUM(AB149:AB150)</f>
        <v>1200</v>
      </c>
      <c r="AC151" s="956">
        <f t="shared" si="60"/>
        <v>1180</v>
      </c>
      <c r="AD151" s="956">
        <f t="shared" si="60"/>
        <v>1160</v>
      </c>
      <c r="AE151" s="956">
        <f t="shared" si="60"/>
        <v>1140</v>
      </c>
      <c r="AF151" s="956">
        <f t="shared" si="60"/>
        <v>1120</v>
      </c>
      <c r="AG151" s="956">
        <f t="shared" si="60"/>
        <v>1100</v>
      </c>
      <c r="AH151" s="956">
        <f t="shared" si="60"/>
        <v>1080</v>
      </c>
      <c r="AI151" s="956">
        <f t="shared" si="60"/>
        <v>1060</v>
      </c>
      <c r="AJ151" s="956">
        <f t="shared" si="60"/>
        <v>1040</v>
      </c>
      <c r="AK151" s="956">
        <f t="shared" si="60"/>
        <v>1020</v>
      </c>
      <c r="AL151" s="956">
        <f t="shared" si="60"/>
        <v>1000</v>
      </c>
      <c r="AM151" s="956">
        <f t="shared" si="60"/>
        <v>980</v>
      </c>
      <c r="AN151" s="323"/>
      <c r="AO151" s="323"/>
      <c r="AP151" s="323"/>
      <c r="AQ151" s="323"/>
      <c r="AR151" s="323"/>
      <c r="AS151" s="323"/>
      <c r="AT151" s="323"/>
      <c r="AU151" s="323"/>
      <c r="AV151" s="323"/>
      <c r="AW151" s="323"/>
      <c r="AX151" s="323"/>
      <c r="AY151" s="323"/>
      <c r="AZ151" s="323"/>
      <c r="BA151" s="323"/>
      <c r="BB151" s="323"/>
      <c r="BC151" s="323"/>
      <c r="BD151" s="323"/>
      <c r="BE151" s="323"/>
      <c r="BF151" s="323"/>
      <c r="BG151" s="323"/>
      <c r="BH151" s="323"/>
    </row>
    <row r="152" spans="2:60" ht="15" customHeight="1">
      <c r="B152" s="964" t="s">
        <v>57</v>
      </c>
      <c r="C152" s="953"/>
      <c r="D152" s="956">
        <f t="shared" ref="D152:AA152" si="61">-$D$150/$J$55/12</f>
        <v>0</v>
      </c>
      <c r="E152" s="956">
        <f t="shared" si="61"/>
        <v>0</v>
      </c>
      <c r="F152" s="956">
        <f t="shared" si="61"/>
        <v>0</v>
      </c>
      <c r="G152" s="956">
        <f t="shared" si="61"/>
        <v>0</v>
      </c>
      <c r="H152" s="956">
        <f t="shared" si="61"/>
        <v>0</v>
      </c>
      <c r="I152" s="956">
        <f t="shared" si="61"/>
        <v>0</v>
      </c>
      <c r="J152" s="956">
        <f t="shared" si="61"/>
        <v>0</v>
      </c>
      <c r="K152" s="956">
        <f t="shared" si="61"/>
        <v>0</v>
      </c>
      <c r="L152" s="956">
        <f t="shared" si="61"/>
        <v>0</v>
      </c>
      <c r="M152" s="956">
        <f t="shared" si="61"/>
        <v>0</v>
      </c>
      <c r="N152" s="956">
        <f t="shared" si="61"/>
        <v>0</v>
      </c>
      <c r="O152" s="956">
        <f t="shared" si="61"/>
        <v>0</v>
      </c>
      <c r="P152" s="956">
        <f t="shared" si="61"/>
        <v>0</v>
      </c>
      <c r="Q152" s="956">
        <f t="shared" si="61"/>
        <v>0</v>
      </c>
      <c r="R152" s="956">
        <f t="shared" si="61"/>
        <v>0</v>
      </c>
      <c r="S152" s="956">
        <f t="shared" si="61"/>
        <v>0</v>
      </c>
      <c r="T152" s="956">
        <f t="shared" si="61"/>
        <v>0</v>
      </c>
      <c r="U152" s="956">
        <f t="shared" si="61"/>
        <v>0</v>
      </c>
      <c r="V152" s="956">
        <f t="shared" si="61"/>
        <v>0</v>
      </c>
      <c r="W152" s="956">
        <f t="shared" si="61"/>
        <v>0</v>
      </c>
      <c r="X152" s="956">
        <f t="shared" si="61"/>
        <v>0</v>
      </c>
      <c r="Y152" s="956">
        <f t="shared" si="61"/>
        <v>0</v>
      </c>
      <c r="Z152" s="956">
        <f t="shared" si="61"/>
        <v>0</v>
      </c>
      <c r="AA152" s="956">
        <f t="shared" si="61"/>
        <v>0</v>
      </c>
      <c r="AB152" s="956">
        <f>-$I$55/$J$55/12</f>
        <v>-20</v>
      </c>
      <c r="AC152" s="956">
        <f t="shared" ref="AC152:AM152" si="62">-$I$55/$J$55/12</f>
        <v>-20</v>
      </c>
      <c r="AD152" s="956">
        <f t="shared" si="62"/>
        <v>-20</v>
      </c>
      <c r="AE152" s="956">
        <f t="shared" si="62"/>
        <v>-20</v>
      </c>
      <c r="AF152" s="956">
        <f t="shared" si="62"/>
        <v>-20</v>
      </c>
      <c r="AG152" s="956">
        <f t="shared" si="62"/>
        <v>-20</v>
      </c>
      <c r="AH152" s="956">
        <f t="shared" si="62"/>
        <v>-20</v>
      </c>
      <c r="AI152" s="956">
        <f t="shared" si="62"/>
        <v>-20</v>
      </c>
      <c r="AJ152" s="956">
        <f t="shared" si="62"/>
        <v>-20</v>
      </c>
      <c r="AK152" s="956">
        <f t="shared" si="62"/>
        <v>-20</v>
      </c>
      <c r="AL152" s="956">
        <f t="shared" si="62"/>
        <v>-20</v>
      </c>
      <c r="AM152" s="956">
        <f t="shared" si="62"/>
        <v>-20</v>
      </c>
      <c r="AN152" s="323"/>
      <c r="AO152" s="323"/>
      <c r="AP152" s="323"/>
      <c r="AQ152" s="323"/>
      <c r="AR152" s="323"/>
      <c r="AS152" s="323"/>
      <c r="AT152" s="323"/>
      <c r="AU152" s="323"/>
      <c r="AV152" s="323"/>
      <c r="AW152" s="323"/>
      <c r="AX152" s="323"/>
      <c r="AY152" s="323"/>
      <c r="AZ152" s="323"/>
      <c r="BA152" s="323"/>
      <c r="BB152" s="323"/>
      <c r="BC152" s="323"/>
      <c r="BD152" s="323"/>
      <c r="BE152" s="323"/>
      <c r="BF152" s="323"/>
      <c r="BG152" s="323"/>
      <c r="BH152" s="323"/>
    </row>
    <row r="153" spans="2:60" s="305" customFormat="1" ht="15" customHeight="1" thickBot="1">
      <c r="B153" s="965" t="s">
        <v>255</v>
      </c>
      <c r="C153" s="958"/>
      <c r="D153" s="956">
        <f>SUM(D151:D152)</f>
        <v>0</v>
      </c>
      <c r="E153" s="956">
        <f t="shared" ref="E153:AM153" si="63">SUM(E151:E152)</f>
        <v>0</v>
      </c>
      <c r="F153" s="956">
        <f t="shared" si="63"/>
        <v>0</v>
      </c>
      <c r="G153" s="956">
        <f t="shared" si="63"/>
        <v>0</v>
      </c>
      <c r="H153" s="956">
        <f t="shared" si="63"/>
        <v>0</v>
      </c>
      <c r="I153" s="956">
        <f t="shared" si="63"/>
        <v>0</v>
      </c>
      <c r="J153" s="956">
        <f t="shared" si="63"/>
        <v>0</v>
      </c>
      <c r="K153" s="956">
        <f t="shared" si="63"/>
        <v>0</v>
      </c>
      <c r="L153" s="956">
        <f t="shared" si="63"/>
        <v>0</v>
      </c>
      <c r="M153" s="956">
        <f t="shared" si="63"/>
        <v>0</v>
      </c>
      <c r="N153" s="956">
        <f t="shared" si="63"/>
        <v>0</v>
      </c>
      <c r="O153" s="957">
        <f t="shared" si="63"/>
        <v>0</v>
      </c>
      <c r="P153" s="956">
        <f t="shared" si="63"/>
        <v>0</v>
      </c>
      <c r="Q153" s="956">
        <f t="shared" si="63"/>
        <v>0</v>
      </c>
      <c r="R153" s="956">
        <f t="shared" si="63"/>
        <v>0</v>
      </c>
      <c r="S153" s="956">
        <f t="shared" si="63"/>
        <v>0</v>
      </c>
      <c r="T153" s="956">
        <f t="shared" si="63"/>
        <v>0</v>
      </c>
      <c r="U153" s="956">
        <f t="shared" si="63"/>
        <v>0</v>
      </c>
      <c r="V153" s="956">
        <f t="shared" si="63"/>
        <v>0</v>
      </c>
      <c r="W153" s="956">
        <f t="shared" si="63"/>
        <v>0</v>
      </c>
      <c r="X153" s="956">
        <f t="shared" si="63"/>
        <v>0</v>
      </c>
      <c r="Y153" s="956">
        <f t="shared" si="63"/>
        <v>0</v>
      </c>
      <c r="Z153" s="956">
        <f t="shared" si="63"/>
        <v>0</v>
      </c>
      <c r="AA153" s="957">
        <f t="shared" si="63"/>
        <v>0</v>
      </c>
      <c r="AB153" s="956">
        <f t="shared" si="63"/>
        <v>1180</v>
      </c>
      <c r="AC153" s="956">
        <f t="shared" si="63"/>
        <v>1160</v>
      </c>
      <c r="AD153" s="956">
        <f t="shared" si="63"/>
        <v>1140</v>
      </c>
      <c r="AE153" s="956">
        <f t="shared" si="63"/>
        <v>1120</v>
      </c>
      <c r="AF153" s="956">
        <f t="shared" si="63"/>
        <v>1100</v>
      </c>
      <c r="AG153" s="956">
        <f t="shared" si="63"/>
        <v>1080</v>
      </c>
      <c r="AH153" s="956">
        <f t="shared" si="63"/>
        <v>1060</v>
      </c>
      <c r="AI153" s="956">
        <f t="shared" si="63"/>
        <v>1040</v>
      </c>
      <c r="AJ153" s="956">
        <f t="shared" si="63"/>
        <v>1020</v>
      </c>
      <c r="AK153" s="956">
        <f t="shared" si="63"/>
        <v>1000</v>
      </c>
      <c r="AL153" s="956">
        <f t="shared" si="63"/>
        <v>980</v>
      </c>
      <c r="AM153" s="956">
        <f t="shared" si="63"/>
        <v>960</v>
      </c>
      <c r="AN153" s="345"/>
      <c r="AO153" s="345"/>
      <c r="AP153" s="345"/>
      <c r="AQ153" s="345"/>
      <c r="AR153" s="345"/>
      <c r="AS153" s="345"/>
      <c r="AT153" s="345"/>
      <c r="AU153" s="345"/>
      <c r="AV153" s="345"/>
      <c r="AW153" s="345"/>
      <c r="AX153" s="345"/>
      <c r="AY153" s="345"/>
      <c r="AZ153" s="345"/>
      <c r="BA153" s="345"/>
      <c r="BB153" s="345"/>
      <c r="BC153" s="345"/>
      <c r="BD153" s="345"/>
      <c r="BE153" s="345"/>
      <c r="BF153" s="345"/>
      <c r="BG153" s="345"/>
      <c r="BH153" s="345"/>
    </row>
    <row r="154" spans="2:60" s="305" customFormat="1" ht="16.8" thickTop="1" thickBot="1">
      <c r="C154" s="958"/>
      <c r="D154" s="959"/>
      <c r="E154" s="959"/>
      <c r="F154" s="959"/>
      <c r="G154" s="959"/>
      <c r="H154" s="959"/>
      <c r="I154" s="959"/>
      <c r="J154" s="959"/>
      <c r="K154" s="959"/>
      <c r="L154" s="959"/>
      <c r="M154" s="959"/>
      <c r="N154" s="959"/>
      <c r="O154" s="960"/>
      <c r="P154" s="959"/>
      <c r="Q154" s="959"/>
      <c r="R154" s="959"/>
      <c r="S154" s="959"/>
      <c r="T154" s="959"/>
      <c r="U154" s="959"/>
      <c r="V154" s="959"/>
      <c r="W154" s="959"/>
      <c r="X154" s="959"/>
      <c r="Y154" s="959"/>
      <c r="Z154" s="959"/>
      <c r="AA154" s="960"/>
      <c r="AB154" s="959"/>
      <c r="AC154" s="959"/>
      <c r="AD154" s="959"/>
      <c r="AE154" s="959"/>
      <c r="AF154" s="959"/>
      <c r="AG154" s="959"/>
      <c r="AH154" s="959"/>
      <c r="AI154" s="959"/>
      <c r="AJ154" s="959"/>
      <c r="AK154" s="959"/>
      <c r="AL154" s="959"/>
      <c r="AM154" s="959"/>
      <c r="AN154" s="345"/>
      <c r="AO154" s="345"/>
      <c r="AP154" s="345"/>
      <c r="AQ154" s="345"/>
      <c r="AR154" s="345"/>
      <c r="AS154" s="345"/>
      <c r="AT154" s="345"/>
      <c r="AU154" s="345"/>
      <c r="AV154" s="345"/>
      <c r="AW154" s="345"/>
      <c r="AX154" s="345"/>
      <c r="AY154" s="345"/>
      <c r="AZ154" s="345"/>
      <c r="BA154" s="345"/>
      <c r="BB154" s="345"/>
      <c r="BC154" s="345"/>
      <c r="BD154" s="345"/>
      <c r="BE154" s="345"/>
      <c r="BF154" s="345"/>
      <c r="BG154" s="345"/>
      <c r="BH154" s="345"/>
    </row>
    <row r="155" spans="2:60" s="305" customFormat="1" ht="16.2" thickTop="1">
      <c r="B155" s="963" t="str">
        <f>B56</f>
        <v>Printer</v>
      </c>
      <c r="C155" s="593"/>
      <c r="D155" s="323"/>
      <c r="E155" s="323"/>
      <c r="F155" s="323"/>
      <c r="G155" s="323"/>
      <c r="H155" s="323"/>
      <c r="I155" s="323"/>
      <c r="J155" s="323"/>
      <c r="K155" s="323"/>
      <c r="L155" s="323"/>
      <c r="M155" s="323"/>
      <c r="N155" s="323"/>
      <c r="O155" s="599"/>
      <c r="P155" s="323"/>
      <c r="Q155" s="323"/>
      <c r="R155" s="323"/>
      <c r="S155" s="323"/>
      <c r="T155" s="323"/>
      <c r="U155" s="323"/>
      <c r="V155" s="323"/>
      <c r="W155" s="323"/>
      <c r="X155" s="323"/>
      <c r="Y155" s="323"/>
      <c r="Z155" s="323"/>
      <c r="AA155" s="599"/>
      <c r="AB155" s="323"/>
      <c r="AC155" s="323"/>
      <c r="AD155" s="323"/>
      <c r="AE155" s="323"/>
      <c r="AF155" s="323"/>
      <c r="AG155" s="323"/>
      <c r="AH155" s="323"/>
      <c r="AI155" s="323"/>
      <c r="AJ155" s="323"/>
      <c r="AK155" s="323"/>
      <c r="AL155" s="323"/>
      <c r="AM155" s="323"/>
      <c r="AN155" s="345"/>
      <c r="AO155" s="345"/>
      <c r="AP155" s="345"/>
      <c r="AQ155" s="345"/>
      <c r="AR155" s="345"/>
      <c r="AS155" s="345"/>
      <c r="AT155" s="345"/>
      <c r="AU155" s="345"/>
      <c r="AV155" s="345"/>
      <c r="AW155" s="345"/>
      <c r="AX155" s="345"/>
      <c r="AY155" s="345"/>
      <c r="AZ155" s="345"/>
      <c r="BA155" s="345"/>
      <c r="BB155" s="345"/>
      <c r="BC155" s="345"/>
      <c r="BD155" s="345"/>
      <c r="BE155" s="345"/>
      <c r="BF155" s="345"/>
      <c r="BG155" s="345"/>
      <c r="BH155" s="345"/>
    </row>
    <row r="156" spans="2:60" s="305" customFormat="1">
      <c r="B156" s="964" t="s">
        <v>112</v>
      </c>
      <c r="C156" s="953"/>
      <c r="D156" s="953">
        <v>0</v>
      </c>
      <c r="E156" s="956">
        <f>D160</f>
        <v>0</v>
      </c>
      <c r="F156" s="956">
        <f t="shared" ref="F156:AM156" si="64">E160</f>
        <v>0</v>
      </c>
      <c r="G156" s="956">
        <f t="shared" si="64"/>
        <v>0</v>
      </c>
      <c r="H156" s="956">
        <f t="shared" si="64"/>
        <v>0</v>
      </c>
      <c r="I156" s="956">
        <f t="shared" si="64"/>
        <v>0</v>
      </c>
      <c r="J156" s="956">
        <f>I160</f>
        <v>0</v>
      </c>
      <c r="K156" s="956">
        <f t="shared" si="64"/>
        <v>0</v>
      </c>
      <c r="L156" s="956">
        <f t="shared" si="64"/>
        <v>0</v>
      </c>
      <c r="M156" s="956">
        <f t="shared" si="64"/>
        <v>0</v>
      </c>
      <c r="N156" s="956">
        <f t="shared" si="64"/>
        <v>0</v>
      </c>
      <c r="O156" s="957">
        <f t="shared" si="64"/>
        <v>0</v>
      </c>
      <c r="P156" s="956">
        <f t="shared" si="64"/>
        <v>0</v>
      </c>
      <c r="Q156" s="956">
        <f t="shared" si="64"/>
        <v>0</v>
      </c>
      <c r="R156" s="956">
        <f t="shared" si="64"/>
        <v>0</v>
      </c>
      <c r="S156" s="956">
        <f t="shared" si="64"/>
        <v>0</v>
      </c>
      <c r="T156" s="956">
        <f t="shared" si="64"/>
        <v>0</v>
      </c>
      <c r="U156" s="956">
        <f t="shared" si="64"/>
        <v>0</v>
      </c>
      <c r="V156" s="956">
        <f t="shared" si="64"/>
        <v>0</v>
      </c>
      <c r="W156" s="956">
        <f t="shared" si="64"/>
        <v>0</v>
      </c>
      <c r="X156" s="956">
        <f t="shared" si="64"/>
        <v>0</v>
      </c>
      <c r="Y156" s="956">
        <f t="shared" si="64"/>
        <v>0</v>
      </c>
      <c r="Z156" s="956">
        <f t="shared" si="64"/>
        <v>0</v>
      </c>
      <c r="AA156" s="957">
        <f t="shared" si="64"/>
        <v>0</v>
      </c>
      <c r="AB156" s="956">
        <f t="shared" si="64"/>
        <v>0</v>
      </c>
      <c r="AC156" s="956">
        <f t="shared" si="64"/>
        <v>393.33333333333331</v>
      </c>
      <c r="AD156" s="956">
        <f t="shared" si="64"/>
        <v>386.66666666666663</v>
      </c>
      <c r="AE156" s="956">
        <f t="shared" si="64"/>
        <v>379.99999999999994</v>
      </c>
      <c r="AF156" s="956">
        <f t="shared" si="64"/>
        <v>373.33333333333326</v>
      </c>
      <c r="AG156" s="956">
        <f t="shared" si="64"/>
        <v>366.66666666666657</v>
      </c>
      <c r="AH156" s="956">
        <f t="shared" si="64"/>
        <v>359.99999999999989</v>
      </c>
      <c r="AI156" s="956">
        <f t="shared" si="64"/>
        <v>353.3333333333332</v>
      </c>
      <c r="AJ156" s="956">
        <f t="shared" si="64"/>
        <v>346.66666666666652</v>
      </c>
      <c r="AK156" s="956">
        <f t="shared" si="64"/>
        <v>339.99999999999983</v>
      </c>
      <c r="AL156" s="956">
        <f t="shared" si="64"/>
        <v>333.33333333333314</v>
      </c>
      <c r="AM156" s="956">
        <f t="shared" si="64"/>
        <v>326.66666666666646</v>
      </c>
      <c r="AN156" s="345"/>
      <c r="AO156" s="345"/>
      <c r="AP156" s="345"/>
      <c r="AQ156" s="345"/>
      <c r="AR156" s="345"/>
      <c r="AS156" s="345"/>
      <c r="AT156" s="345"/>
      <c r="AU156" s="345"/>
      <c r="AV156" s="345"/>
      <c r="AW156" s="345"/>
      <c r="AX156" s="345"/>
      <c r="AY156" s="345"/>
      <c r="AZ156" s="345"/>
      <c r="BA156" s="345"/>
      <c r="BB156" s="345"/>
      <c r="BC156" s="345"/>
      <c r="BD156" s="345"/>
      <c r="BE156" s="345"/>
      <c r="BF156" s="345"/>
      <c r="BG156" s="345"/>
      <c r="BH156" s="345"/>
    </row>
    <row r="157" spans="2:60" s="305" customFormat="1">
      <c r="B157" s="964" t="s">
        <v>265</v>
      </c>
      <c r="C157" s="953"/>
      <c r="D157" s="956">
        <f>G56</f>
        <v>0</v>
      </c>
      <c r="E157" s="956"/>
      <c r="F157" s="956"/>
      <c r="G157" s="956"/>
      <c r="H157" s="956"/>
      <c r="I157" s="956"/>
      <c r="J157" s="956"/>
      <c r="K157" s="956"/>
      <c r="L157" s="956"/>
      <c r="M157" s="956"/>
      <c r="N157" s="956"/>
      <c r="O157" s="957"/>
      <c r="P157" s="956">
        <f>H56</f>
        <v>0</v>
      </c>
      <c r="Q157" s="956"/>
      <c r="R157" s="956"/>
      <c r="S157" s="956"/>
      <c r="T157" s="956"/>
      <c r="U157" s="956"/>
      <c r="V157" s="956"/>
      <c r="W157" s="956"/>
      <c r="X157" s="956"/>
      <c r="Y157" s="956"/>
      <c r="Z157" s="956"/>
      <c r="AA157" s="957"/>
      <c r="AB157" s="956">
        <f>$I$56</f>
        <v>400</v>
      </c>
      <c r="AC157" s="956"/>
      <c r="AD157" s="956"/>
      <c r="AE157" s="956"/>
      <c r="AF157" s="956"/>
      <c r="AG157" s="956"/>
      <c r="AH157" s="956"/>
      <c r="AI157" s="956"/>
      <c r="AJ157" s="956"/>
      <c r="AK157" s="956"/>
      <c r="AL157" s="956"/>
      <c r="AM157" s="956"/>
      <c r="AN157" s="345"/>
      <c r="AO157" s="345"/>
      <c r="AP157" s="345"/>
      <c r="AQ157" s="345"/>
      <c r="AR157" s="345"/>
      <c r="AS157" s="345"/>
      <c r="AT157" s="345"/>
      <c r="AU157" s="345"/>
      <c r="AV157" s="345"/>
      <c r="AW157" s="345"/>
      <c r="AX157" s="345"/>
      <c r="AY157" s="345"/>
      <c r="AZ157" s="345"/>
      <c r="BA157" s="345"/>
      <c r="BB157" s="345"/>
      <c r="BC157" s="345"/>
      <c r="BD157" s="345"/>
      <c r="BE157" s="345"/>
      <c r="BF157" s="345"/>
      <c r="BG157" s="345"/>
      <c r="BH157" s="345"/>
    </row>
    <row r="158" spans="2:60">
      <c r="B158" s="964" t="s">
        <v>110</v>
      </c>
      <c r="C158" s="953"/>
      <c r="D158" s="956">
        <f>SUM(D156:D157)</f>
        <v>0</v>
      </c>
      <c r="E158" s="956">
        <f t="shared" ref="E158:AM158" si="65">SUM(E156:E157)</f>
        <v>0</v>
      </c>
      <c r="F158" s="956">
        <f t="shared" si="65"/>
        <v>0</v>
      </c>
      <c r="G158" s="956">
        <f t="shared" si="65"/>
        <v>0</v>
      </c>
      <c r="H158" s="956">
        <f t="shared" si="65"/>
        <v>0</v>
      </c>
      <c r="I158" s="956">
        <f t="shared" si="65"/>
        <v>0</v>
      </c>
      <c r="J158" s="956">
        <f t="shared" si="65"/>
        <v>0</v>
      </c>
      <c r="K158" s="956">
        <f t="shared" si="65"/>
        <v>0</v>
      </c>
      <c r="L158" s="956">
        <f t="shared" si="65"/>
        <v>0</v>
      </c>
      <c r="M158" s="956">
        <f t="shared" si="65"/>
        <v>0</v>
      </c>
      <c r="N158" s="956">
        <f t="shared" si="65"/>
        <v>0</v>
      </c>
      <c r="O158" s="957">
        <f t="shared" si="65"/>
        <v>0</v>
      </c>
      <c r="P158" s="956">
        <f t="shared" si="65"/>
        <v>0</v>
      </c>
      <c r="Q158" s="956">
        <f t="shared" si="65"/>
        <v>0</v>
      </c>
      <c r="R158" s="956">
        <f t="shared" si="65"/>
        <v>0</v>
      </c>
      <c r="S158" s="956">
        <f t="shared" si="65"/>
        <v>0</v>
      </c>
      <c r="T158" s="956">
        <f t="shared" si="65"/>
        <v>0</v>
      </c>
      <c r="U158" s="956">
        <f t="shared" si="65"/>
        <v>0</v>
      </c>
      <c r="V158" s="956">
        <f t="shared" si="65"/>
        <v>0</v>
      </c>
      <c r="W158" s="956">
        <f t="shared" si="65"/>
        <v>0</v>
      </c>
      <c r="X158" s="956">
        <f t="shared" si="65"/>
        <v>0</v>
      </c>
      <c r="Y158" s="956">
        <f t="shared" si="65"/>
        <v>0</v>
      </c>
      <c r="Z158" s="956">
        <f t="shared" si="65"/>
        <v>0</v>
      </c>
      <c r="AA158" s="957">
        <f t="shared" si="65"/>
        <v>0</v>
      </c>
      <c r="AB158" s="956">
        <f t="shared" si="65"/>
        <v>400</v>
      </c>
      <c r="AC158" s="956">
        <f t="shared" si="65"/>
        <v>393.33333333333331</v>
      </c>
      <c r="AD158" s="956">
        <f t="shared" si="65"/>
        <v>386.66666666666663</v>
      </c>
      <c r="AE158" s="956">
        <f t="shared" si="65"/>
        <v>379.99999999999994</v>
      </c>
      <c r="AF158" s="956">
        <f t="shared" si="65"/>
        <v>373.33333333333326</v>
      </c>
      <c r="AG158" s="956">
        <f t="shared" si="65"/>
        <v>366.66666666666657</v>
      </c>
      <c r="AH158" s="956">
        <f t="shared" si="65"/>
        <v>359.99999999999989</v>
      </c>
      <c r="AI158" s="956">
        <f t="shared" si="65"/>
        <v>353.3333333333332</v>
      </c>
      <c r="AJ158" s="956">
        <f t="shared" si="65"/>
        <v>346.66666666666652</v>
      </c>
      <c r="AK158" s="956">
        <f t="shared" si="65"/>
        <v>339.99999999999983</v>
      </c>
      <c r="AL158" s="956">
        <f t="shared" si="65"/>
        <v>333.33333333333314</v>
      </c>
      <c r="AM158" s="956">
        <f t="shared" si="65"/>
        <v>326.66666666666646</v>
      </c>
      <c r="AN158" s="323"/>
      <c r="AO158" s="323"/>
      <c r="AP158" s="323"/>
      <c r="AQ158" s="323"/>
      <c r="AR158" s="323"/>
      <c r="AS158" s="323"/>
      <c r="AT158" s="323"/>
      <c r="AU158" s="323"/>
      <c r="AV158" s="323"/>
      <c r="AW158" s="323"/>
      <c r="AX158" s="323"/>
      <c r="AY158" s="323"/>
      <c r="AZ158" s="323"/>
      <c r="BA158" s="323"/>
      <c r="BB158" s="323"/>
      <c r="BC158" s="323"/>
      <c r="BD158" s="323"/>
      <c r="BE158" s="323"/>
      <c r="BF158" s="323"/>
      <c r="BG158" s="323"/>
      <c r="BH158" s="323"/>
    </row>
    <row r="159" spans="2:60">
      <c r="B159" s="964" t="s">
        <v>57</v>
      </c>
      <c r="C159" s="953"/>
      <c r="D159" s="956">
        <f t="shared" ref="D159:O159" si="66">-$D$157/$J$56/12</f>
        <v>0</v>
      </c>
      <c r="E159" s="956">
        <f t="shared" si="66"/>
        <v>0</v>
      </c>
      <c r="F159" s="956">
        <f t="shared" si="66"/>
        <v>0</v>
      </c>
      <c r="G159" s="956">
        <f t="shared" si="66"/>
        <v>0</v>
      </c>
      <c r="H159" s="956">
        <f t="shared" si="66"/>
        <v>0</v>
      </c>
      <c r="I159" s="956">
        <f t="shared" si="66"/>
        <v>0</v>
      </c>
      <c r="J159" s="956">
        <f t="shared" si="66"/>
        <v>0</v>
      </c>
      <c r="K159" s="956">
        <f t="shared" si="66"/>
        <v>0</v>
      </c>
      <c r="L159" s="956">
        <f t="shared" si="66"/>
        <v>0</v>
      </c>
      <c r="M159" s="956">
        <f t="shared" si="66"/>
        <v>0</v>
      </c>
      <c r="N159" s="956">
        <f t="shared" si="66"/>
        <v>0</v>
      </c>
      <c r="O159" s="956">
        <f t="shared" si="66"/>
        <v>0</v>
      </c>
      <c r="P159" s="956">
        <f t="shared" ref="P159:AA159" si="67">(-$D$157/$J$56/12)-($H$56/$J$56/12)</f>
        <v>0</v>
      </c>
      <c r="Q159" s="956">
        <f t="shared" si="67"/>
        <v>0</v>
      </c>
      <c r="R159" s="956">
        <f t="shared" si="67"/>
        <v>0</v>
      </c>
      <c r="S159" s="956">
        <f t="shared" si="67"/>
        <v>0</v>
      </c>
      <c r="T159" s="956">
        <f t="shared" si="67"/>
        <v>0</v>
      </c>
      <c r="U159" s="956">
        <f t="shared" si="67"/>
        <v>0</v>
      </c>
      <c r="V159" s="956">
        <f t="shared" si="67"/>
        <v>0</v>
      </c>
      <c r="W159" s="956">
        <f t="shared" si="67"/>
        <v>0</v>
      </c>
      <c r="X159" s="956">
        <f t="shared" si="67"/>
        <v>0</v>
      </c>
      <c r="Y159" s="956">
        <f t="shared" si="67"/>
        <v>0</v>
      </c>
      <c r="Z159" s="956">
        <f t="shared" si="67"/>
        <v>0</v>
      </c>
      <c r="AA159" s="956">
        <f t="shared" si="67"/>
        <v>0</v>
      </c>
      <c r="AB159" s="956">
        <f t="shared" ref="AB159:AM159" si="68">(-$D$157/$J$56/12)-($H$56/$J$56/12)-($I$56/$J$56/12)</f>
        <v>-6.666666666666667</v>
      </c>
      <c r="AC159" s="956">
        <f t="shared" si="68"/>
        <v>-6.666666666666667</v>
      </c>
      <c r="AD159" s="956">
        <f t="shared" si="68"/>
        <v>-6.666666666666667</v>
      </c>
      <c r="AE159" s="956">
        <f t="shared" si="68"/>
        <v>-6.666666666666667</v>
      </c>
      <c r="AF159" s="956">
        <f t="shared" si="68"/>
        <v>-6.666666666666667</v>
      </c>
      <c r="AG159" s="956">
        <f t="shared" si="68"/>
        <v>-6.666666666666667</v>
      </c>
      <c r="AH159" s="956">
        <f t="shared" si="68"/>
        <v>-6.666666666666667</v>
      </c>
      <c r="AI159" s="956">
        <f t="shared" si="68"/>
        <v>-6.666666666666667</v>
      </c>
      <c r="AJ159" s="956">
        <f t="shared" si="68"/>
        <v>-6.666666666666667</v>
      </c>
      <c r="AK159" s="956">
        <f t="shared" si="68"/>
        <v>-6.666666666666667</v>
      </c>
      <c r="AL159" s="956">
        <f t="shared" si="68"/>
        <v>-6.666666666666667</v>
      </c>
      <c r="AM159" s="956">
        <f t="shared" si="68"/>
        <v>-6.666666666666667</v>
      </c>
      <c r="AN159" s="323"/>
      <c r="AO159" s="323"/>
      <c r="AP159" s="323"/>
      <c r="AQ159" s="323"/>
      <c r="AR159" s="323"/>
      <c r="AS159" s="323"/>
      <c r="AT159" s="323"/>
      <c r="AU159" s="323"/>
      <c r="AV159" s="323"/>
      <c r="AW159" s="323"/>
      <c r="AX159" s="323"/>
      <c r="AY159" s="323"/>
      <c r="AZ159" s="323"/>
      <c r="BA159" s="323"/>
      <c r="BB159" s="323"/>
      <c r="BC159" s="323"/>
      <c r="BD159" s="323"/>
      <c r="BE159" s="323"/>
      <c r="BF159" s="323"/>
      <c r="BG159" s="323"/>
      <c r="BH159" s="323"/>
    </row>
    <row r="160" spans="2:60" ht="16.2" thickBot="1">
      <c r="B160" s="965" t="s">
        <v>255</v>
      </c>
      <c r="C160" s="958"/>
      <c r="D160" s="956">
        <f>SUM(D158:D159)</f>
        <v>0</v>
      </c>
      <c r="E160" s="956">
        <f t="shared" ref="E160:AM160" si="69">SUM(E158:E159)</f>
        <v>0</v>
      </c>
      <c r="F160" s="956">
        <f t="shared" si="69"/>
        <v>0</v>
      </c>
      <c r="G160" s="956">
        <f t="shared" si="69"/>
        <v>0</v>
      </c>
      <c r="H160" s="956">
        <f t="shared" si="69"/>
        <v>0</v>
      </c>
      <c r="I160" s="956">
        <f t="shared" si="69"/>
        <v>0</v>
      </c>
      <c r="J160" s="956">
        <f t="shared" si="69"/>
        <v>0</v>
      </c>
      <c r="K160" s="956">
        <f t="shared" si="69"/>
        <v>0</v>
      </c>
      <c r="L160" s="956">
        <f t="shared" si="69"/>
        <v>0</v>
      </c>
      <c r="M160" s="956">
        <f t="shared" si="69"/>
        <v>0</v>
      </c>
      <c r="N160" s="956">
        <f t="shared" si="69"/>
        <v>0</v>
      </c>
      <c r="O160" s="957">
        <f t="shared" si="69"/>
        <v>0</v>
      </c>
      <c r="P160" s="956">
        <f t="shared" si="69"/>
        <v>0</v>
      </c>
      <c r="Q160" s="956">
        <f t="shared" si="69"/>
        <v>0</v>
      </c>
      <c r="R160" s="956">
        <f t="shared" si="69"/>
        <v>0</v>
      </c>
      <c r="S160" s="956">
        <f t="shared" si="69"/>
        <v>0</v>
      </c>
      <c r="T160" s="956">
        <f t="shared" si="69"/>
        <v>0</v>
      </c>
      <c r="U160" s="956">
        <f t="shared" si="69"/>
        <v>0</v>
      </c>
      <c r="V160" s="956">
        <f t="shared" si="69"/>
        <v>0</v>
      </c>
      <c r="W160" s="956">
        <f t="shared" si="69"/>
        <v>0</v>
      </c>
      <c r="X160" s="956">
        <f t="shared" si="69"/>
        <v>0</v>
      </c>
      <c r="Y160" s="956">
        <f t="shared" si="69"/>
        <v>0</v>
      </c>
      <c r="Z160" s="956">
        <f t="shared" si="69"/>
        <v>0</v>
      </c>
      <c r="AA160" s="957">
        <f t="shared" si="69"/>
        <v>0</v>
      </c>
      <c r="AB160" s="956">
        <f t="shared" si="69"/>
        <v>393.33333333333331</v>
      </c>
      <c r="AC160" s="956">
        <f t="shared" si="69"/>
        <v>386.66666666666663</v>
      </c>
      <c r="AD160" s="956">
        <f t="shared" si="69"/>
        <v>379.99999999999994</v>
      </c>
      <c r="AE160" s="956">
        <f t="shared" si="69"/>
        <v>373.33333333333326</v>
      </c>
      <c r="AF160" s="956">
        <f t="shared" si="69"/>
        <v>366.66666666666657</v>
      </c>
      <c r="AG160" s="956">
        <f t="shared" si="69"/>
        <v>359.99999999999989</v>
      </c>
      <c r="AH160" s="956">
        <f t="shared" si="69"/>
        <v>353.3333333333332</v>
      </c>
      <c r="AI160" s="956">
        <f t="shared" si="69"/>
        <v>346.66666666666652</v>
      </c>
      <c r="AJ160" s="956">
        <f t="shared" si="69"/>
        <v>339.99999999999983</v>
      </c>
      <c r="AK160" s="956">
        <f t="shared" si="69"/>
        <v>333.33333333333314</v>
      </c>
      <c r="AL160" s="956">
        <f t="shared" si="69"/>
        <v>326.66666666666646</v>
      </c>
      <c r="AM160" s="956">
        <f t="shared" si="69"/>
        <v>319.99999999999977</v>
      </c>
      <c r="AN160" s="323"/>
      <c r="AO160" s="323"/>
      <c r="AP160" s="323"/>
      <c r="AQ160" s="323"/>
      <c r="AR160" s="323"/>
      <c r="AS160" s="323"/>
      <c r="AT160" s="323"/>
      <c r="AU160" s="323"/>
      <c r="AV160" s="323"/>
      <c r="AW160" s="323"/>
      <c r="AX160" s="323"/>
      <c r="AY160" s="323"/>
      <c r="AZ160" s="323"/>
      <c r="BA160" s="323"/>
      <c r="BB160" s="323"/>
      <c r="BC160" s="323"/>
      <c r="BD160" s="323"/>
      <c r="BE160" s="323"/>
      <c r="BF160" s="323"/>
      <c r="BG160" s="323"/>
      <c r="BH160" s="323"/>
    </row>
    <row r="161" spans="2:60" ht="16.8" thickTop="1" thickBot="1">
      <c r="B161" s="639"/>
      <c r="D161" s="323"/>
      <c r="E161" s="323"/>
      <c r="F161" s="323"/>
      <c r="G161" s="323"/>
      <c r="H161" s="323"/>
      <c r="I161" s="323"/>
      <c r="J161" s="323"/>
      <c r="K161" s="323"/>
      <c r="L161" s="323"/>
      <c r="M161" s="323"/>
      <c r="N161" s="323"/>
      <c r="O161" s="599"/>
      <c r="P161" s="323"/>
      <c r="Q161" s="323"/>
      <c r="R161" s="323"/>
      <c r="S161" s="323"/>
      <c r="T161" s="323"/>
      <c r="U161" s="323"/>
      <c r="V161" s="323"/>
      <c r="W161" s="323"/>
      <c r="X161" s="323"/>
      <c r="Y161" s="323"/>
      <c r="Z161" s="323"/>
      <c r="AA161" s="599"/>
      <c r="AB161" s="323"/>
      <c r="AC161" s="323"/>
      <c r="AD161" s="323"/>
      <c r="AE161" s="323"/>
      <c r="AF161" s="323"/>
      <c r="AG161" s="323"/>
      <c r="AH161" s="323"/>
      <c r="AI161" s="323"/>
      <c r="AJ161" s="323"/>
      <c r="AK161" s="323"/>
      <c r="AL161" s="323"/>
      <c r="AM161" s="323"/>
      <c r="AN161" s="323"/>
      <c r="AO161" s="323"/>
      <c r="AP161" s="323"/>
      <c r="AQ161" s="323"/>
      <c r="AR161" s="323"/>
      <c r="AS161" s="323"/>
      <c r="AT161" s="323"/>
      <c r="AU161" s="323"/>
      <c r="AV161" s="323"/>
      <c r="AW161" s="323"/>
      <c r="AX161" s="323"/>
      <c r="AY161" s="323"/>
      <c r="AZ161" s="323"/>
      <c r="BA161" s="323"/>
      <c r="BB161" s="323"/>
      <c r="BC161" s="323"/>
      <c r="BD161" s="323"/>
      <c r="BE161" s="323"/>
      <c r="BF161" s="323"/>
      <c r="BG161" s="323"/>
      <c r="BH161" s="323"/>
    </row>
    <row r="162" spans="2:60" ht="16.2" thickTop="1">
      <c r="B162" s="963" t="str">
        <f>B57</f>
        <v>Inventory Scanner</v>
      </c>
      <c r="D162" s="323"/>
      <c r="E162" s="323"/>
      <c r="F162" s="323"/>
      <c r="G162" s="323"/>
      <c r="H162" s="323"/>
      <c r="I162" s="323"/>
      <c r="J162" s="323"/>
      <c r="K162" s="323"/>
      <c r="L162" s="323"/>
      <c r="M162" s="323"/>
      <c r="N162" s="323"/>
      <c r="O162" s="599"/>
      <c r="P162" s="323"/>
      <c r="Q162" s="323"/>
      <c r="R162" s="323"/>
      <c r="S162" s="323"/>
      <c r="T162" s="323"/>
      <c r="U162" s="323"/>
      <c r="V162" s="323"/>
      <c r="W162" s="323"/>
      <c r="X162" s="323"/>
      <c r="Y162" s="323"/>
      <c r="Z162" s="323"/>
      <c r="AA162" s="599"/>
      <c r="AB162" s="323"/>
      <c r="AC162" s="323"/>
      <c r="AD162" s="323"/>
      <c r="AE162" s="323"/>
      <c r="AF162" s="323"/>
      <c r="AG162" s="323"/>
      <c r="AH162" s="323"/>
      <c r="AI162" s="323"/>
      <c r="AJ162" s="323"/>
      <c r="AK162" s="323"/>
      <c r="AL162" s="323"/>
      <c r="AM162" s="323"/>
      <c r="AN162" s="323"/>
      <c r="AO162" s="323"/>
      <c r="AP162" s="323"/>
      <c r="AQ162" s="323"/>
      <c r="AR162" s="323"/>
      <c r="AS162" s="323"/>
      <c r="AT162" s="323"/>
      <c r="AU162" s="323"/>
      <c r="AV162" s="323"/>
      <c r="AW162" s="323"/>
      <c r="AX162" s="323"/>
      <c r="AY162" s="323"/>
      <c r="AZ162" s="323"/>
      <c r="BA162" s="323"/>
      <c r="BB162" s="323"/>
      <c r="BC162" s="323"/>
      <c r="BD162" s="323"/>
      <c r="BE162" s="323"/>
      <c r="BF162" s="323"/>
      <c r="BG162" s="323"/>
      <c r="BH162" s="323"/>
    </row>
    <row r="163" spans="2:60">
      <c r="B163" s="964" t="s">
        <v>112</v>
      </c>
      <c r="C163" s="953"/>
      <c r="D163" s="953">
        <v>0</v>
      </c>
      <c r="E163" s="956">
        <f>D167</f>
        <v>0</v>
      </c>
      <c r="F163" s="956">
        <f t="shared" ref="F163:AM163" si="70">E167</f>
        <v>0</v>
      </c>
      <c r="G163" s="956">
        <f t="shared" si="70"/>
        <v>0</v>
      </c>
      <c r="H163" s="956">
        <f t="shared" si="70"/>
        <v>0</v>
      </c>
      <c r="I163" s="956">
        <f t="shared" si="70"/>
        <v>0</v>
      </c>
      <c r="J163" s="956">
        <f>I167</f>
        <v>0</v>
      </c>
      <c r="K163" s="956">
        <f t="shared" si="70"/>
        <v>0</v>
      </c>
      <c r="L163" s="956">
        <f t="shared" si="70"/>
        <v>0</v>
      </c>
      <c r="M163" s="956">
        <f t="shared" si="70"/>
        <v>0</v>
      </c>
      <c r="N163" s="956">
        <f t="shared" si="70"/>
        <v>0</v>
      </c>
      <c r="O163" s="957">
        <f t="shared" si="70"/>
        <v>0</v>
      </c>
      <c r="P163" s="956">
        <f t="shared" si="70"/>
        <v>0</v>
      </c>
      <c r="Q163" s="956">
        <f t="shared" si="70"/>
        <v>0</v>
      </c>
      <c r="R163" s="956">
        <f t="shared" si="70"/>
        <v>0</v>
      </c>
      <c r="S163" s="956">
        <f t="shared" si="70"/>
        <v>0</v>
      </c>
      <c r="T163" s="956">
        <f t="shared" si="70"/>
        <v>0</v>
      </c>
      <c r="U163" s="956">
        <f t="shared" si="70"/>
        <v>0</v>
      </c>
      <c r="V163" s="956">
        <f t="shared" si="70"/>
        <v>0</v>
      </c>
      <c r="W163" s="956">
        <f t="shared" si="70"/>
        <v>0</v>
      </c>
      <c r="X163" s="956">
        <f t="shared" si="70"/>
        <v>0</v>
      </c>
      <c r="Y163" s="956">
        <f t="shared" si="70"/>
        <v>0</v>
      </c>
      <c r="Z163" s="956">
        <f t="shared" si="70"/>
        <v>0</v>
      </c>
      <c r="AA163" s="957">
        <f t="shared" si="70"/>
        <v>0</v>
      </c>
      <c r="AB163" s="956">
        <f t="shared" si="70"/>
        <v>0</v>
      </c>
      <c r="AC163" s="956">
        <f t="shared" si="70"/>
        <v>1468.75</v>
      </c>
      <c r="AD163" s="956">
        <f t="shared" si="70"/>
        <v>1437.5</v>
      </c>
      <c r="AE163" s="956">
        <f t="shared" si="70"/>
        <v>1406.25</v>
      </c>
      <c r="AF163" s="956">
        <f t="shared" si="70"/>
        <v>1375</v>
      </c>
      <c r="AG163" s="956">
        <f t="shared" si="70"/>
        <v>1343.75</v>
      </c>
      <c r="AH163" s="956">
        <f t="shared" si="70"/>
        <v>1312.5</v>
      </c>
      <c r="AI163" s="956">
        <f t="shared" si="70"/>
        <v>1281.25</v>
      </c>
      <c r="AJ163" s="956">
        <f t="shared" si="70"/>
        <v>1250</v>
      </c>
      <c r="AK163" s="956">
        <f t="shared" si="70"/>
        <v>1218.75</v>
      </c>
      <c r="AL163" s="956">
        <f t="shared" si="70"/>
        <v>1187.5</v>
      </c>
      <c r="AM163" s="956">
        <f t="shared" si="70"/>
        <v>1156.25</v>
      </c>
      <c r="AN163" s="323"/>
      <c r="AO163" s="323"/>
      <c r="AP163" s="323"/>
      <c r="AQ163" s="323"/>
      <c r="AR163" s="323"/>
      <c r="AS163" s="323"/>
      <c r="AT163" s="323"/>
      <c r="AU163" s="323"/>
      <c r="AV163" s="323"/>
      <c r="AW163" s="323"/>
      <c r="AX163" s="323"/>
      <c r="AY163" s="323"/>
      <c r="AZ163" s="323"/>
      <c r="BA163" s="323"/>
      <c r="BB163" s="323"/>
      <c r="BC163" s="323"/>
      <c r="BD163" s="323"/>
      <c r="BE163" s="323"/>
      <c r="BF163" s="323"/>
      <c r="BG163" s="323"/>
      <c r="BH163" s="323"/>
    </row>
    <row r="164" spans="2:60">
      <c r="B164" s="964" t="s">
        <v>265</v>
      </c>
      <c r="C164" s="953"/>
      <c r="D164" s="956">
        <f>G57</f>
        <v>0</v>
      </c>
      <c r="E164" s="956"/>
      <c r="F164" s="956"/>
      <c r="G164" s="956"/>
      <c r="H164" s="956"/>
      <c r="I164" s="956"/>
      <c r="J164" s="956"/>
      <c r="K164" s="956"/>
      <c r="L164" s="956"/>
      <c r="M164" s="956"/>
      <c r="N164" s="956"/>
      <c r="O164" s="957"/>
      <c r="P164" s="956">
        <f>H57</f>
        <v>0</v>
      </c>
      <c r="Q164" s="956"/>
      <c r="R164" s="956"/>
      <c r="S164" s="956"/>
      <c r="T164" s="956"/>
      <c r="U164" s="956"/>
      <c r="V164" s="956"/>
      <c r="W164" s="956"/>
      <c r="X164" s="956"/>
      <c r="Y164" s="956"/>
      <c r="Z164" s="956"/>
      <c r="AA164" s="957"/>
      <c r="AB164" s="956">
        <f>I57</f>
        <v>1500</v>
      </c>
      <c r="AC164" s="956"/>
      <c r="AD164" s="956"/>
      <c r="AE164" s="956"/>
      <c r="AF164" s="956"/>
      <c r="AG164" s="956"/>
      <c r="AH164" s="956"/>
      <c r="AI164" s="956"/>
      <c r="AJ164" s="956"/>
      <c r="AK164" s="956"/>
      <c r="AL164" s="956"/>
      <c r="AM164" s="956"/>
      <c r="AN164" s="323"/>
      <c r="AO164" s="323"/>
      <c r="AP164" s="323"/>
      <c r="AQ164" s="323"/>
      <c r="AR164" s="323"/>
      <c r="AS164" s="323"/>
      <c r="AT164" s="323"/>
      <c r="AU164" s="323"/>
      <c r="AV164" s="323"/>
      <c r="AW164" s="323"/>
      <c r="AX164" s="323"/>
      <c r="AY164" s="323"/>
      <c r="AZ164" s="323"/>
      <c r="BA164" s="323"/>
      <c r="BB164" s="323"/>
      <c r="BC164" s="323"/>
      <c r="BD164" s="323"/>
      <c r="BE164" s="323"/>
      <c r="BF164" s="323"/>
      <c r="BG164" s="323"/>
      <c r="BH164" s="323"/>
    </row>
    <row r="165" spans="2:60">
      <c r="B165" s="964" t="s">
        <v>110</v>
      </c>
      <c r="C165" s="953"/>
      <c r="D165" s="956">
        <f>SUM(D163:D164)</f>
        <v>0</v>
      </c>
      <c r="E165" s="956">
        <f t="shared" ref="E165:AM165" si="71">SUM(E163:E164)</f>
        <v>0</v>
      </c>
      <c r="F165" s="956">
        <f t="shared" si="71"/>
        <v>0</v>
      </c>
      <c r="G165" s="956">
        <f t="shared" si="71"/>
        <v>0</v>
      </c>
      <c r="H165" s="956">
        <f t="shared" si="71"/>
        <v>0</v>
      </c>
      <c r="I165" s="956">
        <f t="shared" si="71"/>
        <v>0</v>
      </c>
      <c r="J165" s="956">
        <f t="shared" si="71"/>
        <v>0</v>
      </c>
      <c r="K165" s="956">
        <f t="shared" si="71"/>
        <v>0</v>
      </c>
      <c r="L165" s="956">
        <f t="shared" si="71"/>
        <v>0</v>
      </c>
      <c r="M165" s="956">
        <f t="shared" si="71"/>
        <v>0</v>
      </c>
      <c r="N165" s="956">
        <f t="shared" si="71"/>
        <v>0</v>
      </c>
      <c r="O165" s="957">
        <f t="shared" si="71"/>
        <v>0</v>
      </c>
      <c r="P165" s="956">
        <f t="shared" si="71"/>
        <v>0</v>
      </c>
      <c r="Q165" s="956">
        <f t="shared" si="71"/>
        <v>0</v>
      </c>
      <c r="R165" s="956">
        <f t="shared" si="71"/>
        <v>0</v>
      </c>
      <c r="S165" s="956">
        <f t="shared" si="71"/>
        <v>0</v>
      </c>
      <c r="T165" s="956">
        <f t="shared" si="71"/>
        <v>0</v>
      </c>
      <c r="U165" s="956">
        <f t="shared" si="71"/>
        <v>0</v>
      </c>
      <c r="V165" s="956">
        <f t="shared" si="71"/>
        <v>0</v>
      </c>
      <c r="W165" s="956">
        <f t="shared" si="71"/>
        <v>0</v>
      </c>
      <c r="X165" s="956">
        <f t="shared" si="71"/>
        <v>0</v>
      </c>
      <c r="Y165" s="956">
        <f t="shared" si="71"/>
        <v>0</v>
      </c>
      <c r="Z165" s="956">
        <f t="shared" si="71"/>
        <v>0</v>
      </c>
      <c r="AA165" s="957">
        <f t="shared" si="71"/>
        <v>0</v>
      </c>
      <c r="AB165" s="956">
        <f t="shared" si="71"/>
        <v>1500</v>
      </c>
      <c r="AC165" s="956">
        <f t="shared" si="71"/>
        <v>1468.75</v>
      </c>
      <c r="AD165" s="956">
        <f t="shared" si="71"/>
        <v>1437.5</v>
      </c>
      <c r="AE165" s="956">
        <f t="shared" si="71"/>
        <v>1406.25</v>
      </c>
      <c r="AF165" s="956">
        <f t="shared" si="71"/>
        <v>1375</v>
      </c>
      <c r="AG165" s="956">
        <f t="shared" si="71"/>
        <v>1343.75</v>
      </c>
      <c r="AH165" s="956">
        <f t="shared" si="71"/>
        <v>1312.5</v>
      </c>
      <c r="AI165" s="956">
        <f t="shared" si="71"/>
        <v>1281.25</v>
      </c>
      <c r="AJ165" s="956">
        <f t="shared" si="71"/>
        <v>1250</v>
      </c>
      <c r="AK165" s="956">
        <f t="shared" si="71"/>
        <v>1218.75</v>
      </c>
      <c r="AL165" s="956">
        <f t="shared" si="71"/>
        <v>1187.5</v>
      </c>
      <c r="AM165" s="956">
        <f t="shared" si="71"/>
        <v>1156.25</v>
      </c>
      <c r="AN165" s="323"/>
      <c r="AO165" s="323"/>
      <c r="AP165" s="323"/>
      <c r="AQ165" s="323"/>
      <c r="AR165" s="323"/>
      <c r="AS165" s="323"/>
      <c r="AT165" s="323"/>
      <c r="AU165" s="323"/>
      <c r="AV165" s="323"/>
      <c r="AW165" s="323"/>
      <c r="AX165" s="323"/>
      <c r="AY165" s="323"/>
      <c r="AZ165" s="323"/>
      <c r="BA165" s="323"/>
      <c r="BB165" s="323"/>
      <c r="BC165" s="323"/>
      <c r="BD165" s="323"/>
      <c r="BE165" s="323"/>
      <c r="BF165" s="323"/>
      <c r="BG165" s="323"/>
      <c r="BH165" s="323"/>
    </row>
    <row r="166" spans="2:60">
      <c r="B166" s="964" t="s">
        <v>57</v>
      </c>
      <c r="C166" s="953"/>
      <c r="D166" s="956">
        <f t="shared" ref="D166:O166" si="72">-$D$164/$J$57/12</f>
        <v>0</v>
      </c>
      <c r="E166" s="956">
        <f t="shared" si="72"/>
        <v>0</v>
      </c>
      <c r="F166" s="956">
        <f t="shared" si="72"/>
        <v>0</v>
      </c>
      <c r="G166" s="956">
        <f t="shared" si="72"/>
        <v>0</v>
      </c>
      <c r="H166" s="956">
        <f t="shared" si="72"/>
        <v>0</v>
      </c>
      <c r="I166" s="956">
        <f t="shared" si="72"/>
        <v>0</v>
      </c>
      <c r="J166" s="956">
        <f t="shared" si="72"/>
        <v>0</v>
      </c>
      <c r="K166" s="956">
        <f t="shared" si="72"/>
        <v>0</v>
      </c>
      <c r="L166" s="956">
        <f t="shared" si="72"/>
        <v>0</v>
      </c>
      <c r="M166" s="956">
        <f t="shared" si="72"/>
        <v>0</v>
      </c>
      <c r="N166" s="956">
        <f t="shared" si="72"/>
        <v>0</v>
      </c>
      <c r="O166" s="956">
        <f t="shared" si="72"/>
        <v>0</v>
      </c>
      <c r="P166" s="956">
        <f t="shared" ref="P166:AA166" si="73">(-$D$164/$J$57/12)-($P$164/$J$57/12)</f>
        <v>0</v>
      </c>
      <c r="Q166" s="956">
        <f t="shared" si="73"/>
        <v>0</v>
      </c>
      <c r="R166" s="956">
        <f t="shared" si="73"/>
        <v>0</v>
      </c>
      <c r="S166" s="956">
        <f t="shared" si="73"/>
        <v>0</v>
      </c>
      <c r="T166" s="956">
        <f t="shared" si="73"/>
        <v>0</v>
      </c>
      <c r="U166" s="956">
        <f t="shared" si="73"/>
        <v>0</v>
      </c>
      <c r="V166" s="956">
        <f t="shared" si="73"/>
        <v>0</v>
      </c>
      <c r="W166" s="956">
        <f t="shared" si="73"/>
        <v>0</v>
      </c>
      <c r="X166" s="956">
        <f t="shared" si="73"/>
        <v>0</v>
      </c>
      <c r="Y166" s="956">
        <f t="shared" si="73"/>
        <v>0</v>
      </c>
      <c r="Z166" s="956">
        <f t="shared" si="73"/>
        <v>0</v>
      </c>
      <c r="AA166" s="956">
        <f t="shared" si="73"/>
        <v>0</v>
      </c>
      <c r="AB166" s="956">
        <f t="shared" ref="AB166:AM166" si="74">(-$D$164/$J$57/12)-($P$164/$J$57/12)-($I$57/$J$57/12)</f>
        <v>-31.25</v>
      </c>
      <c r="AC166" s="956">
        <f t="shared" si="74"/>
        <v>-31.25</v>
      </c>
      <c r="AD166" s="956">
        <f t="shared" si="74"/>
        <v>-31.25</v>
      </c>
      <c r="AE166" s="956">
        <f t="shared" si="74"/>
        <v>-31.25</v>
      </c>
      <c r="AF166" s="956">
        <f t="shared" si="74"/>
        <v>-31.25</v>
      </c>
      <c r="AG166" s="956">
        <f t="shared" si="74"/>
        <v>-31.25</v>
      </c>
      <c r="AH166" s="956">
        <f t="shared" si="74"/>
        <v>-31.25</v>
      </c>
      <c r="AI166" s="956">
        <f t="shared" si="74"/>
        <v>-31.25</v>
      </c>
      <c r="AJ166" s="956">
        <f t="shared" si="74"/>
        <v>-31.25</v>
      </c>
      <c r="AK166" s="956">
        <f t="shared" si="74"/>
        <v>-31.25</v>
      </c>
      <c r="AL166" s="956">
        <f t="shared" si="74"/>
        <v>-31.25</v>
      </c>
      <c r="AM166" s="956">
        <f t="shared" si="74"/>
        <v>-31.25</v>
      </c>
      <c r="AN166" s="323"/>
      <c r="AO166" s="323"/>
      <c r="AP166" s="323"/>
      <c r="AQ166" s="323"/>
      <c r="AR166" s="323"/>
      <c r="AS166" s="323"/>
      <c r="AT166" s="323"/>
      <c r="AU166" s="323"/>
      <c r="AV166" s="323"/>
      <c r="AW166" s="323"/>
      <c r="AX166" s="323"/>
      <c r="AY166" s="323"/>
      <c r="AZ166" s="323"/>
      <c r="BA166" s="323"/>
      <c r="BB166" s="323"/>
      <c r="BC166" s="323"/>
      <c r="BD166" s="323"/>
      <c r="BE166" s="323"/>
      <c r="BF166" s="323"/>
      <c r="BG166" s="323"/>
      <c r="BH166" s="323"/>
    </row>
    <row r="167" spans="2:60" ht="16.2" thickBot="1">
      <c r="B167" s="965" t="s">
        <v>255</v>
      </c>
      <c r="C167" s="958"/>
      <c r="D167" s="956">
        <f>SUM(D165:D166)</f>
        <v>0</v>
      </c>
      <c r="E167" s="956">
        <f t="shared" ref="E167:AM167" si="75">SUM(E165:E166)</f>
        <v>0</v>
      </c>
      <c r="F167" s="956">
        <f t="shared" si="75"/>
        <v>0</v>
      </c>
      <c r="G167" s="956">
        <f t="shared" si="75"/>
        <v>0</v>
      </c>
      <c r="H167" s="956">
        <f t="shared" si="75"/>
        <v>0</v>
      </c>
      <c r="I167" s="956">
        <f t="shared" si="75"/>
        <v>0</v>
      </c>
      <c r="J167" s="956">
        <f t="shared" si="75"/>
        <v>0</v>
      </c>
      <c r="K167" s="956">
        <f t="shared" si="75"/>
        <v>0</v>
      </c>
      <c r="L167" s="956">
        <f t="shared" si="75"/>
        <v>0</v>
      </c>
      <c r="M167" s="956">
        <f t="shared" si="75"/>
        <v>0</v>
      </c>
      <c r="N167" s="956">
        <f t="shared" si="75"/>
        <v>0</v>
      </c>
      <c r="O167" s="957">
        <f t="shared" si="75"/>
        <v>0</v>
      </c>
      <c r="P167" s="956">
        <f t="shared" si="75"/>
        <v>0</v>
      </c>
      <c r="Q167" s="956">
        <f t="shared" si="75"/>
        <v>0</v>
      </c>
      <c r="R167" s="956">
        <f t="shared" si="75"/>
        <v>0</v>
      </c>
      <c r="S167" s="956">
        <f t="shared" si="75"/>
        <v>0</v>
      </c>
      <c r="T167" s="956">
        <f t="shared" si="75"/>
        <v>0</v>
      </c>
      <c r="U167" s="956">
        <f t="shared" si="75"/>
        <v>0</v>
      </c>
      <c r="V167" s="956">
        <f t="shared" si="75"/>
        <v>0</v>
      </c>
      <c r="W167" s="956">
        <f t="shared" si="75"/>
        <v>0</v>
      </c>
      <c r="X167" s="956">
        <f t="shared" si="75"/>
        <v>0</v>
      </c>
      <c r="Y167" s="956">
        <f t="shared" si="75"/>
        <v>0</v>
      </c>
      <c r="Z167" s="956">
        <f t="shared" si="75"/>
        <v>0</v>
      </c>
      <c r="AA167" s="957">
        <f t="shared" si="75"/>
        <v>0</v>
      </c>
      <c r="AB167" s="956">
        <f t="shared" si="75"/>
        <v>1468.75</v>
      </c>
      <c r="AC167" s="956">
        <f t="shared" si="75"/>
        <v>1437.5</v>
      </c>
      <c r="AD167" s="956">
        <f t="shared" si="75"/>
        <v>1406.25</v>
      </c>
      <c r="AE167" s="956">
        <f t="shared" si="75"/>
        <v>1375</v>
      </c>
      <c r="AF167" s="956">
        <f t="shared" si="75"/>
        <v>1343.75</v>
      </c>
      <c r="AG167" s="956">
        <f t="shared" si="75"/>
        <v>1312.5</v>
      </c>
      <c r="AH167" s="956">
        <f t="shared" si="75"/>
        <v>1281.25</v>
      </c>
      <c r="AI167" s="956">
        <f t="shared" si="75"/>
        <v>1250</v>
      </c>
      <c r="AJ167" s="956">
        <f t="shared" si="75"/>
        <v>1218.75</v>
      </c>
      <c r="AK167" s="956">
        <f t="shared" si="75"/>
        <v>1187.5</v>
      </c>
      <c r="AL167" s="956">
        <f t="shared" si="75"/>
        <v>1156.25</v>
      </c>
      <c r="AM167" s="956">
        <f t="shared" si="75"/>
        <v>1125</v>
      </c>
      <c r="AN167" s="323"/>
      <c r="AO167" s="323"/>
      <c r="AP167" s="323"/>
      <c r="AQ167" s="323"/>
      <c r="AR167" s="323"/>
      <c r="AS167" s="323"/>
      <c r="AT167" s="323"/>
      <c r="AU167" s="323"/>
      <c r="AV167" s="323"/>
      <c r="AW167" s="323"/>
      <c r="AX167" s="323"/>
      <c r="AY167" s="323"/>
      <c r="AZ167" s="323"/>
      <c r="BA167" s="323"/>
      <c r="BB167" s="323"/>
      <c r="BC167" s="323"/>
      <c r="BD167" s="323"/>
      <c r="BE167" s="323"/>
      <c r="BF167" s="323"/>
      <c r="BG167" s="323"/>
      <c r="BH167" s="323"/>
    </row>
    <row r="168" spans="2:60" ht="16.8" thickTop="1" thickBot="1">
      <c r="B168" s="639"/>
      <c r="D168" s="323"/>
      <c r="E168" s="323"/>
      <c r="F168" s="323"/>
      <c r="G168" s="323"/>
      <c r="H168" s="323"/>
      <c r="I168" s="323"/>
      <c r="J168" s="323"/>
      <c r="K168" s="323"/>
      <c r="L168" s="323"/>
      <c r="M168" s="323"/>
      <c r="N168" s="323"/>
      <c r="O168" s="599"/>
      <c r="P168" s="323"/>
      <c r="Q168" s="323"/>
      <c r="R168" s="323"/>
      <c r="S168" s="323"/>
      <c r="T168" s="323"/>
      <c r="U168" s="323"/>
      <c r="V168" s="323"/>
      <c r="W168" s="323"/>
      <c r="X168" s="323"/>
      <c r="Y168" s="323"/>
      <c r="Z168" s="323"/>
      <c r="AA168" s="599"/>
      <c r="AB168" s="323"/>
      <c r="AC168" s="323"/>
      <c r="AD168" s="323"/>
      <c r="AE168" s="323"/>
      <c r="AF168" s="323"/>
      <c r="AG168" s="323"/>
      <c r="AH168" s="323"/>
      <c r="AI168" s="323"/>
      <c r="AJ168" s="323"/>
      <c r="AK168" s="323"/>
      <c r="AL168" s="323"/>
      <c r="AM168" s="323"/>
      <c r="AN168" s="323"/>
      <c r="AO168" s="323"/>
      <c r="AP168" s="323"/>
      <c r="AQ168" s="323"/>
      <c r="AR168" s="323"/>
      <c r="AS168" s="323"/>
      <c r="AT168" s="323"/>
      <c r="AU168" s="323"/>
      <c r="AV168" s="323"/>
      <c r="AW168" s="323"/>
      <c r="AX168" s="323"/>
      <c r="AY168" s="323"/>
      <c r="AZ168" s="323"/>
      <c r="BA168" s="323"/>
      <c r="BB168" s="323"/>
      <c r="BC168" s="323"/>
      <c r="BD168" s="323"/>
      <c r="BE168" s="323"/>
      <c r="BF168" s="323"/>
      <c r="BG168" s="323"/>
      <c r="BH168" s="323"/>
    </row>
    <row r="169" spans="2:60" ht="16.2" thickTop="1">
      <c r="B169" s="963" t="str">
        <f>B58</f>
        <v>Additive Manufacturing Printer</v>
      </c>
      <c r="D169" s="323"/>
      <c r="E169" s="323"/>
      <c r="F169" s="323"/>
      <c r="G169" s="323"/>
      <c r="H169" s="323"/>
      <c r="I169" s="323"/>
      <c r="J169" s="323"/>
      <c r="K169" s="323"/>
      <c r="L169" s="323"/>
      <c r="M169" s="323"/>
      <c r="N169" s="323"/>
      <c r="O169" s="599"/>
      <c r="P169" s="323"/>
      <c r="Q169" s="323"/>
      <c r="R169" s="323"/>
      <c r="S169" s="323"/>
      <c r="T169" s="323"/>
      <c r="U169" s="323"/>
      <c r="V169" s="323"/>
      <c r="W169" s="323"/>
      <c r="X169" s="323"/>
      <c r="Y169" s="323"/>
      <c r="Z169" s="323"/>
      <c r="AA169" s="599"/>
      <c r="AB169" s="323"/>
      <c r="AC169" s="323"/>
      <c r="AD169" s="323"/>
      <c r="AE169" s="323"/>
      <c r="AF169" s="323"/>
      <c r="AG169" s="323"/>
      <c r="AH169" s="323"/>
      <c r="AI169" s="323"/>
      <c r="AJ169" s="323"/>
      <c r="AK169" s="323"/>
      <c r="AL169" s="323"/>
      <c r="AM169" s="323"/>
      <c r="AN169" s="323"/>
      <c r="AO169" s="323"/>
      <c r="AP169" s="323"/>
      <c r="AQ169" s="323"/>
      <c r="AR169" s="323"/>
      <c r="AS169" s="323"/>
      <c r="AT169" s="323"/>
      <c r="AU169" s="323"/>
      <c r="AV169" s="323"/>
      <c r="AW169" s="323"/>
      <c r="AX169" s="323"/>
      <c r="AY169" s="323"/>
      <c r="AZ169" s="323"/>
      <c r="BA169" s="323"/>
      <c r="BB169" s="323"/>
      <c r="BC169" s="323"/>
      <c r="BD169" s="323"/>
      <c r="BE169" s="323"/>
      <c r="BF169" s="323"/>
      <c r="BG169" s="323"/>
      <c r="BH169" s="323"/>
    </row>
    <row r="170" spans="2:60">
      <c r="B170" s="964" t="s">
        <v>112</v>
      </c>
      <c r="C170" s="953"/>
      <c r="D170" s="953">
        <v>0</v>
      </c>
      <c r="E170" s="956">
        <f>D174</f>
        <v>0</v>
      </c>
      <c r="F170" s="956">
        <f t="shared" ref="F170:AM170" si="76">E174</f>
        <v>0</v>
      </c>
      <c r="G170" s="956">
        <f t="shared" si="76"/>
        <v>0</v>
      </c>
      <c r="H170" s="956">
        <f t="shared" si="76"/>
        <v>0</v>
      </c>
      <c r="I170" s="956">
        <f t="shared" si="76"/>
        <v>0</v>
      </c>
      <c r="J170" s="956">
        <f>I174</f>
        <v>0</v>
      </c>
      <c r="K170" s="956">
        <f t="shared" si="76"/>
        <v>0</v>
      </c>
      <c r="L170" s="956">
        <f t="shared" si="76"/>
        <v>0</v>
      </c>
      <c r="M170" s="956">
        <f t="shared" si="76"/>
        <v>0</v>
      </c>
      <c r="N170" s="956">
        <f t="shared" si="76"/>
        <v>0</v>
      </c>
      <c r="O170" s="957">
        <f t="shared" si="76"/>
        <v>0</v>
      </c>
      <c r="P170" s="956">
        <f t="shared" si="76"/>
        <v>0</v>
      </c>
      <c r="Q170" s="956">
        <f t="shared" si="76"/>
        <v>0</v>
      </c>
      <c r="R170" s="956">
        <f t="shared" si="76"/>
        <v>0</v>
      </c>
      <c r="S170" s="956">
        <f t="shared" si="76"/>
        <v>0</v>
      </c>
      <c r="T170" s="956">
        <f t="shared" si="76"/>
        <v>0</v>
      </c>
      <c r="U170" s="956">
        <f t="shared" si="76"/>
        <v>0</v>
      </c>
      <c r="V170" s="956">
        <f t="shared" si="76"/>
        <v>0</v>
      </c>
      <c r="W170" s="956">
        <f t="shared" si="76"/>
        <v>0</v>
      </c>
      <c r="X170" s="956">
        <f t="shared" si="76"/>
        <v>0</v>
      </c>
      <c r="Y170" s="956">
        <f t="shared" si="76"/>
        <v>0</v>
      </c>
      <c r="Z170" s="956">
        <f t="shared" si="76"/>
        <v>0</v>
      </c>
      <c r="AA170" s="957">
        <f t="shared" si="76"/>
        <v>0</v>
      </c>
      <c r="AB170" s="956">
        <f t="shared" si="76"/>
        <v>0</v>
      </c>
      <c r="AC170" s="956">
        <f t="shared" si="76"/>
        <v>58000</v>
      </c>
      <c r="AD170" s="956">
        <f t="shared" si="76"/>
        <v>56000</v>
      </c>
      <c r="AE170" s="956">
        <f t="shared" si="76"/>
        <v>54000</v>
      </c>
      <c r="AF170" s="956">
        <f t="shared" si="76"/>
        <v>52000</v>
      </c>
      <c r="AG170" s="956">
        <f t="shared" si="76"/>
        <v>50000</v>
      </c>
      <c r="AH170" s="956">
        <f t="shared" si="76"/>
        <v>48000</v>
      </c>
      <c r="AI170" s="956">
        <f t="shared" si="76"/>
        <v>46000</v>
      </c>
      <c r="AJ170" s="956">
        <f t="shared" si="76"/>
        <v>44000</v>
      </c>
      <c r="AK170" s="956">
        <f t="shared" si="76"/>
        <v>42000</v>
      </c>
      <c r="AL170" s="956">
        <f t="shared" si="76"/>
        <v>40000</v>
      </c>
      <c r="AM170" s="956">
        <f t="shared" si="76"/>
        <v>38000</v>
      </c>
      <c r="AN170" s="323"/>
      <c r="AO170" s="323"/>
      <c r="AP170" s="323"/>
      <c r="AQ170" s="323"/>
      <c r="AR170" s="323"/>
      <c r="AS170" s="323"/>
      <c r="AT170" s="323"/>
      <c r="AU170" s="323"/>
      <c r="AV170" s="323"/>
      <c r="AW170" s="323"/>
      <c r="AX170" s="323"/>
      <c r="AY170" s="323"/>
      <c r="AZ170" s="323"/>
      <c r="BA170" s="323"/>
      <c r="BB170" s="323"/>
      <c r="BC170" s="323"/>
      <c r="BD170" s="323"/>
      <c r="BE170" s="323"/>
      <c r="BF170" s="323"/>
      <c r="BG170" s="323"/>
      <c r="BH170" s="323"/>
    </row>
    <row r="171" spans="2:60">
      <c r="B171" s="964" t="s">
        <v>265</v>
      </c>
      <c r="C171" s="953"/>
      <c r="D171" s="956">
        <f>G58</f>
        <v>0</v>
      </c>
      <c r="E171" s="956"/>
      <c r="F171" s="956"/>
      <c r="G171" s="956"/>
      <c r="H171" s="956"/>
      <c r="I171" s="956"/>
      <c r="J171" s="956"/>
      <c r="K171" s="956"/>
      <c r="L171" s="956"/>
      <c r="M171" s="956"/>
      <c r="N171" s="956"/>
      <c r="O171" s="957"/>
      <c r="P171" s="956">
        <f>H58</f>
        <v>0</v>
      </c>
      <c r="Q171" s="956"/>
      <c r="R171" s="956"/>
      <c r="S171" s="956"/>
      <c r="T171" s="956"/>
      <c r="U171" s="956"/>
      <c r="V171" s="956"/>
      <c r="W171" s="956"/>
      <c r="X171" s="956"/>
      <c r="Y171" s="956"/>
      <c r="Z171" s="956"/>
      <c r="AA171" s="957"/>
      <c r="AB171" s="956">
        <f>$I$58</f>
        <v>60000</v>
      </c>
      <c r="AC171" s="956"/>
      <c r="AD171" s="956"/>
      <c r="AE171" s="956"/>
      <c r="AF171" s="956"/>
      <c r="AG171" s="956"/>
      <c r="AH171" s="956"/>
      <c r="AI171" s="956"/>
      <c r="AJ171" s="956"/>
      <c r="AK171" s="956"/>
      <c r="AL171" s="956"/>
      <c r="AM171" s="956"/>
      <c r="AN171" s="323"/>
      <c r="AO171" s="323"/>
      <c r="AP171" s="323"/>
      <c r="AQ171" s="323"/>
      <c r="AR171" s="323"/>
      <c r="AS171" s="323"/>
      <c r="AT171" s="323"/>
      <c r="AU171" s="323"/>
      <c r="AV171" s="323"/>
      <c r="AW171" s="323"/>
      <c r="AX171" s="323"/>
      <c r="AY171" s="323"/>
      <c r="AZ171" s="323"/>
      <c r="BA171" s="323"/>
      <c r="BB171" s="323"/>
      <c r="BC171" s="323"/>
      <c r="BD171" s="323"/>
      <c r="BE171" s="323"/>
      <c r="BF171" s="323"/>
      <c r="BG171" s="323"/>
      <c r="BH171" s="323"/>
    </row>
    <row r="172" spans="2:60">
      <c r="B172" s="964" t="s">
        <v>110</v>
      </c>
      <c r="C172" s="953"/>
      <c r="D172" s="956">
        <f>SUM(D170:D171)</f>
        <v>0</v>
      </c>
      <c r="E172" s="956">
        <f t="shared" ref="E172:AM172" si="77">SUM(E170:E171)</f>
        <v>0</v>
      </c>
      <c r="F172" s="956">
        <f t="shared" si="77"/>
        <v>0</v>
      </c>
      <c r="G172" s="956">
        <f t="shared" si="77"/>
        <v>0</v>
      </c>
      <c r="H172" s="956">
        <f t="shared" si="77"/>
        <v>0</v>
      </c>
      <c r="I172" s="956">
        <f t="shared" si="77"/>
        <v>0</v>
      </c>
      <c r="J172" s="956">
        <f t="shared" si="77"/>
        <v>0</v>
      </c>
      <c r="K172" s="956">
        <f t="shared" si="77"/>
        <v>0</v>
      </c>
      <c r="L172" s="956">
        <f t="shared" si="77"/>
        <v>0</v>
      </c>
      <c r="M172" s="956">
        <f t="shared" si="77"/>
        <v>0</v>
      </c>
      <c r="N172" s="956">
        <f t="shared" si="77"/>
        <v>0</v>
      </c>
      <c r="O172" s="957">
        <f t="shared" si="77"/>
        <v>0</v>
      </c>
      <c r="P172" s="956">
        <f t="shared" si="77"/>
        <v>0</v>
      </c>
      <c r="Q172" s="956">
        <f t="shared" si="77"/>
        <v>0</v>
      </c>
      <c r="R172" s="956">
        <f t="shared" si="77"/>
        <v>0</v>
      </c>
      <c r="S172" s="956">
        <f t="shared" si="77"/>
        <v>0</v>
      </c>
      <c r="T172" s="956">
        <f t="shared" si="77"/>
        <v>0</v>
      </c>
      <c r="U172" s="956">
        <f t="shared" si="77"/>
        <v>0</v>
      </c>
      <c r="V172" s="956">
        <f t="shared" si="77"/>
        <v>0</v>
      </c>
      <c r="W172" s="956">
        <f t="shared" si="77"/>
        <v>0</v>
      </c>
      <c r="X172" s="956">
        <f t="shared" si="77"/>
        <v>0</v>
      </c>
      <c r="Y172" s="956">
        <f t="shared" si="77"/>
        <v>0</v>
      </c>
      <c r="Z172" s="956">
        <f t="shared" si="77"/>
        <v>0</v>
      </c>
      <c r="AA172" s="957">
        <f t="shared" si="77"/>
        <v>0</v>
      </c>
      <c r="AB172" s="956">
        <f>SUM(AB170:AB171)</f>
        <v>60000</v>
      </c>
      <c r="AC172" s="956">
        <f t="shared" si="77"/>
        <v>58000</v>
      </c>
      <c r="AD172" s="956">
        <f t="shared" si="77"/>
        <v>56000</v>
      </c>
      <c r="AE172" s="956">
        <f t="shared" si="77"/>
        <v>54000</v>
      </c>
      <c r="AF172" s="956">
        <f t="shared" si="77"/>
        <v>52000</v>
      </c>
      <c r="AG172" s="956">
        <f t="shared" si="77"/>
        <v>50000</v>
      </c>
      <c r="AH172" s="956">
        <f t="shared" si="77"/>
        <v>48000</v>
      </c>
      <c r="AI172" s="956">
        <f t="shared" si="77"/>
        <v>46000</v>
      </c>
      <c r="AJ172" s="956">
        <f t="shared" si="77"/>
        <v>44000</v>
      </c>
      <c r="AK172" s="956">
        <f t="shared" si="77"/>
        <v>42000</v>
      </c>
      <c r="AL172" s="956">
        <f t="shared" si="77"/>
        <v>40000</v>
      </c>
      <c r="AM172" s="956">
        <f t="shared" si="77"/>
        <v>38000</v>
      </c>
      <c r="AN172" s="323"/>
      <c r="AO172" s="323"/>
      <c r="AP172" s="323"/>
      <c r="AQ172" s="323"/>
      <c r="AR172" s="323"/>
      <c r="AS172" s="323"/>
      <c r="AT172" s="323"/>
      <c r="AU172" s="323"/>
      <c r="AV172" s="323"/>
      <c r="AW172" s="323"/>
      <c r="AX172" s="323"/>
      <c r="AY172" s="323"/>
      <c r="AZ172" s="323"/>
      <c r="BA172" s="323"/>
      <c r="BB172" s="323"/>
      <c r="BC172" s="323"/>
      <c r="BD172" s="323"/>
      <c r="BE172" s="323"/>
      <c r="BF172" s="323"/>
      <c r="BG172" s="323"/>
      <c r="BH172" s="323"/>
    </row>
    <row r="173" spans="2:60">
      <c r="B173" s="964" t="s">
        <v>57</v>
      </c>
      <c r="C173" s="953"/>
      <c r="D173" s="956">
        <f t="shared" ref="D173:O173" si="78">(-$D$171*$L$58/12)</f>
        <v>0</v>
      </c>
      <c r="E173" s="956">
        <f t="shared" si="78"/>
        <v>0</v>
      </c>
      <c r="F173" s="956">
        <f t="shared" si="78"/>
        <v>0</v>
      </c>
      <c r="G173" s="956">
        <f t="shared" si="78"/>
        <v>0</v>
      </c>
      <c r="H173" s="956">
        <f t="shared" si="78"/>
        <v>0</v>
      </c>
      <c r="I173" s="956">
        <f t="shared" si="78"/>
        <v>0</v>
      </c>
      <c r="J173" s="956">
        <f t="shared" si="78"/>
        <v>0</v>
      </c>
      <c r="K173" s="956">
        <f t="shared" si="78"/>
        <v>0</v>
      </c>
      <c r="L173" s="956">
        <f t="shared" si="78"/>
        <v>0</v>
      </c>
      <c r="M173" s="956">
        <f t="shared" si="78"/>
        <v>0</v>
      </c>
      <c r="N173" s="956">
        <f t="shared" si="78"/>
        <v>0</v>
      </c>
      <c r="O173" s="956">
        <f t="shared" si="78"/>
        <v>0</v>
      </c>
      <c r="P173" s="956">
        <f t="shared" ref="P173:AA173" si="79">(-$D$171*$L$58/12)-($H$58*$L$58/12)</f>
        <v>0</v>
      </c>
      <c r="Q173" s="956">
        <f t="shared" si="79"/>
        <v>0</v>
      </c>
      <c r="R173" s="956">
        <f t="shared" si="79"/>
        <v>0</v>
      </c>
      <c r="S173" s="956">
        <f t="shared" si="79"/>
        <v>0</v>
      </c>
      <c r="T173" s="956">
        <f t="shared" si="79"/>
        <v>0</v>
      </c>
      <c r="U173" s="956">
        <f t="shared" si="79"/>
        <v>0</v>
      </c>
      <c r="V173" s="956">
        <f t="shared" si="79"/>
        <v>0</v>
      </c>
      <c r="W173" s="956">
        <f t="shared" si="79"/>
        <v>0</v>
      </c>
      <c r="X173" s="956">
        <f t="shared" si="79"/>
        <v>0</v>
      </c>
      <c r="Y173" s="956">
        <f t="shared" si="79"/>
        <v>0</v>
      </c>
      <c r="Z173" s="956">
        <f t="shared" si="79"/>
        <v>0</v>
      </c>
      <c r="AA173" s="956">
        <f t="shared" si="79"/>
        <v>0</v>
      </c>
      <c r="AB173" s="956">
        <f t="shared" ref="AB173:AM173" si="80">(-$D$171*$L$58/12)-($H$58*$L$58/12)-($I$58*$L$58/12)</f>
        <v>-2000</v>
      </c>
      <c r="AC173" s="956">
        <f t="shared" si="80"/>
        <v>-2000</v>
      </c>
      <c r="AD173" s="956">
        <f t="shared" si="80"/>
        <v>-2000</v>
      </c>
      <c r="AE173" s="956">
        <f t="shared" si="80"/>
        <v>-2000</v>
      </c>
      <c r="AF173" s="956">
        <f t="shared" si="80"/>
        <v>-2000</v>
      </c>
      <c r="AG173" s="956">
        <f t="shared" si="80"/>
        <v>-2000</v>
      </c>
      <c r="AH173" s="956">
        <f t="shared" si="80"/>
        <v>-2000</v>
      </c>
      <c r="AI173" s="956">
        <f t="shared" si="80"/>
        <v>-2000</v>
      </c>
      <c r="AJ173" s="956">
        <f t="shared" si="80"/>
        <v>-2000</v>
      </c>
      <c r="AK173" s="956">
        <f t="shared" si="80"/>
        <v>-2000</v>
      </c>
      <c r="AL173" s="956">
        <f t="shared" si="80"/>
        <v>-2000</v>
      </c>
      <c r="AM173" s="956">
        <f t="shared" si="80"/>
        <v>-2000</v>
      </c>
      <c r="AN173" s="323"/>
      <c r="AO173" s="323"/>
      <c r="AP173" s="323"/>
      <c r="AQ173" s="323"/>
      <c r="AR173" s="323"/>
      <c r="AS173" s="323"/>
      <c r="AT173" s="323"/>
      <c r="AU173" s="323"/>
      <c r="AV173" s="323"/>
      <c r="AW173" s="323"/>
      <c r="AX173" s="323"/>
      <c r="AY173" s="323"/>
      <c r="AZ173" s="323"/>
      <c r="BA173" s="323"/>
      <c r="BB173" s="323"/>
      <c r="BC173" s="323"/>
      <c r="BD173" s="323"/>
      <c r="BE173" s="323"/>
      <c r="BF173" s="323"/>
      <c r="BG173" s="323"/>
      <c r="BH173" s="323"/>
    </row>
    <row r="174" spans="2:60" ht="16.2" thickBot="1">
      <c r="B174" s="965" t="s">
        <v>255</v>
      </c>
      <c r="C174" s="958"/>
      <c r="D174" s="956">
        <f>SUM(D172:D173)</f>
        <v>0</v>
      </c>
      <c r="E174" s="956">
        <f t="shared" ref="E174:AM174" si="81">SUM(E172:E173)</f>
        <v>0</v>
      </c>
      <c r="F174" s="956">
        <f t="shared" si="81"/>
        <v>0</v>
      </c>
      <c r="G174" s="956">
        <f t="shared" si="81"/>
        <v>0</v>
      </c>
      <c r="H174" s="956">
        <f t="shared" si="81"/>
        <v>0</v>
      </c>
      <c r="I174" s="956">
        <f t="shared" si="81"/>
        <v>0</v>
      </c>
      <c r="J174" s="956">
        <f t="shared" si="81"/>
        <v>0</v>
      </c>
      <c r="K174" s="956">
        <f t="shared" si="81"/>
        <v>0</v>
      </c>
      <c r="L174" s="956">
        <f t="shared" si="81"/>
        <v>0</v>
      </c>
      <c r="M174" s="956">
        <f t="shared" si="81"/>
        <v>0</v>
      </c>
      <c r="N174" s="956">
        <f t="shared" si="81"/>
        <v>0</v>
      </c>
      <c r="O174" s="957">
        <f t="shared" si="81"/>
        <v>0</v>
      </c>
      <c r="P174" s="956">
        <f t="shared" si="81"/>
        <v>0</v>
      </c>
      <c r="Q174" s="956">
        <f t="shared" si="81"/>
        <v>0</v>
      </c>
      <c r="R174" s="956">
        <f t="shared" si="81"/>
        <v>0</v>
      </c>
      <c r="S174" s="956">
        <f t="shared" si="81"/>
        <v>0</v>
      </c>
      <c r="T174" s="956">
        <f t="shared" si="81"/>
        <v>0</v>
      </c>
      <c r="U174" s="956">
        <f t="shared" si="81"/>
        <v>0</v>
      </c>
      <c r="V174" s="956">
        <f t="shared" si="81"/>
        <v>0</v>
      </c>
      <c r="W174" s="956">
        <f t="shared" si="81"/>
        <v>0</v>
      </c>
      <c r="X174" s="956">
        <f t="shared" si="81"/>
        <v>0</v>
      </c>
      <c r="Y174" s="956">
        <f t="shared" si="81"/>
        <v>0</v>
      </c>
      <c r="Z174" s="956">
        <f t="shared" si="81"/>
        <v>0</v>
      </c>
      <c r="AA174" s="957">
        <f t="shared" si="81"/>
        <v>0</v>
      </c>
      <c r="AB174" s="956">
        <f t="shared" si="81"/>
        <v>58000</v>
      </c>
      <c r="AC174" s="956">
        <f t="shared" si="81"/>
        <v>56000</v>
      </c>
      <c r="AD174" s="956">
        <f t="shared" si="81"/>
        <v>54000</v>
      </c>
      <c r="AE174" s="956">
        <f t="shared" si="81"/>
        <v>52000</v>
      </c>
      <c r="AF174" s="956">
        <f t="shared" si="81"/>
        <v>50000</v>
      </c>
      <c r="AG174" s="956">
        <f t="shared" si="81"/>
        <v>48000</v>
      </c>
      <c r="AH174" s="956">
        <f t="shared" si="81"/>
        <v>46000</v>
      </c>
      <c r="AI174" s="956">
        <f t="shared" si="81"/>
        <v>44000</v>
      </c>
      <c r="AJ174" s="956">
        <f t="shared" si="81"/>
        <v>42000</v>
      </c>
      <c r="AK174" s="956">
        <f t="shared" si="81"/>
        <v>40000</v>
      </c>
      <c r="AL174" s="956">
        <f t="shared" si="81"/>
        <v>38000</v>
      </c>
      <c r="AM174" s="956">
        <f t="shared" si="81"/>
        <v>36000</v>
      </c>
      <c r="AN174" s="323"/>
      <c r="AO174" s="323"/>
      <c r="AP174" s="323"/>
      <c r="AQ174" s="323"/>
      <c r="AR174" s="323"/>
      <c r="AS174" s="323"/>
      <c r="AT174" s="323"/>
      <c r="AU174" s="323"/>
      <c r="AV174" s="323"/>
      <c r="AW174" s="323"/>
      <c r="AX174" s="323"/>
      <c r="AY174" s="323"/>
      <c r="AZ174" s="323"/>
      <c r="BA174" s="323"/>
      <c r="BB174" s="323"/>
      <c r="BC174" s="323"/>
      <c r="BD174" s="323"/>
      <c r="BE174" s="323"/>
      <c r="BF174" s="323"/>
      <c r="BG174" s="323"/>
      <c r="BH174" s="323"/>
    </row>
    <row r="175" spans="2:60" ht="16.8" thickTop="1" thickBot="1">
      <c r="B175" s="639"/>
      <c r="D175" s="323"/>
      <c r="E175" s="323"/>
      <c r="F175" s="323"/>
      <c r="G175" s="323"/>
      <c r="H175" s="323"/>
      <c r="I175" s="323"/>
      <c r="J175" s="323"/>
      <c r="K175" s="323"/>
      <c r="L175" s="323"/>
      <c r="M175" s="323"/>
      <c r="N175" s="323"/>
      <c r="O175" s="599"/>
      <c r="P175" s="323"/>
      <c r="Q175" s="323"/>
      <c r="R175" s="323"/>
      <c r="S175" s="323"/>
      <c r="T175" s="323"/>
      <c r="U175" s="323"/>
      <c r="V175" s="323"/>
      <c r="W175" s="323"/>
      <c r="X175" s="323"/>
      <c r="Y175" s="323"/>
      <c r="Z175" s="323"/>
      <c r="AA175" s="599"/>
      <c r="AB175" s="323"/>
      <c r="AC175" s="323"/>
      <c r="AD175" s="323"/>
      <c r="AE175" s="323"/>
      <c r="AF175" s="323"/>
      <c r="AG175" s="323"/>
      <c r="AH175" s="323"/>
      <c r="AI175" s="323"/>
      <c r="AJ175" s="323"/>
      <c r="AK175" s="323"/>
      <c r="AL175" s="323"/>
      <c r="AM175" s="323"/>
      <c r="AN175" s="323"/>
      <c r="AO175" s="323"/>
      <c r="AP175" s="323"/>
      <c r="AQ175" s="323"/>
      <c r="AR175" s="323"/>
      <c r="AS175" s="323"/>
      <c r="AT175" s="323"/>
      <c r="AU175" s="323"/>
      <c r="AV175" s="323"/>
      <c r="AW175" s="323"/>
      <c r="AX175" s="323"/>
      <c r="AY175" s="323"/>
      <c r="AZ175" s="323"/>
      <c r="BA175" s="323"/>
      <c r="BB175" s="323"/>
      <c r="BC175" s="323"/>
      <c r="BD175" s="323"/>
      <c r="BE175" s="323"/>
      <c r="BF175" s="323"/>
      <c r="BG175" s="323"/>
      <c r="BH175" s="323"/>
    </row>
    <row r="176" spans="2:60" ht="16.2" thickTop="1">
      <c r="B176" s="963" t="str">
        <f>B59</f>
        <v>Office Desks</v>
      </c>
      <c r="D176" s="323"/>
      <c r="E176" s="323"/>
      <c r="F176" s="323"/>
      <c r="G176" s="323"/>
      <c r="H176" s="323"/>
      <c r="I176" s="323"/>
      <c r="J176" s="323"/>
      <c r="K176" s="323"/>
      <c r="L176" s="323"/>
      <c r="M176" s="323"/>
      <c r="N176" s="323"/>
      <c r="O176" s="599"/>
      <c r="P176" s="323"/>
      <c r="Q176" s="323"/>
      <c r="R176" s="323"/>
      <c r="S176" s="323"/>
      <c r="T176" s="323"/>
      <c r="U176" s="323"/>
      <c r="V176" s="323"/>
      <c r="W176" s="323"/>
      <c r="X176" s="323"/>
      <c r="Y176" s="323"/>
      <c r="Z176" s="323"/>
      <c r="AA176" s="599"/>
      <c r="AB176" s="323"/>
      <c r="AC176" s="323"/>
      <c r="AD176" s="323"/>
      <c r="AE176" s="323"/>
      <c r="AF176" s="323"/>
      <c r="AG176" s="323"/>
      <c r="AH176" s="323"/>
      <c r="AI176" s="323"/>
      <c r="AJ176" s="323"/>
      <c r="AK176" s="323"/>
      <c r="AL176" s="323"/>
      <c r="AM176" s="323"/>
      <c r="AN176" s="323"/>
      <c r="AO176" s="323"/>
      <c r="AP176" s="323"/>
      <c r="AQ176" s="323"/>
      <c r="AR176" s="323"/>
      <c r="AS176" s="323"/>
      <c r="AT176" s="323"/>
      <c r="AU176" s="323"/>
      <c r="AV176" s="323"/>
      <c r="AW176" s="323"/>
      <c r="AX176" s="323"/>
      <c r="AY176" s="323"/>
      <c r="AZ176" s="323"/>
      <c r="BA176" s="323"/>
      <c r="BB176" s="323"/>
      <c r="BC176" s="323"/>
      <c r="BD176" s="323"/>
      <c r="BE176" s="323"/>
      <c r="BF176" s="323"/>
      <c r="BG176" s="323"/>
      <c r="BH176" s="323"/>
    </row>
    <row r="177" spans="2:60">
      <c r="B177" s="964" t="s">
        <v>112</v>
      </c>
      <c r="C177" s="953"/>
      <c r="D177" s="953">
        <v>0</v>
      </c>
      <c r="E177" s="956">
        <f>D181</f>
        <v>0</v>
      </c>
      <c r="F177" s="956">
        <f t="shared" ref="F177:AM177" si="82">E181</f>
        <v>0</v>
      </c>
      <c r="G177" s="956">
        <f t="shared" si="82"/>
        <v>0</v>
      </c>
      <c r="H177" s="956">
        <f t="shared" si="82"/>
        <v>0</v>
      </c>
      <c r="I177" s="956">
        <f t="shared" si="82"/>
        <v>0</v>
      </c>
      <c r="J177" s="956">
        <f>I181</f>
        <v>0</v>
      </c>
      <c r="K177" s="956">
        <f t="shared" si="82"/>
        <v>0</v>
      </c>
      <c r="L177" s="956">
        <f t="shared" si="82"/>
        <v>0</v>
      </c>
      <c r="M177" s="956">
        <f t="shared" si="82"/>
        <v>0</v>
      </c>
      <c r="N177" s="956">
        <f t="shared" si="82"/>
        <v>0</v>
      </c>
      <c r="O177" s="957">
        <f t="shared" si="82"/>
        <v>0</v>
      </c>
      <c r="P177" s="956">
        <f t="shared" si="82"/>
        <v>0</v>
      </c>
      <c r="Q177" s="956">
        <f t="shared" si="82"/>
        <v>0</v>
      </c>
      <c r="R177" s="956">
        <f t="shared" si="82"/>
        <v>0</v>
      </c>
      <c r="S177" s="956">
        <f t="shared" si="82"/>
        <v>0</v>
      </c>
      <c r="T177" s="956">
        <f t="shared" si="82"/>
        <v>0</v>
      </c>
      <c r="U177" s="956">
        <f t="shared" si="82"/>
        <v>0</v>
      </c>
      <c r="V177" s="956">
        <f t="shared" si="82"/>
        <v>0</v>
      </c>
      <c r="W177" s="956">
        <f t="shared" si="82"/>
        <v>0</v>
      </c>
      <c r="X177" s="956">
        <f t="shared" si="82"/>
        <v>0</v>
      </c>
      <c r="Y177" s="956">
        <f t="shared" si="82"/>
        <v>0</v>
      </c>
      <c r="Z177" s="956">
        <f t="shared" si="82"/>
        <v>0</v>
      </c>
      <c r="AA177" s="957">
        <f t="shared" si="82"/>
        <v>0</v>
      </c>
      <c r="AB177" s="956">
        <f t="shared" si="82"/>
        <v>0</v>
      </c>
      <c r="AC177" s="956">
        <f t="shared" si="82"/>
        <v>979.16666666666663</v>
      </c>
      <c r="AD177" s="956">
        <f t="shared" si="82"/>
        <v>958.33333333333326</v>
      </c>
      <c r="AE177" s="956">
        <f t="shared" si="82"/>
        <v>937.49999999999989</v>
      </c>
      <c r="AF177" s="956">
        <f t="shared" si="82"/>
        <v>916.66666666666652</v>
      </c>
      <c r="AG177" s="956">
        <f t="shared" si="82"/>
        <v>895.83333333333314</v>
      </c>
      <c r="AH177" s="956">
        <f t="shared" si="82"/>
        <v>874.99999999999977</v>
      </c>
      <c r="AI177" s="956">
        <f t="shared" si="82"/>
        <v>854.1666666666664</v>
      </c>
      <c r="AJ177" s="956">
        <f t="shared" si="82"/>
        <v>833.33333333333303</v>
      </c>
      <c r="AK177" s="956">
        <f t="shared" si="82"/>
        <v>812.49999999999966</v>
      </c>
      <c r="AL177" s="956">
        <f t="shared" si="82"/>
        <v>791.66666666666629</v>
      </c>
      <c r="AM177" s="956">
        <f t="shared" si="82"/>
        <v>770.83333333333292</v>
      </c>
      <c r="AN177" s="323"/>
      <c r="AO177" s="323"/>
      <c r="AP177" s="323"/>
      <c r="AQ177" s="323"/>
      <c r="AR177" s="323"/>
      <c r="AS177" s="323"/>
      <c r="AT177" s="323"/>
      <c r="AU177" s="323"/>
      <c r="AV177" s="323"/>
      <c r="AW177" s="323"/>
      <c r="AX177" s="323"/>
      <c r="AY177" s="323"/>
      <c r="AZ177" s="323"/>
      <c r="BA177" s="323"/>
      <c r="BB177" s="323"/>
      <c r="BC177" s="323"/>
      <c r="BD177" s="323"/>
      <c r="BE177" s="323"/>
      <c r="BF177" s="323"/>
      <c r="BG177" s="323"/>
      <c r="BH177" s="323"/>
    </row>
    <row r="178" spans="2:60">
      <c r="B178" s="964" t="s">
        <v>265</v>
      </c>
      <c r="C178" s="953"/>
      <c r="D178" s="956">
        <f>G59</f>
        <v>0</v>
      </c>
      <c r="E178" s="956"/>
      <c r="F178" s="956"/>
      <c r="G178" s="956"/>
      <c r="H178" s="956"/>
      <c r="I178" s="956"/>
      <c r="J178" s="956"/>
      <c r="K178" s="956"/>
      <c r="L178" s="956"/>
      <c r="M178" s="956"/>
      <c r="N178" s="956"/>
      <c r="O178" s="957"/>
      <c r="P178" s="956">
        <f>H59</f>
        <v>0</v>
      </c>
      <c r="Q178" s="956"/>
      <c r="R178" s="956"/>
      <c r="S178" s="956"/>
      <c r="T178" s="956"/>
      <c r="U178" s="956"/>
      <c r="V178" s="956"/>
      <c r="W178" s="956"/>
      <c r="X178" s="956"/>
      <c r="Y178" s="956"/>
      <c r="Z178" s="956"/>
      <c r="AA178" s="957"/>
      <c r="AB178" s="956">
        <f>I59</f>
        <v>1000</v>
      </c>
      <c r="AC178" s="956"/>
      <c r="AD178" s="956"/>
      <c r="AE178" s="956"/>
      <c r="AF178" s="956"/>
      <c r="AG178" s="956"/>
      <c r="AH178" s="956"/>
      <c r="AI178" s="956"/>
      <c r="AJ178" s="956"/>
      <c r="AK178" s="956"/>
      <c r="AL178" s="956"/>
      <c r="AM178" s="956"/>
      <c r="AN178" s="323"/>
      <c r="AO178" s="323"/>
      <c r="AP178" s="323"/>
      <c r="AQ178" s="323"/>
      <c r="AR178" s="323"/>
      <c r="AS178" s="323"/>
      <c r="AT178" s="323"/>
      <c r="AU178" s="323"/>
      <c r="AV178" s="323"/>
      <c r="AW178" s="323"/>
      <c r="AX178" s="323"/>
      <c r="AY178" s="323"/>
      <c r="AZ178" s="323"/>
      <c r="BA178" s="323"/>
      <c r="BB178" s="323"/>
      <c r="BC178" s="323"/>
      <c r="BD178" s="323"/>
      <c r="BE178" s="323"/>
      <c r="BF178" s="323"/>
      <c r="BG178" s="323"/>
      <c r="BH178" s="323"/>
    </row>
    <row r="179" spans="2:60">
      <c r="B179" s="964" t="s">
        <v>110</v>
      </c>
      <c r="C179" s="953"/>
      <c r="D179" s="956">
        <f>SUM(D177:D178)</f>
        <v>0</v>
      </c>
      <c r="E179" s="956">
        <f t="shared" ref="E179:AM179" si="83">SUM(E177:E178)</f>
        <v>0</v>
      </c>
      <c r="F179" s="956">
        <f t="shared" si="83"/>
        <v>0</v>
      </c>
      <c r="G179" s="956">
        <f t="shared" si="83"/>
        <v>0</v>
      </c>
      <c r="H179" s="956">
        <f t="shared" si="83"/>
        <v>0</v>
      </c>
      <c r="I179" s="956">
        <f t="shared" si="83"/>
        <v>0</v>
      </c>
      <c r="J179" s="956">
        <f t="shared" si="83"/>
        <v>0</v>
      </c>
      <c r="K179" s="956">
        <f t="shared" si="83"/>
        <v>0</v>
      </c>
      <c r="L179" s="956">
        <f t="shared" si="83"/>
        <v>0</v>
      </c>
      <c r="M179" s="956">
        <f t="shared" si="83"/>
        <v>0</v>
      </c>
      <c r="N179" s="956">
        <f t="shared" si="83"/>
        <v>0</v>
      </c>
      <c r="O179" s="957">
        <f t="shared" si="83"/>
        <v>0</v>
      </c>
      <c r="P179" s="956">
        <f t="shared" si="83"/>
        <v>0</v>
      </c>
      <c r="Q179" s="956">
        <f t="shared" si="83"/>
        <v>0</v>
      </c>
      <c r="R179" s="956">
        <f t="shared" si="83"/>
        <v>0</v>
      </c>
      <c r="S179" s="956">
        <f t="shared" si="83"/>
        <v>0</v>
      </c>
      <c r="T179" s="956">
        <f t="shared" si="83"/>
        <v>0</v>
      </c>
      <c r="U179" s="956">
        <f t="shared" si="83"/>
        <v>0</v>
      </c>
      <c r="V179" s="956">
        <f t="shared" si="83"/>
        <v>0</v>
      </c>
      <c r="W179" s="956">
        <f t="shared" si="83"/>
        <v>0</v>
      </c>
      <c r="X179" s="956">
        <f t="shared" si="83"/>
        <v>0</v>
      </c>
      <c r="Y179" s="956">
        <f t="shared" si="83"/>
        <v>0</v>
      </c>
      <c r="Z179" s="956">
        <f t="shared" si="83"/>
        <v>0</v>
      </c>
      <c r="AA179" s="957">
        <f t="shared" si="83"/>
        <v>0</v>
      </c>
      <c r="AB179" s="956">
        <f t="shared" si="83"/>
        <v>1000</v>
      </c>
      <c r="AC179" s="956">
        <f t="shared" si="83"/>
        <v>979.16666666666663</v>
      </c>
      <c r="AD179" s="956">
        <f t="shared" si="83"/>
        <v>958.33333333333326</v>
      </c>
      <c r="AE179" s="956">
        <f t="shared" si="83"/>
        <v>937.49999999999989</v>
      </c>
      <c r="AF179" s="956">
        <f t="shared" si="83"/>
        <v>916.66666666666652</v>
      </c>
      <c r="AG179" s="956">
        <f t="shared" si="83"/>
        <v>895.83333333333314</v>
      </c>
      <c r="AH179" s="956">
        <f t="shared" si="83"/>
        <v>874.99999999999977</v>
      </c>
      <c r="AI179" s="956">
        <f t="shared" si="83"/>
        <v>854.1666666666664</v>
      </c>
      <c r="AJ179" s="956">
        <f t="shared" si="83"/>
        <v>833.33333333333303</v>
      </c>
      <c r="AK179" s="956">
        <f t="shared" si="83"/>
        <v>812.49999999999966</v>
      </c>
      <c r="AL179" s="956">
        <f t="shared" si="83"/>
        <v>791.66666666666629</v>
      </c>
      <c r="AM179" s="956">
        <f t="shared" si="83"/>
        <v>770.83333333333292</v>
      </c>
      <c r="AN179" s="323"/>
      <c r="AO179" s="323"/>
      <c r="AP179" s="323"/>
      <c r="AQ179" s="323"/>
      <c r="AR179" s="323"/>
      <c r="AS179" s="323"/>
      <c r="AT179" s="323"/>
      <c r="AU179" s="323"/>
      <c r="AV179" s="323"/>
      <c r="AW179" s="323"/>
      <c r="AX179" s="323"/>
      <c r="AY179" s="323"/>
      <c r="AZ179" s="323"/>
      <c r="BA179" s="323"/>
      <c r="BB179" s="323"/>
      <c r="BC179" s="323"/>
      <c r="BD179" s="323"/>
      <c r="BE179" s="323"/>
      <c r="BF179" s="323"/>
      <c r="BG179" s="323"/>
      <c r="BH179" s="323"/>
    </row>
    <row r="180" spans="2:60">
      <c r="B180" s="964" t="s">
        <v>57</v>
      </c>
      <c r="C180" s="953"/>
      <c r="D180" s="956">
        <f t="shared" ref="D180:O180" si="84">(-$G$59/$J$59/12)</f>
        <v>0</v>
      </c>
      <c r="E180" s="956">
        <f t="shared" si="84"/>
        <v>0</v>
      </c>
      <c r="F180" s="956">
        <f t="shared" si="84"/>
        <v>0</v>
      </c>
      <c r="G180" s="956">
        <f t="shared" si="84"/>
        <v>0</v>
      </c>
      <c r="H180" s="956">
        <f t="shared" si="84"/>
        <v>0</v>
      </c>
      <c r="I180" s="956">
        <f t="shared" si="84"/>
        <v>0</v>
      </c>
      <c r="J180" s="956">
        <f t="shared" si="84"/>
        <v>0</v>
      </c>
      <c r="K180" s="956">
        <f t="shared" si="84"/>
        <v>0</v>
      </c>
      <c r="L180" s="956">
        <f t="shared" si="84"/>
        <v>0</v>
      </c>
      <c r="M180" s="956">
        <f t="shared" si="84"/>
        <v>0</v>
      </c>
      <c r="N180" s="956">
        <f t="shared" si="84"/>
        <v>0</v>
      </c>
      <c r="O180" s="956">
        <f t="shared" si="84"/>
        <v>0</v>
      </c>
      <c r="P180" s="956">
        <f t="shared" ref="P180:AA180" si="85">(-$G$59/$J$59/12)-($H$59/$J$59/12)</f>
        <v>0</v>
      </c>
      <c r="Q180" s="956">
        <f t="shared" si="85"/>
        <v>0</v>
      </c>
      <c r="R180" s="956">
        <f t="shared" si="85"/>
        <v>0</v>
      </c>
      <c r="S180" s="956">
        <f t="shared" si="85"/>
        <v>0</v>
      </c>
      <c r="T180" s="956">
        <f t="shared" si="85"/>
        <v>0</v>
      </c>
      <c r="U180" s="956">
        <f t="shared" si="85"/>
        <v>0</v>
      </c>
      <c r="V180" s="956">
        <f t="shared" si="85"/>
        <v>0</v>
      </c>
      <c r="W180" s="956">
        <f t="shared" si="85"/>
        <v>0</v>
      </c>
      <c r="X180" s="956">
        <f t="shared" si="85"/>
        <v>0</v>
      </c>
      <c r="Y180" s="956">
        <f t="shared" si="85"/>
        <v>0</v>
      </c>
      <c r="Z180" s="956">
        <f t="shared" si="85"/>
        <v>0</v>
      </c>
      <c r="AA180" s="956">
        <f t="shared" si="85"/>
        <v>0</v>
      </c>
      <c r="AB180" s="956">
        <f>(-$G$59/$J$59/12)-($H$59/$J$59/12)-($I$59/$J$59/12)</f>
        <v>-20.833333333333332</v>
      </c>
      <c r="AC180" s="956">
        <f t="shared" ref="AC180:AM180" si="86">(-$G$59/$J$59/12)-($H$59/$J$59/12)-($I$59/$J$59/12)</f>
        <v>-20.833333333333332</v>
      </c>
      <c r="AD180" s="956">
        <f t="shared" si="86"/>
        <v>-20.833333333333332</v>
      </c>
      <c r="AE180" s="956">
        <f t="shared" si="86"/>
        <v>-20.833333333333332</v>
      </c>
      <c r="AF180" s="956">
        <f t="shared" si="86"/>
        <v>-20.833333333333332</v>
      </c>
      <c r="AG180" s="956">
        <f t="shared" si="86"/>
        <v>-20.833333333333332</v>
      </c>
      <c r="AH180" s="956">
        <f t="shared" si="86"/>
        <v>-20.833333333333332</v>
      </c>
      <c r="AI180" s="956">
        <f t="shared" si="86"/>
        <v>-20.833333333333332</v>
      </c>
      <c r="AJ180" s="956">
        <f t="shared" si="86"/>
        <v>-20.833333333333332</v>
      </c>
      <c r="AK180" s="956">
        <f t="shared" si="86"/>
        <v>-20.833333333333332</v>
      </c>
      <c r="AL180" s="956">
        <f t="shared" si="86"/>
        <v>-20.833333333333332</v>
      </c>
      <c r="AM180" s="956">
        <f t="shared" si="86"/>
        <v>-20.833333333333332</v>
      </c>
      <c r="AN180" s="323"/>
      <c r="AO180" s="323"/>
      <c r="AP180" s="323"/>
      <c r="AQ180" s="323"/>
      <c r="AR180" s="323"/>
      <c r="AS180" s="323"/>
      <c r="AT180" s="323"/>
      <c r="AU180" s="323"/>
      <c r="AV180" s="323"/>
      <c r="AW180" s="323"/>
      <c r="AX180" s="323"/>
      <c r="AY180" s="323"/>
      <c r="AZ180" s="323"/>
      <c r="BA180" s="323"/>
      <c r="BB180" s="323"/>
      <c r="BC180" s="323"/>
      <c r="BD180" s="323"/>
      <c r="BE180" s="323"/>
      <c r="BF180" s="323"/>
      <c r="BG180" s="323"/>
      <c r="BH180" s="323"/>
    </row>
    <row r="181" spans="2:60" ht="16.2" thickBot="1">
      <c r="B181" s="965" t="s">
        <v>255</v>
      </c>
      <c r="C181" s="958"/>
      <c r="D181" s="956">
        <f>SUM(D179:D180)</f>
        <v>0</v>
      </c>
      <c r="E181" s="956">
        <f t="shared" ref="E181:AM181" si="87">SUM(E179:E180)</f>
        <v>0</v>
      </c>
      <c r="F181" s="956">
        <f t="shared" si="87"/>
        <v>0</v>
      </c>
      <c r="G181" s="956">
        <f t="shared" si="87"/>
        <v>0</v>
      </c>
      <c r="H181" s="956">
        <f t="shared" si="87"/>
        <v>0</v>
      </c>
      <c r="I181" s="956">
        <f t="shared" si="87"/>
        <v>0</v>
      </c>
      <c r="J181" s="956">
        <f t="shared" si="87"/>
        <v>0</v>
      </c>
      <c r="K181" s="956">
        <f t="shared" si="87"/>
        <v>0</v>
      </c>
      <c r="L181" s="956">
        <f t="shared" si="87"/>
        <v>0</v>
      </c>
      <c r="M181" s="956">
        <f t="shared" si="87"/>
        <v>0</v>
      </c>
      <c r="N181" s="956">
        <f t="shared" si="87"/>
        <v>0</v>
      </c>
      <c r="O181" s="957">
        <f t="shared" si="87"/>
        <v>0</v>
      </c>
      <c r="P181" s="956">
        <f t="shared" si="87"/>
        <v>0</v>
      </c>
      <c r="Q181" s="956">
        <f t="shared" si="87"/>
        <v>0</v>
      </c>
      <c r="R181" s="956">
        <f t="shared" si="87"/>
        <v>0</v>
      </c>
      <c r="S181" s="956">
        <f t="shared" si="87"/>
        <v>0</v>
      </c>
      <c r="T181" s="956">
        <f t="shared" si="87"/>
        <v>0</v>
      </c>
      <c r="U181" s="956">
        <f t="shared" si="87"/>
        <v>0</v>
      </c>
      <c r="V181" s="956">
        <f t="shared" si="87"/>
        <v>0</v>
      </c>
      <c r="W181" s="956">
        <f t="shared" si="87"/>
        <v>0</v>
      </c>
      <c r="X181" s="956">
        <f t="shared" si="87"/>
        <v>0</v>
      </c>
      <c r="Y181" s="956">
        <f t="shared" si="87"/>
        <v>0</v>
      </c>
      <c r="Z181" s="956">
        <f t="shared" si="87"/>
        <v>0</v>
      </c>
      <c r="AA181" s="957">
        <f t="shared" si="87"/>
        <v>0</v>
      </c>
      <c r="AB181" s="956">
        <f t="shared" si="87"/>
        <v>979.16666666666663</v>
      </c>
      <c r="AC181" s="956">
        <f t="shared" si="87"/>
        <v>958.33333333333326</v>
      </c>
      <c r="AD181" s="956">
        <f t="shared" si="87"/>
        <v>937.49999999999989</v>
      </c>
      <c r="AE181" s="956">
        <f t="shared" si="87"/>
        <v>916.66666666666652</v>
      </c>
      <c r="AF181" s="956">
        <f t="shared" si="87"/>
        <v>895.83333333333314</v>
      </c>
      <c r="AG181" s="956">
        <f t="shared" si="87"/>
        <v>874.99999999999977</v>
      </c>
      <c r="AH181" s="956">
        <f t="shared" si="87"/>
        <v>854.1666666666664</v>
      </c>
      <c r="AI181" s="956">
        <f t="shared" si="87"/>
        <v>833.33333333333303</v>
      </c>
      <c r="AJ181" s="956">
        <f t="shared" si="87"/>
        <v>812.49999999999966</v>
      </c>
      <c r="AK181" s="956">
        <f t="shared" si="87"/>
        <v>791.66666666666629</v>
      </c>
      <c r="AL181" s="956">
        <f t="shared" si="87"/>
        <v>770.83333333333292</v>
      </c>
      <c r="AM181" s="956">
        <f t="shared" si="87"/>
        <v>749.99999999999955</v>
      </c>
      <c r="AN181" s="323"/>
      <c r="AO181" s="323"/>
      <c r="AP181" s="323"/>
      <c r="AQ181" s="323"/>
      <c r="AR181" s="323"/>
      <c r="AS181" s="323"/>
      <c r="AT181" s="323"/>
      <c r="AU181" s="323"/>
      <c r="AV181" s="323"/>
      <c r="AW181" s="323"/>
      <c r="AX181" s="323"/>
      <c r="AY181" s="323"/>
      <c r="AZ181" s="323"/>
      <c r="BA181" s="323"/>
      <c r="BB181" s="323"/>
      <c r="BC181" s="323"/>
      <c r="BD181" s="323"/>
      <c r="BE181" s="323"/>
      <c r="BF181" s="323"/>
      <c r="BG181" s="323"/>
      <c r="BH181" s="323"/>
    </row>
    <row r="182" spans="2:60" ht="16.8" thickTop="1" thickBot="1">
      <c r="B182" s="639"/>
      <c r="D182" s="323"/>
      <c r="E182" s="323"/>
      <c r="F182" s="323"/>
      <c r="G182" s="323"/>
      <c r="H182" s="323"/>
      <c r="I182" s="323"/>
      <c r="J182" s="323"/>
      <c r="K182" s="323"/>
      <c r="L182" s="323"/>
      <c r="M182" s="323"/>
      <c r="N182" s="323"/>
      <c r="O182" s="599"/>
      <c r="P182" s="323"/>
      <c r="Q182" s="323"/>
      <c r="R182" s="323"/>
      <c r="S182" s="323"/>
      <c r="T182" s="323"/>
      <c r="U182" s="323"/>
      <c r="V182" s="323"/>
      <c r="W182" s="323"/>
      <c r="X182" s="323"/>
      <c r="Y182" s="323"/>
      <c r="Z182" s="323"/>
      <c r="AA182" s="599"/>
      <c r="AB182" s="323"/>
      <c r="AC182" s="323"/>
      <c r="AD182" s="323"/>
      <c r="AE182" s="323"/>
      <c r="AF182" s="323"/>
      <c r="AG182" s="323"/>
      <c r="AH182" s="323"/>
      <c r="AI182" s="323"/>
      <c r="AJ182" s="323"/>
      <c r="AK182" s="323"/>
      <c r="AL182" s="323"/>
      <c r="AM182" s="323"/>
      <c r="AN182" s="323"/>
      <c r="AO182" s="323"/>
      <c r="AP182" s="323"/>
      <c r="AQ182" s="323"/>
      <c r="AR182" s="323"/>
      <c r="AS182" s="323"/>
      <c r="AT182" s="323"/>
      <c r="AU182" s="323"/>
      <c r="AV182" s="323"/>
      <c r="AW182" s="323"/>
      <c r="AX182" s="323"/>
      <c r="AY182" s="323"/>
      <c r="AZ182" s="323"/>
      <c r="BA182" s="323"/>
      <c r="BB182" s="323"/>
      <c r="BC182" s="323"/>
      <c r="BD182" s="323"/>
      <c r="BE182" s="323"/>
      <c r="BF182" s="323"/>
      <c r="BG182" s="323"/>
      <c r="BH182" s="323"/>
    </row>
    <row r="183" spans="2:60" ht="16.2" thickTop="1">
      <c r="B183" s="963" t="str">
        <f>B60</f>
        <v>Office Chairs</v>
      </c>
      <c r="D183" s="323"/>
      <c r="E183" s="323"/>
      <c r="F183" s="323"/>
      <c r="G183" s="323"/>
      <c r="H183" s="323"/>
      <c r="I183" s="323"/>
      <c r="J183" s="323"/>
      <c r="K183" s="323"/>
      <c r="L183" s="323"/>
      <c r="M183" s="323"/>
      <c r="N183" s="323"/>
      <c r="O183" s="599"/>
      <c r="P183" s="323"/>
      <c r="Q183" s="323"/>
      <c r="R183" s="323"/>
      <c r="S183" s="323"/>
      <c r="T183" s="323"/>
      <c r="U183" s="323"/>
      <c r="V183" s="323"/>
      <c r="W183" s="323"/>
      <c r="X183" s="323"/>
      <c r="Y183" s="323"/>
      <c r="Z183" s="323"/>
      <c r="AA183" s="599"/>
      <c r="AB183" s="323"/>
      <c r="AC183" s="323"/>
      <c r="AD183" s="323"/>
      <c r="AE183" s="323"/>
      <c r="AF183" s="323"/>
      <c r="AG183" s="323"/>
      <c r="AH183" s="323"/>
      <c r="AI183" s="323"/>
      <c r="AJ183" s="323"/>
      <c r="AK183" s="323"/>
      <c r="AL183" s="323"/>
      <c r="AM183" s="323"/>
      <c r="AN183" s="323"/>
      <c r="AO183" s="323"/>
      <c r="AP183" s="323"/>
      <c r="AQ183" s="323"/>
      <c r="AR183" s="323"/>
      <c r="AS183" s="323"/>
      <c r="AT183" s="323"/>
      <c r="AU183" s="323"/>
      <c r="AV183" s="323"/>
      <c r="AW183" s="323"/>
      <c r="AX183" s="323"/>
      <c r="AY183" s="323"/>
      <c r="AZ183" s="323"/>
      <c r="BA183" s="323"/>
      <c r="BB183" s="323"/>
      <c r="BC183" s="323"/>
      <c r="BD183" s="323"/>
      <c r="BE183" s="323"/>
      <c r="BF183" s="323"/>
      <c r="BG183" s="323"/>
      <c r="BH183" s="323"/>
    </row>
    <row r="184" spans="2:60">
      <c r="B184" s="964" t="s">
        <v>112</v>
      </c>
      <c r="C184" s="953"/>
      <c r="D184" s="953">
        <v>0</v>
      </c>
      <c r="E184" s="956">
        <f>D188</f>
        <v>0</v>
      </c>
      <c r="F184" s="956">
        <f t="shared" ref="F184:AM184" si="88">E188</f>
        <v>0</v>
      </c>
      <c r="G184" s="956">
        <f t="shared" si="88"/>
        <v>0</v>
      </c>
      <c r="H184" s="956">
        <f t="shared" si="88"/>
        <v>0</v>
      </c>
      <c r="I184" s="956">
        <f t="shared" si="88"/>
        <v>0</v>
      </c>
      <c r="J184" s="956">
        <f>I188</f>
        <v>0</v>
      </c>
      <c r="K184" s="956">
        <f t="shared" si="88"/>
        <v>0</v>
      </c>
      <c r="L184" s="956">
        <f t="shared" si="88"/>
        <v>0</v>
      </c>
      <c r="M184" s="956">
        <f t="shared" si="88"/>
        <v>0</v>
      </c>
      <c r="N184" s="956">
        <f t="shared" si="88"/>
        <v>0</v>
      </c>
      <c r="O184" s="957">
        <f t="shared" si="88"/>
        <v>0</v>
      </c>
      <c r="P184" s="956">
        <f t="shared" si="88"/>
        <v>0</v>
      </c>
      <c r="Q184" s="956">
        <f t="shared" si="88"/>
        <v>0</v>
      </c>
      <c r="R184" s="956">
        <f t="shared" si="88"/>
        <v>0</v>
      </c>
      <c r="S184" s="956">
        <f t="shared" si="88"/>
        <v>0</v>
      </c>
      <c r="T184" s="956">
        <f t="shared" si="88"/>
        <v>0</v>
      </c>
      <c r="U184" s="956">
        <f t="shared" si="88"/>
        <v>0</v>
      </c>
      <c r="V184" s="956">
        <f t="shared" si="88"/>
        <v>0</v>
      </c>
      <c r="W184" s="956">
        <f t="shared" si="88"/>
        <v>0</v>
      </c>
      <c r="X184" s="956">
        <f t="shared" si="88"/>
        <v>0</v>
      </c>
      <c r="Y184" s="956">
        <f t="shared" si="88"/>
        <v>0</v>
      </c>
      <c r="Z184" s="956">
        <f t="shared" si="88"/>
        <v>0</v>
      </c>
      <c r="AA184" s="957">
        <f t="shared" si="88"/>
        <v>0</v>
      </c>
      <c r="AB184" s="956">
        <f t="shared" si="88"/>
        <v>0</v>
      </c>
      <c r="AC184" s="956">
        <f t="shared" si="88"/>
        <v>790.47619047619048</v>
      </c>
      <c r="AD184" s="956">
        <f t="shared" si="88"/>
        <v>780.95238095238096</v>
      </c>
      <c r="AE184" s="956">
        <f t="shared" si="88"/>
        <v>771.42857142857144</v>
      </c>
      <c r="AF184" s="956">
        <f t="shared" si="88"/>
        <v>761.90476190476193</v>
      </c>
      <c r="AG184" s="956">
        <f t="shared" si="88"/>
        <v>752.38095238095241</v>
      </c>
      <c r="AH184" s="956">
        <f t="shared" si="88"/>
        <v>742.85714285714289</v>
      </c>
      <c r="AI184" s="956">
        <f t="shared" si="88"/>
        <v>733.33333333333337</v>
      </c>
      <c r="AJ184" s="956">
        <f t="shared" si="88"/>
        <v>723.80952380952385</v>
      </c>
      <c r="AK184" s="956">
        <f t="shared" si="88"/>
        <v>714.28571428571433</v>
      </c>
      <c r="AL184" s="956">
        <f t="shared" si="88"/>
        <v>704.76190476190482</v>
      </c>
      <c r="AM184" s="956">
        <f t="shared" si="88"/>
        <v>695.2380952380953</v>
      </c>
      <c r="AN184" s="323"/>
      <c r="AO184" s="323"/>
      <c r="AP184" s="323"/>
      <c r="AQ184" s="323"/>
      <c r="AR184" s="323"/>
      <c r="AS184" s="323"/>
      <c r="AT184" s="323"/>
      <c r="AU184" s="323"/>
      <c r="AV184" s="323"/>
      <c r="AW184" s="323"/>
      <c r="AX184" s="323"/>
      <c r="AY184" s="323"/>
      <c r="AZ184" s="323"/>
      <c r="BA184" s="323"/>
      <c r="BB184" s="323"/>
      <c r="BC184" s="323"/>
      <c r="BD184" s="323"/>
      <c r="BE184" s="323"/>
      <c r="BF184" s="323"/>
      <c r="BG184" s="323"/>
      <c r="BH184" s="323"/>
    </row>
    <row r="185" spans="2:60">
      <c r="B185" s="964" t="s">
        <v>265</v>
      </c>
      <c r="C185" s="953"/>
      <c r="D185" s="956">
        <f>G60</f>
        <v>0</v>
      </c>
      <c r="E185" s="956"/>
      <c r="F185" s="956"/>
      <c r="G185" s="956"/>
      <c r="H185" s="956"/>
      <c r="I185" s="956"/>
      <c r="J185" s="956"/>
      <c r="K185" s="956"/>
      <c r="L185" s="956"/>
      <c r="M185" s="956"/>
      <c r="N185" s="956"/>
      <c r="O185" s="957"/>
      <c r="P185" s="956">
        <f>H60</f>
        <v>0</v>
      </c>
      <c r="Q185" s="956"/>
      <c r="R185" s="956"/>
      <c r="S185" s="956"/>
      <c r="T185" s="956"/>
      <c r="U185" s="956"/>
      <c r="V185" s="956"/>
      <c r="W185" s="956"/>
      <c r="X185" s="956"/>
      <c r="Y185" s="956"/>
      <c r="Z185" s="956"/>
      <c r="AA185" s="957"/>
      <c r="AB185" s="956">
        <f>$I$60</f>
        <v>800</v>
      </c>
      <c r="AC185" s="956"/>
      <c r="AD185" s="956"/>
      <c r="AE185" s="956"/>
      <c r="AF185" s="956"/>
      <c r="AG185" s="956"/>
      <c r="AH185" s="956"/>
      <c r="AI185" s="956"/>
      <c r="AJ185" s="956"/>
      <c r="AK185" s="956"/>
      <c r="AL185" s="956"/>
      <c r="AM185" s="956"/>
      <c r="AN185" s="323"/>
      <c r="AO185" s="323"/>
      <c r="AP185" s="323"/>
      <c r="AQ185" s="323"/>
      <c r="AR185" s="323"/>
      <c r="AS185" s="323"/>
      <c r="AT185" s="323"/>
      <c r="AU185" s="323"/>
      <c r="AV185" s="323"/>
      <c r="AW185" s="323"/>
      <c r="AX185" s="323"/>
      <c r="AY185" s="323"/>
      <c r="AZ185" s="323"/>
      <c r="BA185" s="323"/>
      <c r="BB185" s="323"/>
      <c r="BC185" s="323"/>
      <c r="BD185" s="323"/>
      <c r="BE185" s="323"/>
      <c r="BF185" s="323"/>
      <c r="BG185" s="323"/>
      <c r="BH185" s="323"/>
    </row>
    <row r="186" spans="2:60">
      <c r="B186" s="964" t="s">
        <v>110</v>
      </c>
      <c r="C186" s="953"/>
      <c r="D186" s="956">
        <f>SUM(D184:D185)</f>
        <v>0</v>
      </c>
      <c r="E186" s="956">
        <f t="shared" ref="E186:AM186" si="89">SUM(E184:E185)</f>
        <v>0</v>
      </c>
      <c r="F186" s="956">
        <f t="shared" si="89"/>
        <v>0</v>
      </c>
      <c r="G186" s="956">
        <f t="shared" si="89"/>
        <v>0</v>
      </c>
      <c r="H186" s="956">
        <f t="shared" si="89"/>
        <v>0</v>
      </c>
      <c r="I186" s="956">
        <f t="shared" si="89"/>
        <v>0</v>
      </c>
      <c r="J186" s="956">
        <f t="shared" si="89"/>
        <v>0</v>
      </c>
      <c r="K186" s="956">
        <f t="shared" si="89"/>
        <v>0</v>
      </c>
      <c r="L186" s="956">
        <f t="shared" si="89"/>
        <v>0</v>
      </c>
      <c r="M186" s="956">
        <f t="shared" si="89"/>
        <v>0</v>
      </c>
      <c r="N186" s="956">
        <f t="shared" si="89"/>
        <v>0</v>
      </c>
      <c r="O186" s="957">
        <f t="shared" si="89"/>
        <v>0</v>
      </c>
      <c r="P186" s="956">
        <f t="shared" si="89"/>
        <v>0</v>
      </c>
      <c r="Q186" s="956">
        <f t="shared" si="89"/>
        <v>0</v>
      </c>
      <c r="R186" s="956">
        <f t="shared" si="89"/>
        <v>0</v>
      </c>
      <c r="S186" s="956">
        <f t="shared" si="89"/>
        <v>0</v>
      </c>
      <c r="T186" s="956">
        <f t="shared" si="89"/>
        <v>0</v>
      </c>
      <c r="U186" s="956">
        <f t="shared" si="89"/>
        <v>0</v>
      </c>
      <c r="V186" s="956">
        <f t="shared" si="89"/>
        <v>0</v>
      </c>
      <c r="W186" s="956">
        <f t="shared" si="89"/>
        <v>0</v>
      </c>
      <c r="X186" s="956">
        <f t="shared" si="89"/>
        <v>0</v>
      </c>
      <c r="Y186" s="956">
        <f t="shared" si="89"/>
        <v>0</v>
      </c>
      <c r="Z186" s="956">
        <f t="shared" si="89"/>
        <v>0</v>
      </c>
      <c r="AA186" s="957">
        <f t="shared" si="89"/>
        <v>0</v>
      </c>
      <c r="AB186" s="956">
        <f t="shared" si="89"/>
        <v>800</v>
      </c>
      <c r="AC186" s="956">
        <f t="shared" si="89"/>
        <v>790.47619047619048</v>
      </c>
      <c r="AD186" s="956">
        <f t="shared" si="89"/>
        <v>780.95238095238096</v>
      </c>
      <c r="AE186" s="956">
        <f t="shared" si="89"/>
        <v>771.42857142857144</v>
      </c>
      <c r="AF186" s="956">
        <f t="shared" si="89"/>
        <v>761.90476190476193</v>
      </c>
      <c r="AG186" s="956">
        <f t="shared" si="89"/>
        <v>752.38095238095241</v>
      </c>
      <c r="AH186" s="956">
        <f t="shared" si="89"/>
        <v>742.85714285714289</v>
      </c>
      <c r="AI186" s="956">
        <f t="shared" si="89"/>
        <v>733.33333333333337</v>
      </c>
      <c r="AJ186" s="956">
        <f t="shared" si="89"/>
        <v>723.80952380952385</v>
      </c>
      <c r="AK186" s="956">
        <f t="shared" si="89"/>
        <v>714.28571428571433</v>
      </c>
      <c r="AL186" s="956">
        <f t="shared" si="89"/>
        <v>704.76190476190482</v>
      </c>
      <c r="AM186" s="956">
        <f t="shared" si="89"/>
        <v>695.2380952380953</v>
      </c>
      <c r="AN186" s="323"/>
      <c r="AO186" s="323"/>
      <c r="AP186" s="323"/>
      <c r="AQ186" s="323"/>
      <c r="AR186" s="323"/>
      <c r="AS186" s="323"/>
      <c r="AT186" s="323"/>
      <c r="AU186" s="323"/>
      <c r="AV186" s="323"/>
      <c r="AW186" s="323"/>
      <c r="AX186" s="323"/>
      <c r="AY186" s="323"/>
      <c r="AZ186" s="323"/>
      <c r="BA186" s="323"/>
      <c r="BB186" s="323"/>
      <c r="BC186" s="323"/>
      <c r="BD186" s="323"/>
      <c r="BE186" s="323"/>
      <c r="BF186" s="323"/>
      <c r="BG186" s="323"/>
      <c r="BH186" s="323"/>
    </row>
    <row r="187" spans="2:60">
      <c r="B187" s="964" t="s">
        <v>57</v>
      </c>
      <c r="C187" s="953"/>
      <c r="D187" s="956">
        <f t="shared" ref="D187:O187" si="90">(-$D$185/$J$60/12)</f>
        <v>0</v>
      </c>
      <c r="E187" s="956">
        <f t="shared" si="90"/>
        <v>0</v>
      </c>
      <c r="F187" s="956">
        <f t="shared" si="90"/>
        <v>0</v>
      </c>
      <c r="G187" s="956">
        <f t="shared" si="90"/>
        <v>0</v>
      </c>
      <c r="H187" s="956">
        <f t="shared" si="90"/>
        <v>0</v>
      </c>
      <c r="I187" s="956">
        <f t="shared" si="90"/>
        <v>0</v>
      </c>
      <c r="J187" s="956">
        <f t="shared" si="90"/>
        <v>0</v>
      </c>
      <c r="K187" s="956">
        <f t="shared" si="90"/>
        <v>0</v>
      </c>
      <c r="L187" s="956">
        <f t="shared" si="90"/>
        <v>0</v>
      </c>
      <c r="M187" s="956">
        <f t="shared" si="90"/>
        <v>0</v>
      </c>
      <c r="N187" s="956">
        <f t="shared" si="90"/>
        <v>0</v>
      </c>
      <c r="O187" s="956">
        <f t="shared" si="90"/>
        <v>0</v>
      </c>
      <c r="P187" s="956">
        <f t="shared" ref="P187:AA187" si="91">(-$D$185/$J$60/12)-($H$60/$J$60/12)</f>
        <v>0</v>
      </c>
      <c r="Q187" s="956">
        <f t="shared" si="91"/>
        <v>0</v>
      </c>
      <c r="R187" s="956">
        <f t="shared" si="91"/>
        <v>0</v>
      </c>
      <c r="S187" s="956">
        <f t="shared" si="91"/>
        <v>0</v>
      </c>
      <c r="T187" s="956">
        <f t="shared" si="91"/>
        <v>0</v>
      </c>
      <c r="U187" s="956">
        <f t="shared" si="91"/>
        <v>0</v>
      </c>
      <c r="V187" s="956">
        <f t="shared" si="91"/>
        <v>0</v>
      </c>
      <c r="W187" s="956">
        <f t="shared" si="91"/>
        <v>0</v>
      </c>
      <c r="X187" s="956">
        <f t="shared" si="91"/>
        <v>0</v>
      </c>
      <c r="Y187" s="956">
        <f t="shared" si="91"/>
        <v>0</v>
      </c>
      <c r="Z187" s="956">
        <f t="shared" si="91"/>
        <v>0</v>
      </c>
      <c r="AA187" s="956">
        <f t="shared" si="91"/>
        <v>0</v>
      </c>
      <c r="AB187" s="956">
        <f t="shared" ref="AB187:AM187" si="92">(-$D$185/$J$60/12)-($H$60/$J$60/12)-($I$60/$J$60/12)</f>
        <v>-9.5238095238095237</v>
      </c>
      <c r="AC187" s="956">
        <f t="shared" si="92"/>
        <v>-9.5238095238095237</v>
      </c>
      <c r="AD187" s="956">
        <f t="shared" si="92"/>
        <v>-9.5238095238095237</v>
      </c>
      <c r="AE187" s="956">
        <f t="shared" si="92"/>
        <v>-9.5238095238095237</v>
      </c>
      <c r="AF187" s="956">
        <f t="shared" si="92"/>
        <v>-9.5238095238095237</v>
      </c>
      <c r="AG187" s="956">
        <f t="shared" si="92"/>
        <v>-9.5238095238095237</v>
      </c>
      <c r="AH187" s="956">
        <f t="shared" si="92"/>
        <v>-9.5238095238095237</v>
      </c>
      <c r="AI187" s="956">
        <f t="shared" si="92"/>
        <v>-9.5238095238095237</v>
      </c>
      <c r="AJ187" s="956">
        <f t="shared" si="92"/>
        <v>-9.5238095238095237</v>
      </c>
      <c r="AK187" s="956">
        <f t="shared" si="92"/>
        <v>-9.5238095238095237</v>
      </c>
      <c r="AL187" s="956">
        <f t="shared" si="92"/>
        <v>-9.5238095238095237</v>
      </c>
      <c r="AM187" s="956">
        <f t="shared" si="92"/>
        <v>-9.5238095238095237</v>
      </c>
      <c r="AN187" s="323"/>
      <c r="AO187" s="323"/>
      <c r="AP187" s="323"/>
      <c r="AQ187" s="323"/>
      <c r="AR187" s="323"/>
      <c r="AS187" s="323"/>
      <c r="AT187" s="323"/>
      <c r="AU187" s="323"/>
      <c r="AV187" s="323"/>
      <c r="AW187" s="323"/>
      <c r="AX187" s="323"/>
      <c r="AY187" s="323"/>
      <c r="AZ187" s="323"/>
      <c r="BA187" s="323"/>
      <c r="BB187" s="323"/>
      <c r="BC187" s="323"/>
      <c r="BD187" s="323"/>
      <c r="BE187" s="323"/>
      <c r="BF187" s="323"/>
      <c r="BG187" s="323"/>
      <c r="BH187" s="323"/>
    </row>
    <row r="188" spans="2:60" s="300" customFormat="1" ht="16.2" thickBot="1">
      <c r="B188" s="965" t="s">
        <v>255</v>
      </c>
      <c r="C188" s="958"/>
      <c r="D188" s="956">
        <f>SUM(D186:D187)</f>
        <v>0</v>
      </c>
      <c r="E188" s="956">
        <f t="shared" ref="E188:AM188" si="93">SUM(E186:E187)</f>
        <v>0</v>
      </c>
      <c r="F188" s="956">
        <f t="shared" si="93"/>
        <v>0</v>
      </c>
      <c r="G188" s="956">
        <f t="shared" si="93"/>
        <v>0</v>
      </c>
      <c r="H188" s="956">
        <f t="shared" si="93"/>
        <v>0</v>
      </c>
      <c r="I188" s="956">
        <f t="shared" si="93"/>
        <v>0</v>
      </c>
      <c r="J188" s="956">
        <f t="shared" si="93"/>
        <v>0</v>
      </c>
      <c r="K188" s="956">
        <f t="shared" si="93"/>
        <v>0</v>
      </c>
      <c r="L188" s="956">
        <f t="shared" si="93"/>
        <v>0</v>
      </c>
      <c r="M188" s="956">
        <f t="shared" si="93"/>
        <v>0</v>
      </c>
      <c r="N188" s="956">
        <f t="shared" si="93"/>
        <v>0</v>
      </c>
      <c r="O188" s="957">
        <f t="shared" si="93"/>
        <v>0</v>
      </c>
      <c r="P188" s="956">
        <f t="shared" si="93"/>
        <v>0</v>
      </c>
      <c r="Q188" s="956">
        <f t="shared" si="93"/>
        <v>0</v>
      </c>
      <c r="R188" s="956">
        <f t="shared" si="93"/>
        <v>0</v>
      </c>
      <c r="S188" s="956">
        <f t="shared" si="93"/>
        <v>0</v>
      </c>
      <c r="T188" s="956">
        <f t="shared" si="93"/>
        <v>0</v>
      </c>
      <c r="U188" s="956">
        <f t="shared" si="93"/>
        <v>0</v>
      </c>
      <c r="V188" s="956">
        <f t="shared" si="93"/>
        <v>0</v>
      </c>
      <c r="W188" s="956">
        <f t="shared" si="93"/>
        <v>0</v>
      </c>
      <c r="X188" s="956">
        <f t="shared" si="93"/>
        <v>0</v>
      </c>
      <c r="Y188" s="956">
        <f t="shared" si="93"/>
        <v>0</v>
      </c>
      <c r="Z188" s="956">
        <f t="shared" si="93"/>
        <v>0</v>
      </c>
      <c r="AA188" s="957">
        <f t="shared" si="93"/>
        <v>0</v>
      </c>
      <c r="AB188" s="956">
        <f t="shared" si="93"/>
        <v>790.47619047619048</v>
      </c>
      <c r="AC188" s="956">
        <f t="shared" si="93"/>
        <v>780.95238095238096</v>
      </c>
      <c r="AD188" s="956">
        <f t="shared" si="93"/>
        <v>771.42857142857144</v>
      </c>
      <c r="AE188" s="956">
        <f t="shared" si="93"/>
        <v>761.90476190476193</v>
      </c>
      <c r="AF188" s="956">
        <f t="shared" si="93"/>
        <v>752.38095238095241</v>
      </c>
      <c r="AG188" s="956">
        <f t="shared" si="93"/>
        <v>742.85714285714289</v>
      </c>
      <c r="AH188" s="956">
        <f t="shared" si="93"/>
        <v>733.33333333333337</v>
      </c>
      <c r="AI188" s="956">
        <f t="shared" si="93"/>
        <v>723.80952380952385</v>
      </c>
      <c r="AJ188" s="956">
        <f t="shared" si="93"/>
        <v>714.28571428571433</v>
      </c>
      <c r="AK188" s="956">
        <f t="shared" si="93"/>
        <v>704.76190476190482</v>
      </c>
      <c r="AL188" s="956">
        <f t="shared" si="93"/>
        <v>695.2380952380953</v>
      </c>
      <c r="AM188" s="956">
        <f t="shared" si="93"/>
        <v>685.71428571428578</v>
      </c>
    </row>
    <row r="189" spans="2:60" s="300" customFormat="1" ht="16.8" thickTop="1" thickBot="1">
      <c r="B189" s="305"/>
      <c r="C189" s="305"/>
      <c r="D189" s="323"/>
      <c r="E189" s="323"/>
      <c r="F189" s="323"/>
      <c r="G189" s="323"/>
      <c r="H189" s="323"/>
      <c r="I189" s="323"/>
      <c r="J189" s="323"/>
      <c r="K189" s="323"/>
      <c r="L189" s="323"/>
      <c r="M189" s="323"/>
      <c r="N189" s="323"/>
      <c r="O189" s="599"/>
      <c r="P189" s="323"/>
      <c r="Q189" s="323"/>
      <c r="R189" s="323"/>
      <c r="S189" s="323"/>
      <c r="T189" s="323"/>
      <c r="U189" s="323"/>
      <c r="V189" s="323"/>
      <c r="W189" s="323"/>
      <c r="X189" s="323"/>
      <c r="Y189" s="323"/>
      <c r="Z189" s="323"/>
      <c r="AA189" s="599"/>
      <c r="AB189" s="323"/>
      <c r="AC189" s="323"/>
      <c r="AD189" s="323"/>
      <c r="AE189" s="323"/>
      <c r="AF189" s="323"/>
      <c r="AG189" s="323"/>
      <c r="AH189" s="323"/>
      <c r="AI189" s="323"/>
      <c r="AJ189" s="323"/>
      <c r="AK189" s="323"/>
      <c r="AL189" s="323"/>
      <c r="AM189" s="323"/>
    </row>
    <row r="190" spans="2:60" s="300" customFormat="1" ht="16.2" thickTop="1">
      <c r="B190" s="963" t="str">
        <f>B61</f>
        <v>Welding Apparatus</v>
      </c>
      <c r="C190" s="593"/>
      <c r="D190" s="323"/>
      <c r="E190" s="323"/>
      <c r="F190" s="323"/>
      <c r="G190" s="323"/>
      <c r="H190" s="323"/>
      <c r="I190" s="323"/>
      <c r="J190" s="323"/>
      <c r="K190" s="323"/>
      <c r="L190" s="323"/>
      <c r="M190" s="323"/>
      <c r="N190" s="323"/>
      <c r="O190" s="599"/>
      <c r="P190" s="323"/>
      <c r="Q190" s="323"/>
      <c r="R190" s="323"/>
      <c r="S190" s="323"/>
      <c r="T190" s="323"/>
      <c r="U190" s="323"/>
      <c r="V190" s="323"/>
      <c r="W190" s="323"/>
      <c r="X190" s="323"/>
      <c r="Y190" s="323"/>
      <c r="Z190" s="323"/>
      <c r="AA190" s="599"/>
      <c r="AB190" s="323"/>
      <c r="AC190" s="323"/>
      <c r="AD190" s="323"/>
      <c r="AE190" s="323"/>
      <c r="AF190" s="323"/>
      <c r="AG190" s="323"/>
      <c r="AH190" s="323"/>
      <c r="AI190" s="323"/>
      <c r="AJ190" s="323"/>
      <c r="AK190" s="323"/>
      <c r="AL190" s="323"/>
      <c r="AM190" s="323"/>
    </row>
    <row r="191" spans="2:60" s="300" customFormat="1">
      <c r="B191" s="964" t="s">
        <v>112</v>
      </c>
      <c r="C191" s="953"/>
      <c r="D191" s="953">
        <v>0</v>
      </c>
      <c r="E191" s="956">
        <f t="shared" ref="E191:AM191" si="94">D195</f>
        <v>0</v>
      </c>
      <c r="F191" s="956">
        <f t="shared" si="94"/>
        <v>0</v>
      </c>
      <c r="G191" s="956">
        <f t="shared" si="94"/>
        <v>0</v>
      </c>
      <c r="H191" s="956">
        <f t="shared" si="94"/>
        <v>0</v>
      </c>
      <c r="I191" s="956">
        <f t="shared" si="94"/>
        <v>0</v>
      </c>
      <c r="J191" s="956">
        <f>I195</f>
        <v>0</v>
      </c>
      <c r="K191" s="956">
        <f t="shared" si="94"/>
        <v>0</v>
      </c>
      <c r="L191" s="956">
        <f t="shared" si="94"/>
        <v>0</v>
      </c>
      <c r="M191" s="956">
        <f t="shared" si="94"/>
        <v>0</v>
      </c>
      <c r="N191" s="956">
        <f t="shared" si="94"/>
        <v>0</v>
      </c>
      <c r="O191" s="957">
        <f t="shared" si="94"/>
        <v>0</v>
      </c>
      <c r="P191" s="956">
        <f t="shared" si="94"/>
        <v>0</v>
      </c>
      <c r="Q191" s="956">
        <f t="shared" si="94"/>
        <v>0</v>
      </c>
      <c r="R191" s="956">
        <f t="shared" si="94"/>
        <v>0</v>
      </c>
      <c r="S191" s="956">
        <f t="shared" si="94"/>
        <v>0</v>
      </c>
      <c r="T191" s="956">
        <f t="shared" si="94"/>
        <v>0</v>
      </c>
      <c r="U191" s="956">
        <f t="shared" si="94"/>
        <v>0</v>
      </c>
      <c r="V191" s="956">
        <f t="shared" si="94"/>
        <v>0</v>
      </c>
      <c r="W191" s="956">
        <f t="shared" si="94"/>
        <v>0</v>
      </c>
      <c r="X191" s="956">
        <f t="shared" si="94"/>
        <v>0</v>
      </c>
      <c r="Y191" s="956">
        <f t="shared" si="94"/>
        <v>0</v>
      </c>
      <c r="Z191" s="956">
        <f t="shared" si="94"/>
        <v>0</v>
      </c>
      <c r="AA191" s="957">
        <f t="shared" si="94"/>
        <v>0</v>
      </c>
      <c r="AB191" s="956">
        <f t="shared" si="94"/>
        <v>0</v>
      </c>
      <c r="AC191" s="956">
        <f t="shared" si="94"/>
        <v>5950</v>
      </c>
      <c r="AD191" s="956">
        <f t="shared" si="94"/>
        <v>5900</v>
      </c>
      <c r="AE191" s="956">
        <f t="shared" si="94"/>
        <v>5850</v>
      </c>
      <c r="AF191" s="956">
        <f t="shared" si="94"/>
        <v>5800</v>
      </c>
      <c r="AG191" s="956">
        <f t="shared" si="94"/>
        <v>5750</v>
      </c>
      <c r="AH191" s="956">
        <f t="shared" si="94"/>
        <v>5700</v>
      </c>
      <c r="AI191" s="956">
        <f t="shared" si="94"/>
        <v>5650</v>
      </c>
      <c r="AJ191" s="956">
        <f t="shared" si="94"/>
        <v>5600</v>
      </c>
      <c r="AK191" s="956">
        <f t="shared" si="94"/>
        <v>5550</v>
      </c>
      <c r="AL191" s="956">
        <f t="shared" si="94"/>
        <v>5500</v>
      </c>
      <c r="AM191" s="956">
        <f t="shared" si="94"/>
        <v>5450</v>
      </c>
    </row>
    <row r="192" spans="2:60" s="300" customFormat="1">
      <c r="B192" s="964" t="s">
        <v>265</v>
      </c>
      <c r="C192" s="953"/>
      <c r="D192" s="956">
        <f>G61</f>
        <v>0</v>
      </c>
      <c r="E192" s="956"/>
      <c r="F192" s="956"/>
      <c r="G192" s="956"/>
      <c r="H192" s="956"/>
      <c r="I192" s="956"/>
      <c r="J192" s="956"/>
      <c r="K192" s="956"/>
      <c r="L192" s="956"/>
      <c r="M192" s="956"/>
      <c r="N192" s="956"/>
      <c r="O192" s="957"/>
      <c r="P192" s="956">
        <f>H61</f>
        <v>0</v>
      </c>
      <c r="Q192" s="956"/>
      <c r="R192" s="956"/>
      <c r="S192" s="956"/>
      <c r="T192" s="956"/>
      <c r="U192" s="956"/>
      <c r="V192" s="956"/>
      <c r="W192" s="956"/>
      <c r="X192" s="956"/>
      <c r="Y192" s="956"/>
      <c r="Z192" s="956"/>
      <c r="AA192" s="957"/>
      <c r="AB192" s="956">
        <f>I61</f>
        <v>6000</v>
      </c>
      <c r="AC192" s="956"/>
      <c r="AD192" s="956"/>
      <c r="AE192" s="956"/>
      <c r="AF192" s="956"/>
      <c r="AG192" s="956"/>
      <c r="AH192" s="956"/>
      <c r="AI192" s="956"/>
      <c r="AJ192" s="956"/>
      <c r="AK192" s="956"/>
      <c r="AL192" s="956"/>
      <c r="AM192" s="956"/>
    </row>
    <row r="193" spans="2:39" s="300" customFormat="1">
      <c r="B193" s="964" t="s">
        <v>110</v>
      </c>
      <c r="C193" s="953"/>
      <c r="D193" s="956">
        <f t="shared" ref="D193:AM193" si="95">SUM(D191:D192)</f>
        <v>0</v>
      </c>
      <c r="E193" s="956">
        <f t="shared" si="95"/>
        <v>0</v>
      </c>
      <c r="F193" s="956">
        <f t="shared" si="95"/>
        <v>0</v>
      </c>
      <c r="G193" s="956">
        <f t="shared" si="95"/>
        <v>0</v>
      </c>
      <c r="H193" s="956">
        <f t="shared" si="95"/>
        <v>0</v>
      </c>
      <c r="I193" s="956">
        <f t="shared" si="95"/>
        <v>0</v>
      </c>
      <c r="J193" s="956">
        <f t="shared" si="95"/>
        <v>0</v>
      </c>
      <c r="K193" s="956">
        <f t="shared" si="95"/>
        <v>0</v>
      </c>
      <c r="L193" s="956">
        <f t="shared" si="95"/>
        <v>0</v>
      </c>
      <c r="M193" s="956">
        <f t="shared" si="95"/>
        <v>0</v>
      </c>
      <c r="N193" s="956">
        <f t="shared" si="95"/>
        <v>0</v>
      </c>
      <c r="O193" s="957">
        <f t="shared" si="95"/>
        <v>0</v>
      </c>
      <c r="P193" s="956">
        <f t="shared" si="95"/>
        <v>0</v>
      </c>
      <c r="Q193" s="956">
        <f t="shared" si="95"/>
        <v>0</v>
      </c>
      <c r="R193" s="956">
        <f t="shared" si="95"/>
        <v>0</v>
      </c>
      <c r="S193" s="956">
        <f t="shared" si="95"/>
        <v>0</v>
      </c>
      <c r="T193" s="956">
        <f t="shared" si="95"/>
        <v>0</v>
      </c>
      <c r="U193" s="956">
        <f t="shared" si="95"/>
        <v>0</v>
      </c>
      <c r="V193" s="956">
        <f t="shared" si="95"/>
        <v>0</v>
      </c>
      <c r="W193" s="956">
        <f t="shared" si="95"/>
        <v>0</v>
      </c>
      <c r="X193" s="956">
        <f t="shared" si="95"/>
        <v>0</v>
      </c>
      <c r="Y193" s="956">
        <f t="shared" si="95"/>
        <v>0</v>
      </c>
      <c r="Z193" s="956">
        <f t="shared" si="95"/>
        <v>0</v>
      </c>
      <c r="AA193" s="957">
        <f t="shared" si="95"/>
        <v>0</v>
      </c>
      <c r="AB193" s="956">
        <f t="shared" si="95"/>
        <v>6000</v>
      </c>
      <c r="AC193" s="956">
        <f t="shared" si="95"/>
        <v>5950</v>
      </c>
      <c r="AD193" s="956">
        <f t="shared" si="95"/>
        <v>5900</v>
      </c>
      <c r="AE193" s="956">
        <f t="shared" si="95"/>
        <v>5850</v>
      </c>
      <c r="AF193" s="956">
        <f t="shared" si="95"/>
        <v>5800</v>
      </c>
      <c r="AG193" s="956">
        <f t="shared" si="95"/>
        <v>5750</v>
      </c>
      <c r="AH193" s="956">
        <f t="shared" si="95"/>
        <v>5700</v>
      </c>
      <c r="AI193" s="956">
        <f t="shared" si="95"/>
        <v>5650</v>
      </c>
      <c r="AJ193" s="956">
        <f t="shared" si="95"/>
        <v>5600</v>
      </c>
      <c r="AK193" s="956">
        <f t="shared" si="95"/>
        <v>5550</v>
      </c>
      <c r="AL193" s="956">
        <f t="shared" si="95"/>
        <v>5500</v>
      </c>
      <c r="AM193" s="956">
        <f t="shared" si="95"/>
        <v>5450</v>
      </c>
    </row>
    <row r="194" spans="2:39" s="300" customFormat="1">
      <c r="B194" s="964" t="s">
        <v>57</v>
      </c>
      <c r="C194" s="953"/>
      <c r="D194" s="956">
        <f t="shared" ref="D194:O194" si="96">-($D$192*$L$61/12)</f>
        <v>0</v>
      </c>
      <c r="E194" s="956">
        <f t="shared" si="96"/>
        <v>0</v>
      </c>
      <c r="F194" s="956">
        <f t="shared" si="96"/>
        <v>0</v>
      </c>
      <c r="G194" s="956">
        <f t="shared" si="96"/>
        <v>0</v>
      </c>
      <c r="H194" s="956">
        <f t="shared" si="96"/>
        <v>0</v>
      </c>
      <c r="I194" s="956">
        <f t="shared" si="96"/>
        <v>0</v>
      </c>
      <c r="J194" s="956">
        <f t="shared" si="96"/>
        <v>0</v>
      </c>
      <c r="K194" s="956">
        <f t="shared" si="96"/>
        <v>0</v>
      </c>
      <c r="L194" s="956">
        <f t="shared" si="96"/>
        <v>0</v>
      </c>
      <c r="M194" s="956">
        <f t="shared" si="96"/>
        <v>0</v>
      </c>
      <c r="N194" s="956">
        <f t="shared" si="96"/>
        <v>0</v>
      </c>
      <c r="O194" s="956">
        <f t="shared" si="96"/>
        <v>0</v>
      </c>
      <c r="P194" s="956">
        <f t="shared" ref="P194:AA194" si="97">-($D$192*$L$61/12)-($D$192*$L$61/12)</f>
        <v>0</v>
      </c>
      <c r="Q194" s="956">
        <f t="shared" si="97"/>
        <v>0</v>
      </c>
      <c r="R194" s="956">
        <f t="shared" si="97"/>
        <v>0</v>
      </c>
      <c r="S194" s="956">
        <f t="shared" si="97"/>
        <v>0</v>
      </c>
      <c r="T194" s="956">
        <f t="shared" si="97"/>
        <v>0</v>
      </c>
      <c r="U194" s="956">
        <f t="shared" si="97"/>
        <v>0</v>
      </c>
      <c r="V194" s="956">
        <f t="shared" si="97"/>
        <v>0</v>
      </c>
      <c r="W194" s="956">
        <f t="shared" si="97"/>
        <v>0</v>
      </c>
      <c r="X194" s="956">
        <f t="shared" si="97"/>
        <v>0</v>
      </c>
      <c r="Y194" s="956">
        <f t="shared" si="97"/>
        <v>0</v>
      </c>
      <c r="Z194" s="956">
        <f t="shared" si="97"/>
        <v>0</v>
      </c>
      <c r="AA194" s="956">
        <f t="shared" si="97"/>
        <v>0</v>
      </c>
      <c r="AB194" s="956">
        <f>-($I$61*$L$61/12)</f>
        <v>-50</v>
      </c>
      <c r="AC194" s="956">
        <f>-($I$61*$L$61/12)</f>
        <v>-50</v>
      </c>
      <c r="AD194" s="956">
        <f t="shared" ref="AD194:AM194" si="98">-($I$61*$L$61/12)</f>
        <v>-50</v>
      </c>
      <c r="AE194" s="956">
        <f t="shared" si="98"/>
        <v>-50</v>
      </c>
      <c r="AF194" s="956">
        <f t="shared" si="98"/>
        <v>-50</v>
      </c>
      <c r="AG194" s="956">
        <f t="shared" si="98"/>
        <v>-50</v>
      </c>
      <c r="AH194" s="956">
        <f t="shared" si="98"/>
        <v>-50</v>
      </c>
      <c r="AI194" s="956">
        <f t="shared" si="98"/>
        <v>-50</v>
      </c>
      <c r="AJ194" s="956">
        <f t="shared" si="98"/>
        <v>-50</v>
      </c>
      <c r="AK194" s="956">
        <f t="shared" si="98"/>
        <v>-50</v>
      </c>
      <c r="AL194" s="956">
        <f t="shared" si="98"/>
        <v>-50</v>
      </c>
      <c r="AM194" s="956">
        <f t="shared" si="98"/>
        <v>-50</v>
      </c>
    </row>
    <row r="195" spans="2:39" s="300" customFormat="1" ht="16.2" thickBot="1">
      <c r="B195" s="965" t="s">
        <v>255</v>
      </c>
      <c r="C195" s="958"/>
      <c r="D195" s="956">
        <f t="shared" ref="D195:AM195" si="99">SUM(D193:D194)</f>
        <v>0</v>
      </c>
      <c r="E195" s="956">
        <f t="shared" si="99"/>
        <v>0</v>
      </c>
      <c r="F195" s="956">
        <f t="shared" si="99"/>
        <v>0</v>
      </c>
      <c r="G195" s="956">
        <f t="shared" si="99"/>
        <v>0</v>
      </c>
      <c r="H195" s="956">
        <f t="shared" si="99"/>
        <v>0</v>
      </c>
      <c r="I195" s="956">
        <f t="shared" si="99"/>
        <v>0</v>
      </c>
      <c r="J195" s="956">
        <f t="shared" si="99"/>
        <v>0</v>
      </c>
      <c r="K195" s="956">
        <f t="shared" si="99"/>
        <v>0</v>
      </c>
      <c r="L195" s="956">
        <f t="shared" si="99"/>
        <v>0</v>
      </c>
      <c r="M195" s="956">
        <f t="shared" si="99"/>
        <v>0</v>
      </c>
      <c r="N195" s="956">
        <f t="shared" si="99"/>
        <v>0</v>
      </c>
      <c r="O195" s="957">
        <f t="shared" si="99"/>
        <v>0</v>
      </c>
      <c r="P195" s="956">
        <f t="shared" si="99"/>
        <v>0</v>
      </c>
      <c r="Q195" s="956">
        <f t="shared" si="99"/>
        <v>0</v>
      </c>
      <c r="R195" s="956">
        <f t="shared" si="99"/>
        <v>0</v>
      </c>
      <c r="S195" s="956">
        <f t="shared" si="99"/>
        <v>0</v>
      </c>
      <c r="T195" s="956">
        <f t="shared" si="99"/>
        <v>0</v>
      </c>
      <c r="U195" s="956">
        <f t="shared" si="99"/>
        <v>0</v>
      </c>
      <c r="V195" s="956">
        <f t="shared" si="99"/>
        <v>0</v>
      </c>
      <c r="W195" s="956">
        <f t="shared" si="99"/>
        <v>0</v>
      </c>
      <c r="X195" s="956">
        <f t="shared" si="99"/>
        <v>0</v>
      </c>
      <c r="Y195" s="956">
        <f t="shared" si="99"/>
        <v>0</v>
      </c>
      <c r="Z195" s="956">
        <f t="shared" si="99"/>
        <v>0</v>
      </c>
      <c r="AA195" s="957">
        <f t="shared" si="99"/>
        <v>0</v>
      </c>
      <c r="AB195" s="956">
        <f t="shared" si="99"/>
        <v>5950</v>
      </c>
      <c r="AC195" s="956">
        <f t="shared" si="99"/>
        <v>5900</v>
      </c>
      <c r="AD195" s="956">
        <f t="shared" si="99"/>
        <v>5850</v>
      </c>
      <c r="AE195" s="956">
        <f t="shared" si="99"/>
        <v>5800</v>
      </c>
      <c r="AF195" s="956">
        <f t="shared" si="99"/>
        <v>5750</v>
      </c>
      <c r="AG195" s="956">
        <f t="shared" si="99"/>
        <v>5700</v>
      </c>
      <c r="AH195" s="956">
        <f t="shared" si="99"/>
        <v>5650</v>
      </c>
      <c r="AI195" s="956">
        <f t="shared" si="99"/>
        <v>5600</v>
      </c>
      <c r="AJ195" s="956">
        <f t="shared" si="99"/>
        <v>5550</v>
      </c>
      <c r="AK195" s="956">
        <f t="shared" si="99"/>
        <v>5500</v>
      </c>
      <c r="AL195" s="956">
        <f t="shared" si="99"/>
        <v>5450</v>
      </c>
      <c r="AM195" s="956">
        <f t="shared" si="99"/>
        <v>5400</v>
      </c>
    </row>
    <row r="196" spans="2:39" s="300" customFormat="1" ht="16.8" thickTop="1" thickBot="1">
      <c r="B196" s="305"/>
      <c r="C196" s="305"/>
      <c r="D196" s="323"/>
      <c r="E196" s="323"/>
      <c r="F196" s="323"/>
      <c r="G196" s="323"/>
      <c r="H196" s="323"/>
      <c r="I196" s="323"/>
      <c r="J196" s="323"/>
      <c r="K196" s="323"/>
      <c r="L196" s="323"/>
      <c r="M196" s="323"/>
      <c r="N196" s="323"/>
      <c r="O196" s="599"/>
      <c r="P196" s="323"/>
      <c r="Q196" s="323"/>
      <c r="R196" s="323"/>
      <c r="S196" s="323"/>
      <c r="T196" s="323"/>
      <c r="U196" s="323"/>
      <c r="V196" s="323"/>
      <c r="W196" s="323"/>
      <c r="X196" s="323"/>
      <c r="Y196" s="323"/>
      <c r="Z196" s="323"/>
      <c r="AA196" s="599"/>
      <c r="AB196" s="323"/>
      <c r="AC196" s="323"/>
      <c r="AD196" s="323"/>
      <c r="AE196" s="323"/>
      <c r="AF196" s="323"/>
      <c r="AG196" s="323"/>
      <c r="AH196" s="323"/>
      <c r="AI196" s="323"/>
      <c r="AJ196" s="323"/>
      <c r="AK196" s="323"/>
      <c r="AL196" s="323"/>
      <c r="AM196" s="323"/>
    </row>
    <row r="197" spans="2:39" s="300" customFormat="1" ht="16.2" thickTop="1">
      <c r="B197" s="963" t="str">
        <f>B62</f>
        <v>Painting Equipment</v>
      </c>
      <c r="C197" s="593"/>
      <c r="D197" s="323"/>
      <c r="E197" s="323"/>
      <c r="F197" s="323"/>
      <c r="G197" s="323"/>
      <c r="H197" s="323"/>
      <c r="I197" s="323"/>
      <c r="J197" s="323"/>
      <c r="K197" s="323"/>
      <c r="L197" s="323"/>
      <c r="M197" s="323"/>
      <c r="N197" s="323"/>
      <c r="O197" s="599"/>
      <c r="P197" s="323"/>
      <c r="Q197" s="323"/>
      <c r="R197" s="323"/>
      <c r="S197" s="323"/>
      <c r="T197" s="323"/>
      <c r="U197" s="323"/>
      <c r="V197" s="323"/>
      <c r="W197" s="323"/>
      <c r="X197" s="323"/>
      <c r="Y197" s="323"/>
      <c r="Z197" s="323"/>
      <c r="AA197" s="599"/>
      <c r="AB197" s="323"/>
      <c r="AC197" s="323"/>
      <c r="AD197" s="323"/>
      <c r="AE197" s="323"/>
      <c r="AF197" s="323"/>
      <c r="AG197" s="323"/>
      <c r="AH197" s="323"/>
      <c r="AI197" s="323"/>
      <c r="AJ197" s="323"/>
      <c r="AK197" s="323"/>
      <c r="AL197" s="323"/>
      <c r="AM197" s="323"/>
    </row>
    <row r="198" spans="2:39" s="300" customFormat="1">
      <c r="B198" s="964" t="s">
        <v>112</v>
      </c>
      <c r="C198" s="953"/>
      <c r="D198" s="953">
        <v>0</v>
      </c>
      <c r="E198" s="956">
        <f>D202</f>
        <v>0</v>
      </c>
      <c r="F198" s="956">
        <f t="shared" ref="F198:AM198" si="100">E202</f>
        <v>0</v>
      </c>
      <c r="G198" s="956">
        <f t="shared" si="100"/>
        <v>0</v>
      </c>
      <c r="H198" s="956">
        <f t="shared" si="100"/>
        <v>0</v>
      </c>
      <c r="I198" s="956">
        <f t="shared" si="100"/>
        <v>0</v>
      </c>
      <c r="J198" s="956">
        <f>I202</f>
        <v>0</v>
      </c>
      <c r="K198" s="956">
        <f t="shared" si="100"/>
        <v>0</v>
      </c>
      <c r="L198" s="956">
        <f t="shared" si="100"/>
        <v>0</v>
      </c>
      <c r="M198" s="956">
        <f t="shared" si="100"/>
        <v>0</v>
      </c>
      <c r="N198" s="956">
        <f t="shared" si="100"/>
        <v>0</v>
      </c>
      <c r="O198" s="957">
        <f t="shared" si="100"/>
        <v>0</v>
      </c>
      <c r="P198" s="956">
        <f t="shared" si="100"/>
        <v>0</v>
      </c>
      <c r="Q198" s="956">
        <f t="shared" si="100"/>
        <v>0</v>
      </c>
      <c r="R198" s="956">
        <f t="shared" si="100"/>
        <v>0</v>
      </c>
      <c r="S198" s="956">
        <f t="shared" si="100"/>
        <v>0</v>
      </c>
      <c r="T198" s="956">
        <f t="shared" si="100"/>
        <v>0</v>
      </c>
      <c r="U198" s="956">
        <f t="shared" si="100"/>
        <v>0</v>
      </c>
      <c r="V198" s="956">
        <f t="shared" si="100"/>
        <v>0</v>
      </c>
      <c r="W198" s="956">
        <f t="shared" si="100"/>
        <v>0</v>
      </c>
      <c r="X198" s="956">
        <f t="shared" si="100"/>
        <v>0</v>
      </c>
      <c r="Y198" s="956">
        <f t="shared" si="100"/>
        <v>0</v>
      </c>
      <c r="Z198" s="956">
        <f t="shared" si="100"/>
        <v>0</v>
      </c>
      <c r="AA198" s="957">
        <f t="shared" si="100"/>
        <v>0</v>
      </c>
      <c r="AB198" s="956">
        <f t="shared" si="100"/>
        <v>0</v>
      </c>
      <c r="AC198" s="956">
        <f t="shared" si="100"/>
        <v>2655</v>
      </c>
      <c r="AD198" s="956">
        <f t="shared" si="100"/>
        <v>2610</v>
      </c>
      <c r="AE198" s="956">
        <f t="shared" si="100"/>
        <v>2565</v>
      </c>
      <c r="AF198" s="956">
        <f t="shared" si="100"/>
        <v>2520</v>
      </c>
      <c r="AG198" s="956">
        <f t="shared" si="100"/>
        <v>2475</v>
      </c>
      <c r="AH198" s="956">
        <f t="shared" si="100"/>
        <v>2430</v>
      </c>
      <c r="AI198" s="956">
        <f t="shared" si="100"/>
        <v>2385</v>
      </c>
      <c r="AJ198" s="956">
        <f t="shared" si="100"/>
        <v>2340</v>
      </c>
      <c r="AK198" s="956">
        <f t="shared" si="100"/>
        <v>2295</v>
      </c>
      <c r="AL198" s="956">
        <f t="shared" si="100"/>
        <v>2250</v>
      </c>
      <c r="AM198" s="956">
        <f t="shared" si="100"/>
        <v>2205</v>
      </c>
    </row>
    <row r="199" spans="2:39" s="300" customFormat="1">
      <c r="B199" s="964" t="s">
        <v>265</v>
      </c>
      <c r="C199" s="953"/>
      <c r="D199" s="956">
        <f>G62</f>
        <v>0</v>
      </c>
      <c r="E199" s="956"/>
      <c r="F199" s="956"/>
      <c r="G199" s="956"/>
      <c r="H199" s="956"/>
      <c r="I199" s="956"/>
      <c r="J199" s="956"/>
      <c r="K199" s="956"/>
      <c r="L199" s="956"/>
      <c r="M199" s="956"/>
      <c r="N199" s="956"/>
      <c r="O199" s="957"/>
      <c r="P199" s="956">
        <f>H62</f>
        <v>0</v>
      </c>
      <c r="Q199" s="956"/>
      <c r="R199" s="956"/>
      <c r="S199" s="956"/>
      <c r="T199" s="956"/>
      <c r="U199" s="956"/>
      <c r="V199" s="956"/>
      <c r="W199" s="956"/>
      <c r="X199" s="956"/>
      <c r="Y199" s="956"/>
      <c r="Z199" s="956"/>
      <c r="AA199" s="957"/>
      <c r="AB199" s="956">
        <f>I62</f>
        <v>2700</v>
      </c>
      <c r="AC199" s="956"/>
      <c r="AD199" s="956"/>
      <c r="AE199" s="956"/>
      <c r="AF199" s="956"/>
      <c r="AG199" s="956"/>
      <c r="AH199" s="956"/>
      <c r="AI199" s="956"/>
      <c r="AJ199" s="956"/>
      <c r="AK199" s="956"/>
      <c r="AL199" s="956"/>
      <c r="AM199" s="956"/>
    </row>
    <row r="200" spans="2:39" s="300" customFormat="1">
      <c r="B200" s="964" t="s">
        <v>110</v>
      </c>
      <c r="C200" s="953"/>
      <c r="D200" s="956">
        <f>SUM(D198:D199)</f>
        <v>0</v>
      </c>
      <c r="E200" s="956">
        <f t="shared" ref="E200:AM200" si="101">SUM(E198:E199)</f>
        <v>0</v>
      </c>
      <c r="F200" s="956">
        <f t="shared" si="101"/>
        <v>0</v>
      </c>
      <c r="G200" s="956">
        <f t="shared" si="101"/>
        <v>0</v>
      </c>
      <c r="H200" s="956">
        <f t="shared" si="101"/>
        <v>0</v>
      </c>
      <c r="I200" s="956">
        <f t="shared" si="101"/>
        <v>0</v>
      </c>
      <c r="J200" s="956">
        <f t="shared" si="101"/>
        <v>0</v>
      </c>
      <c r="K200" s="956">
        <f t="shared" si="101"/>
        <v>0</v>
      </c>
      <c r="L200" s="956">
        <f t="shared" si="101"/>
        <v>0</v>
      </c>
      <c r="M200" s="956">
        <f t="shared" si="101"/>
        <v>0</v>
      </c>
      <c r="N200" s="956">
        <f t="shared" si="101"/>
        <v>0</v>
      </c>
      <c r="O200" s="957">
        <f t="shared" si="101"/>
        <v>0</v>
      </c>
      <c r="P200" s="956">
        <f t="shared" si="101"/>
        <v>0</v>
      </c>
      <c r="Q200" s="956">
        <f t="shared" si="101"/>
        <v>0</v>
      </c>
      <c r="R200" s="956">
        <f t="shared" si="101"/>
        <v>0</v>
      </c>
      <c r="S200" s="956">
        <f t="shared" si="101"/>
        <v>0</v>
      </c>
      <c r="T200" s="956">
        <f t="shared" si="101"/>
        <v>0</v>
      </c>
      <c r="U200" s="956">
        <f t="shared" si="101"/>
        <v>0</v>
      </c>
      <c r="V200" s="956">
        <f t="shared" si="101"/>
        <v>0</v>
      </c>
      <c r="W200" s="956">
        <f t="shared" si="101"/>
        <v>0</v>
      </c>
      <c r="X200" s="956">
        <f t="shared" si="101"/>
        <v>0</v>
      </c>
      <c r="Y200" s="956">
        <f t="shared" si="101"/>
        <v>0</v>
      </c>
      <c r="Z200" s="956">
        <f t="shared" si="101"/>
        <v>0</v>
      </c>
      <c r="AA200" s="957">
        <f t="shared" si="101"/>
        <v>0</v>
      </c>
      <c r="AB200" s="956">
        <f t="shared" si="101"/>
        <v>2700</v>
      </c>
      <c r="AC200" s="956">
        <f t="shared" si="101"/>
        <v>2655</v>
      </c>
      <c r="AD200" s="956">
        <f t="shared" si="101"/>
        <v>2610</v>
      </c>
      <c r="AE200" s="956">
        <f t="shared" si="101"/>
        <v>2565</v>
      </c>
      <c r="AF200" s="956">
        <f t="shared" si="101"/>
        <v>2520</v>
      </c>
      <c r="AG200" s="956">
        <f t="shared" si="101"/>
        <v>2475</v>
      </c>
      <c r="AH200" s="956">
        <f t="shared" si="101"/>
        <v>2430</v>
      </c>
      <c r="AI200" s="956">
        <f t="shared" si="101"/>
        <v>2385</v>
      </c>
      <c r="AJ200" s="956">
        <f t="shared" si="101"/>
        <v>2340</v>
      </c>
      <c r="AK200" s="956">
        <f t="shared" si="101"/>
        <v>2295</v>
      </c>
      <c r="AL200" s="956">
        <f t="shared" si="101"/>
        <v>2250</v>
      </c>
      <c r="AM200" s="956">
        <f t="shared" si="101"/>
        <v>2205</v>
      </c>
    </row>
    <row r="201" spans="2:39" s="300" customFormat="1">
      <c r="B201" s="964" t="s">
        <v>57</v>
      </c>
      <c r="C201" s="953"/>
      <c r="D201" s="956">
        <f t="shared" ref="D201:AA201" si="102">(-$D$199/$J$62/12)</f>
        <v>0</v>
      </c>
      <c r="E201" s="956">
        <f t="shared" si="102"/>
        <v>0</v>
      </c>
      <c r="F201" s="956">
        <f t="shared" si="102"/>
        <v>0</v>
      </c>
      <c r="G201" s="956">
        <f t="shared" si="102"/>
        <v>0</v>
      </c>
      <c r="H201" s="956">
        <f t="shared" si="102"/>
        <v>0</v>
      </c>
      <c r="I201" s="956">
        <f t="shared" si="102"/>
        <v>0</v>
      </c>
      <c r="J201" s="956">
        <f t="shared" si="102"/>
        <v>0</v>
      </c>
      <c r="K201" s="956">
        <f t="shared" si="102"/>
        <v>0</v>
      </c>
      <c r="L201" s="956">
        <f t="shared" si="102"/>
        <v>0</v>
      </c>
      <c r="M201" s="956">
        <f t="shared" si="102"/>
        <v>0</v>
      </c>
      <c r="N201" s="956">
        <f t="shared" si="102"/>
        <v>0</v>
      </c>
      <c r="O201" s="956">
        <f t="shared" si="102"/>
        <v>0</v>
      </c>
      <c r="P201" s="956">
        <f t="shared" si="102"/>
        <v>0</v>
      </c>
      <c r="Q201" s="956">
        <f t="shared" si="102"/>
        <v>0</v>
      </c>
      <c r="R201" s="956">
        <f t="shared" si="102"/>
        <v>0</v>
      </c>
      <c r="S201" s="956">
        <f t="shared" si="102"/>
        <v>0</v>
      </c>
      <c r="T201" s="956">
        <f t="shared" si="102"/>
        <v>0</v>
      </c>
      <c r="U201" s="956">
        <f t="shared" si="102"/>
        <v>0</v>
      </c>
      <c r="V201" s="956">
        <f t="shared" si="102"/>
        <v>0</v>
      </c>
      <c r="W201" s="956">
        <f t="shared" si="102"/>
        <v>0</v>
      </c>
      <c r="X201" s="956">
        <f t="shared" si="102"/>
        <v>0</v>
      </c>
      <c r="Y201" s="956">
        <f t="shared" si="102"/>
        <v>0</v>
      </c>
      <c r="Z201" s="956">
        <f t="shared" si="102"/>
        <v>0</v>
      </c>
      <c r="AA201" s="956">
        <f t="shared" si="102"/>
        <v>0</v>
      </c>
      <c r="AB201" s="956">
        <f>(-$I$62/$J$62/12)</f>
        <v>-45</v>
      </c>
      <c r="AC201" s="956">
        <f t="shared" ref="AC201:AM201" si="103">(-$I$62/$J$62/12)</f>
        <v>-45</v>
      </c>
      <c r="AD201" s="956">
        <f t="shared" si="103"/>
        <v>-45</v>
      </c>
      <c r="AE201" s="956">
        <f t="shared" si="103"/>
        <v>-45</v>
      </c>
      <c r="AF201" s="956">
        <f t="shared" si="103"/>
        <v>-45</v>
      </c>
      <c r="AG201" s="956">
        <f t="shared" si="103"/>
        <v>-45</v>
      </c>
      <c r="AH201" s="956">
        <f t="shared" si="103"/>
        <v>-45</v>
      </c>
      <c r="AI201" s="956">
        <f t="shared" si="103"/>
        <v>-45</v>
      </c>
      <c r="AJ201" s="956">
        <f t="shared" si="103"/>
        <v>-45</v>
      </c>
      <c r="AK201" s="956">
        <f t="shared" si="103"/>
        <v>-45</v>
      </c>
      <c r="AL201" s="956">
        <f t="shared" si="103"/>
        <v>-45</v>
      </c>
      <c r="AM201" s="956">
        <f t="shared" si="103"/>
        <v>-45</v>
      </c>
    </row>
    <row r="202" spans="2:39" s="300" customFormat="1" ht="16.2" thickBot="1">
      <c r="B202" s="965" t="s">
        <v>255</v>
      </c>
      <c r="C202" s="958"/>
      <c r="D202" s="956">
        <f>SUM(D200:D201)</f>
        <v>0</v>
      </c>
      <c r="E202" s="956">
        <f t="shared" ref="E202:AM202" si="104">SUM(E200:E201)</f>
        <v>0</v>
      </c>
      <c r="F202" s="956">
        <f t="shared" si="104"/>
        <v>0</v>
      </c>
      <c r="G202" s="956">
        <f t="shared" si="104"/>
        <v>0</v>
      </c>
      <c r="H202" s="956">
        <f t="shared" si="104"/>
        <v>0</v>
      </c>
      <c r="I202" s="956">
        <f t="shared" si="104"/>
        <v>0</v>
      </c>
      <c r="J202" s="956">
        <f t="shared" si="104"/>
        <v>0</v>
      </c>
      <c r="K202" s="956">
        <f t="shared" si="104"/>
        <v>0</v>
      </c>
      <c r="L202" s="956">
        <f t="shared" si="104"/>
        <v>0</v>
      </c>
      <c r="M202" s="956">
        <f t="shared" si="104"/>
        <v>0</v>
      </c>
      <c r="N202" s="956">
        <f t="shared" si="104"/>
        <v>0</v>
      </c>
      <c r="O202" s="957">
        <f t="shared" si="104"/>
        <v>0</v>
      </c>
      <c r="P202" s="956">
        <f t="shared" si="104"/>
        <v>0</v>
      </c>
      <c r="Q202" s="956">
        <f t="shared" si="104"/>
        <v>0</v>
      </c>
      <c r="R202" s="956">
        <f t="shared" si="104"/>
        <v>0</v>
      </c>
      <c r="S202" s="956">
        <f t="shared" si="104"/>
        <v>0</v>
      </c>
      <c r="T202" s="956">
        <f t="shared" si="104"/>
        <v>0</v>
      </c>
      <c r="U202" s="956">
        <f t="shared" si="104"/>
        <v>0</v>
      </c>
      <c r="V202" s="956">
        <f t="shared" si="104"/>
        <v>0</v>
      </c>
      <c r="W202" s="956">
        <f t="shared" si="104"/>
        <v>0</v>
      </c>
      <c r="X202" s="956">
        <f t="shared" si="104"/>
        <v>0</v>
      </c>
      <c r="Y202" s="956">
        <f t="shared" si="104"/>
        <v>0</v>
      </c>
      <c r="Z202" s="956">
        <f t="shared" si="104"/>
        <v>0</v>
      </c>
      <c r="AA202" s="957">
        <f t="shared" si="104"/>
        <v>0</v>
      </c>
      <c r="AB202" s="956">
        <f t="shared" si="104"/>
        <v>2655</v>
      </c>
      <c r="AC202" s="956">
        <f t="shared" si="104"/>
        <v>2610</v>
      </c>
      <c r="AD202" s="956">
        <f t="shared" si="104"/>
        <v>2565</v>
      </c>
      <c r="AE202" s="956">
        <f t="shared" si="104"/>
        <v>2520</v>
      </c>
      <c r="AF202" s="956">
        <f t="shared" si="104"/>
        <v>2475</v>
      </c>
      <c r="AG202" s="956">
        <f t="shared" si="104"/>
        <v>2430</v>
      </c>
      <c r="AH202" s="956">
        <f t="shared" si="104"/>
        <v>2385</v>
      </c>
      <c r="AI202" s="956">
        <f t="shared" si="104"/>
        <v>2340</v>
      </c>
      <c r="AJ202" s="956">
        <f t="shared" si="104"/>
        <v>2295</v>
      </c>
      <c r="AK202" s="956">
        <f t="shared" si="104"/>
        <v>2250</v>
      </c>
      <c r="AL202" s="956">
        <f t="shared" si="104"/>
        <v>2205</v>
      </c>
      <c r="AM202" s="956">
        <f t="shared" si="104"/>
        <v>2160</v>
      </c>
    </row>
    <row r="203" spans="2:39" s="300" customFormat="1" ht="16.8" thickTop="1" thickBot="1">
      <c r="B203" s="305"/>
      <c r="C203" s="305"/>
      <c r="D203" s="323"/>
      <c r="E203" s="323"/>
      <c r="F203" s="323"/>
      <c r="G203" s="323"/>
      <c r="H203" s="323"/>
      <c r="I203" s="323"/>
      <c r="J203" s="323"/>
      <c r="K203" s="323"/>
      <c r="L203" s="323"/>
      <c r="M203" s="323"/>
      <c r="N203" s="323"/>
      <c r="O203" s="599"/>
      <c r="P203" s="323"/>
      <c r="Q203" s="323"/>
      <c r="R203" s="323"/>
      <c r="S203" s="323"/>
      <c r="T203" s="323"/>
      <c r="U203" s="323"/>
      <c r="V203" s="323"/>
      <c r="W203" s="323"/>
      <c r="X203" s="323"/>
      <c r="Y203" s="323"/>
      <c r="Z203" s="323"/>
      <c r="AA203" s="599"/>
      <c r="AB203" s="323"/>
      <c r="AC203" s="323"/>
      <c r="AD203" s="323"/>
      <c r="AE203" s="323"/>
      <c r="AF203" s="323"/>
      <c r="AG203" s="323"/>
      <c r="AH203" s="323"/>
      <c r="AI203" s="323"/>
      <c r="AJ203" s="323"/>
      <c r="AK203" s="323"/>
      <c r="AL203" s="323"/>
      <c r="AM203" s="323"/>
    </row>
    <row r="204" spans="2:39" s="300" customFormat="1" ht="16.2" thickTop="1">
      <c r="B204" s="963" t="str">
        <f>B63</f>
        <v>Walkie Talkies</v>
      </c>
      <c r="C204" s="593"/>
      <c r="D204" s="323"/>
      <c r="E204" s="323"/>
      <c r="F204" s="323"/>
      <c r="G204" s="323"/>
      <c r="H204" s="323"/>
      <c r="I204" s="323"/>
      <c r="J204" s="323"/>
      <c r="K204" s="323"/>
      <c r="L204" s="323"/>
      <c r="M204" s="323"/>
      <c r="N204" s="323"/>
      <c r="O204" s="599"/>
      <c r="P204" s="323"/>
      <c r="Q204" s="323"/>
      <c r="R204" s="323"/>
      <c r="S204" s="323"/>
      <c r="T204" s="323"/>
      <c r="U204" s="323"/>
      <c r="V204" s="323"/>
      <c r="W204" s="323"/>
      <c r="X204" s="323"/>
      <c r="Y204" s="323"/>
      <c r="Z204" s="323"/>
      <c r="AA204" s="599"/>
      <c r="AB204" s="323"/>
      <c r="AC204" s="323"/>
      <c r="AD204" s="323"/>
      <c r="AE204" s="323"/>
      <c r="AF204" s="323"/>
      <c r="AG204" s="323"/>
      <c r="AH204" s="323"/>
      <c r="AI204" s="323"/>
      <c r="AJ204" s="323"/>
      <c r="AK204" s="323"/>
      <c r="AL204" s="323"/>
      <c r="AM204" s="323"/>
    </row>
    <row r="205" spans="2:39" s="300" customFormat="1">
      <c r="B205" s="964" t="s">
        <v>112</v>
      </c>
      <c r="C205" s="953"/>
      <c r="D205" s="953">
        <v>0</v>
      </c>
      <c r="E205" s="956">
        <f>D209</f>
        <v>0</v>
      </c>
      <c r="F205" s="956">
        <f t="shared" ref="F205:AM205" si="105">E209</f>
        <v>0</v>
      </c>
      <c r="G205" s="956">
        <f t="shared" si="105"/>
        <v>0</v>
      </c>
      <c r="H205" s="956">
        <f t="shared" si="105"/>
        <v>0</v>
      </c>
      <c r="I205" s="956">
        <f t="shared" si="105"/>
        <v>0</v>
      </c>
      <c r="J205" s="956">
        <f>I209</f>
        <v>0</v>
      </c>
      <c r="K205" s="956">
        <f t="shared" si="105"/>
        <v>0</v>
      </c>
      <c r="L205" s="956">
        <f t="shared" si="105"/>
        <v>0</v>
      </c>
      <c r="M205" s="956">
        <f t="shared" si="105"/>
        <v>0</v>
      </c>
      <c r="N205" s="956">
        <f t="shared" si="105"/>
        <v>0</v>
      </c>
      <c r="O205" s="957">
        <f t="shared" si="105"/>
        <v>0</v>
      </c>
      <c r="P205" s="956">
        <f t="shared" si="105"/>
        <v>0</v>
      </c>
      <c r="Q205" s="956">
        <f t="shared" si="105"/>
        <v>0</v>
      </c>
      <c r="R205" s="956">
        <f t="shared" si="105"/>
        <v>0</v>
      </c>
      <c r="S205" s="956">
        <f t="shared" si="105"/>
        <v>0</v>
      </c>
      <c r="T205" s="956">
        <f t="shared" si="105"/>
        <v>0</v>
      </c>
      <c r="U205" s="956">
        <f t="shared" si="105"/>
        <v>0</v>
      </c>
      <c r="V205" s="956">
        <f t="shared" si="105"/>
        <v>0</v>
      </c>
      <c r="W205" s="956">
        <f t="shared" si="105"/>
        <v>0</v>
      </c>
      <c r="X205" s="956">
        <f t="shared" si="105"/>
        <v>0</v>
      </c>
      <c r="Y205" s="956">
        <f t="shared" si="105"/>
        <v>0</v>
      </c>
      <c r="Z205" s="956">
        <f t="shared" si="105"/>
        <v>0</v>
      </c>
      <c r="AA205" s="957">
        <f t="shared" si="105"/>
        <v>0</v>
      </c>
      <c r="AB205" s="956">
        <f t="shared" si="105"/>
        <v>0</v>
      </c>
      <c r="AC205" s="956">
        <f t="shared" si="105"/>
        <v>197.91666666666666</v>
      </c>
      <c r="AD205" s="956">
        <f t="shared" si="105"/>
        <v>195.83333333333331</v>
      </c>
      <c r="AE205" s="956">
        <f t="shared" si="105"/>
        <v>193.74999999999997</v>
      </c>
      <c r="AF205" s="956">
        <f t="shared" si="105"/>
        <v>191.66666666666663</v>
      </c>
      <c r="AG205" s="956">
        <f t="shared" si="105"/>
        <v>189.58333333333329</v>
      </c>
      <c r="AH205" s="956">
        <f t="shared" si="105"/>
        <v>187.49999999999994</v>
      </c>
      <c r="AI205" s="956">
        <f t="shared" si="105"/>
        <v>185.4166666666666</v>
      </c>
      <c r="AJ205" s="956">
        <f t="shared" si="105"/>
        <v>183.33333333333326</v>
      </c>
      <c r="AK205" s="956">
        <f t="shared" si="105"/>
        <v>181.24999999999991</v>
      </c>
      <c r="AL205" s="956">
        <f t="shared" si="105"/>
        <v>179.16666666666657</v>
      </c>
      <c r="AM205" s="956">
        <f t="shared" si="105"/>
        <v>177.08333333333323</v>
      </c>
    </row>
    <row r="206" spans="2:39" s="300" customFormat="1">
      <c r="B206" s="964" t="s">
        <v>265</v>
      </c>
      <c r="C206" s="953"/>
      <c r="D206" s="956">
        <f>G63</f>
        <v>0</v>
      </c>
      <c r="E206" s="956"/>
      <c r="F206" s="956"/>
      <c r="G206" s="956"/>
      <c r="H206" s="956"/>
      <c r="I206" s="956"/>
      <c r="J206" s="956"/>
      <c r="K206" s="956"/>
      <c r="L206" s="956"/>
      <c r="M206" s="956"/>
      <c r="N206" s="956"/>
      <c r="O206" s="957"/>
      <c r="P206" s="956">
        <f>H63</f>
        <v>0</v>
      </c>
      <c r="Q206" s="956"/>
      <c r="R206" s="956"/>
      <c r="S206" s="956"/>
      <c r="T206" s="956"/>
      <c r="U206" s="956"/>
      <c r="V206" s="956"/>
      <c r="W206" s="956"/>
      <c r="X206" s="956"/>
      <c r="Y206" s="956"/>
      <c r="Z206" s="956"/>
      <c r="AA206" s="957"/>
      <c r="AB206" s="956">
        <f>I63</f>
        <v>200</v>
      </c>
      <c r="AC206" s="956"/>
      <c r="AD206" s="956"/>
      <c r="AE206" s="956"/>
      <c r="AF206" s="956"/>
      <c r="AG206" s="956"/>
      <c r="AH206" s="956"/>
      <c r="AI206" s="956"/>
      <c r="AJ206" s="956"/>
      <c r="AK206" s="956"/>
      <c r="AL206" s="956"/>
      <c r="AM206" s="956"/>
    </row>
    <row r="207" spans="2:39" s="300" customFormat="1">
      <c r="B207" s="964" t="s">
        <v>110</v>
      </c>
      <c r="C207" s="953"/>
      <c r="D207" s="956">
        <f>SUM(D205:D206)</f>
        <v>0</v>
      </c>
      <c r="E207" s="956">
        <f t="shared" ref="E207:AM207" si="106">SUM(E205:E206)</f>
        <v>0</v>
      </c>
      <c r="F207" s="956">
        <f t="shared" si="106"/>
        <v>0</v>
      </c>
      <c r="G207" s="956">
        <f t="shared" si="106"/>
        <v>0</v>
      </c>
      <c r="H207" s="956">
        <f t="shared" si="106"/>
        <v>0</v>
      </c>
      <c r="I207" s="956">
        <f t="shared" si="106"/>
        <v>0</v>
      </c>
      <c r="J207" s="956">
        <f t="shared" si="106"/>
        <v>0</v>
      </c>
      <c r="K207" s="956">
        <f t="shared" si="106"/>
        <v>0</v>
      </c>
      <c r="L207" s="956">
        <f t="shared" si="106"/>
        <v>0</v>
      </c>
      <c r="M207" s="956">
        <f t="shared" si="106"/>
        <v>0</v>
      </c>
      <c r="N207" s="956">
        <f t="shared" si="106"/>
        <v>0</v>
      </c>
      <c r="O207" s="957">
        <f t="shared" si="106"/>
        <v>0</v>
      </c>
      <c r="P207" s="956">
        <f t="shared" si="106"/>
        <v>0</v>
      </c>
      <c r="Q207" s="956">
        <f t="shared" si="106"/>
        <v>0</v>
      </c>
      <c r="R207" s="956">
        <f t="shared" si="106"/>
        <v>0</v>
      </c>
      <c r="S207" s="956">
        <f t="shared" si="106"/>
        <v>0</v>
      </c>
      <c r="T207" s="956">
        <f t="shared" si="106"/>
        <v>0</v>
      </c>
      <c r="U207" s="956">
        <f t="shared" si="106"/>
        <v>0</v>
      </c>
      <c r="V207" s="956">
        <f t="shared" si="106"/>
        <v>0</v>
      </c>
      <c r="W207" s="956">
        <f t="shared" si="106"/>
        <v>0</v>
      </c>
      <c r="X207" s="956">
        <f t="shared" si="106"/>
        <v>0</v>
      </c>
      <c r="Y207" s="956">
        <f t="shared" si="106"/>
        <v>0</v>
      </c>
      <c r="Z207" s="956">
        <f t="shared" si="106"/>
        <v>0</v>
      </c>
      <c r="AA207" s="957">
        <f t="shared" si="106"/>
        <v>0</v>
      </c>
      <c r="AB207" s="956">
        <f t="shared" si="106"/>
        <v>200</v>
      </c>
      <c r="AC207" s="956">
        <f t="shared" si="106"/>
        <v>197.91666666666666</v>
      </c>
      <c r="AD207" s="956">
        <f t="shared" si="106"/>
        <v>195.83333333333331</v>
      </c>
      <c r="AE207" s="956">
        <f t="shared" si="106"/>
        <v>193.74999999999997</v>
      </c>
      <c r="AF207" s="956">
        <f t="shared" si="106"/>
        <v>191.66666666666663</v>
      </c>
      <c r="AG207" s="956">
        <f t="shared" si="106"/>
        <v>189.58333333333329</v>
      </c>
      <c r="AH207" s="956">
        <f t="shared" si="106"/>
        <v>187.49999999999994</v>
      </c>
      <c r="AI207" s="956">
        <f t="shared" si="106"/>
        <v>185.4166666666666</v>
      </c>
      <c r="AJ207" s="956">
        <f t="shared" si="106"/>
        <v>183.33333333333326</v>
      </c>
      <c r="AK207" s="956">
        <f t="shared" si="106"/>
        <v>181.24999999999991</v>
      </c>
      <c r="AL207" s="956">
        <f t="shared" si="106"/>
        <v>179.16666666666657</v>
      </c>
      <c r="AM207" s="956">
        <f t="shared" si="106"/>
        <v>177.08333333333323</v>
      </c>
    </row>
    <row r="208" spans="2:39" s="300" customFormat="1">
      <c r="B208" s="964" t="s">
        <v>57</v>
      </c>
      <c r="C208" s="953"/>
      <c r="D208" s="956">
        <f t="shared" ref="D208:AA208" si="107">(-$D$206/$J$63/12)</f>
        <v>0</v>
      </c>
      <c r="E208" s="956">
        <f t="shared" si="107"/>
        <v>0</v>
      </c>
      <c r="F208" s="956">
        <f t="shared" si="107"/>
        <v>0</v>
      </c>
      <c r="G208" s="956">
        <f t="shared" si="107"/>
        <v>0</v>
      </c>
      <c r="H208" s="956">
        <f t="shared" si="107"/>
        <v>0</v>
      </c>
      <c r="I208" s="956">
        <f t="shared" si="107"/>
        <v>0</v>
      </c>
      <c r="J208" s="956">
        <f t="shared" si="107"/>
        <v>0</v>
      </c>
      <c r="K208" s="956">
        <f t="shared" si="107"/>
        <v>0</v>
      </c>
      <c r="L208" s="956">
        <f t="shared" si="107"/>
        <v>0</v>
      </c>
      <c r="M208" s="956">
        <f t="shared" si="107"/>
        <v>0</v>
      </c>
      <c r="N208" s="956">
        <f t="shared" si="107"/>
        <v>0</v>
      </c>
      <c r="O208" s="956">
        <f t="shared" si="107"/>
        <v>0</v>
      </c>
      <c r="P208" s="956">
        <f t="shared" si="107"/>
        <v>0</v>
      </c>
      <c r="Q208" s="956">
        <f t="shared" si="107"/>
        <v>0</v>
      </c>
      <c r="R208" s="956">
        <f t="shared" si="107"/>
        <v>0</v>
      </c>
      <c r="S208" s="956">
        <f t="shared" si="107"/>
        <v>0</v>
      </c>
      <c r="T208" s="956">
        <f t="shared" si="107"/>
        <v>0</v>
      </c>
      <c r="U208" s="956">
        <f t="shared" si="107"/>
        <v>0</v>
      </c>
      <c r="V208" s="956">
        <f t="shared" si="107"/>
        <v>0</v>
      </c>
      <c r="W208" s="956">
        <f t="shared" si="107"/>
        <v>0</v>
      </c>
      <c r="X208" s="956">
        <f t="shared" si="107"/>
        <v>0</v>
      </c>
      <c r="Y208" s="956">
        <f t="shared" si="107"/>
        <v>0</v>
      </c>
      <c r="Z208" s="956">
        <f t="shared" si="107"/>
        <v>0</v>
      </c>
      <c r="AA208" s="956">
        <f t="shared" si="107"/>
        <v>0</v>
      </c>
      <c r="AB208" s="956">
        <f>(-$I$63/$J$63/12)</f>
        <v>-2.0833333333333335</v>
      </c>
      <c r="AC208" s="956">
        <f t="shared" ref="AC208:AM208" si="108">(-$I$63/$J$63/12)</f>
        <v>-2.0833333333333335</v>
      </c>
      <c r="AD208" s="956">
        <f t="shared" si="108"/>
        <v>-2.0833333333333335</v>
      </c>
      <c r="AE208" s="956">
        <f t="shared" si="108"/>
        <v>-2.0833333333333335</v>
      </c>
      <c r="AF208" s="956">
        <f t="shared" si="108"/>
        <v>-2.0833333333333335</v>
      </c>
      <c r="AG208" s="956">
        <f t="shared" si="108"/>
        <v>-2.0833333333333335</v>
      </c>
      <c r="AH208" s="956">
        <f t="shared" si="108"/>
        <v>-2.0833333333333335</v>
      </c>
      <c r="AI208" s="956">
        <f t="shared" si="108"/>
        <v>-2.0833333333333335</v>
      </c>
      <c r="AJ208" s="956">
        <f t="shared" si="108"/>
        <v>-2.0833333333333335</v>
      </c>
      <c r="AK208" s="956">
        <f t="shared" si="108"/>
        <v>-2.0833333333333335</v>
      </c>
      <c r="AL208" s="956">
        <f t="shared" si="108"/>
        <v>-2.0833333333333335</v>
      </c>
      <c r="AM208" s="956">
        <f t="shared" si="108"/>
        <v>-2.0833333333333335</v>
      </c>
    </row>
    <row r="209" spans="2:39" s="300" customFormat="1" ht="16.2" thickBot="1">
      <c r="B209" s="965" t="s">
        <v>255</v>
      </c>
      <c r="C209" s="958"/>
      <c r="D209" s="956">
        <f>SUM(D207:D208)</f>
        <v>0</v>
      </c>
      <c r="E209" s="956">
        <f t="shared" ref="E209:AM209" si="109">SUM(E207:E208)</f>
        <v>0</v>
      </c>
      <c r="F209" s="956">
        <f t="shared" si="109"/>
        <v>0</v>
      </c>
      <c r="G209" s="956">
        <f t="shared" si="109"/>
        <v>0</v>
      </c>
      <c r="H209" s="956">
        <f t="shared" si="109"/>
        <v>0</v>
      </c>
      <c r="I209" s="956">
        <f t="shared" si="109"/>
        <v>0</v>
      </c>
      <c r="J209" s="956">
        <f t="shared" si="109"/>
        <v>0</v>
      </c>
      <c r="K209" s="956">
        <f t="shared" si="109"/>
        <v>0</v>
      </c>
      <c r="L209" s="956">
        <f t="shared" si="109"/>
        <v>0</v>
      </c>
      <c r="M209" s="956">
        <f t="shared" si="109"/>
        <v>0</v>
      </c>
      <c r="N209" s="956">
        <f t="shared" si="109"/>
        <v>0</v>
      </c>
      <c r="O209" s="957">
        <f t="shared" si="109"/>
        <v>0</v>
      </c>
      <c r="P209" s="956">
        <f t="shared" si="109"/>
        <v>0</v>
      </c>
      <c r="Q209" s="956">
        <f t="shared" si="109"/>
        <v>0</v>
      </c>
      <c r="R209" s="956">
        <f t="shared" si="109"/>
        <v>0</v>
      </c>
      <c r="S209" s="956">
        <f t="shared" si="109"/>
        <v>0</v>
      </c>
      <c r="T209" s="956">
        <f t="shared" si="109"/>
        <v>0</v>
      </c>
      <c r="U209" s="956">
        <f t="shared" si="109"/>
        <v>0</v>
      </c>
      <c r="V209" s="956">
        <f t="shared" si="109"/>
        <v>0</v>
      </c>
      <c r="W209" s="956">
        <f t="shared" si="109"/>
        <v>0</v>
      </c>
      <c r="X209" s="956">
        <f t="shared" si="109"/>
        <v>0</v>
      </c>
      <c r="Y209" s="956">
        <f t="shared" si="109"/>
        <v>0</v>
      </c>
      <c r="Z209" s="956">
        <f t="shared" si="109"/>
        <v>0</v>
      </c>
      <c r="AA209" s="957">
        <f t="shared" si="109"/>
        <v>0</v>
      </c>
      <c r="AB209" s="956">
        <f t="shared" si="109"/>
        <v>197.91666666666666</v>
      </c>
      <c r="AC209" s="956">
        <f t="shared" si="109"/>
        <v>195.83333333333331</v>
      </c>
      <c r="AD209" s="956">
        <f t="shared" si="109"/>
        <v>193.74999999999997</v>
      </c>
      <c r="AE209" s="956">
        <f t="shared" si="109"/>
        <v>191.66666666666663</v>
      </c>
      <c r="AF209" s="956">
        <f t="shared" si="109"/>
        <v>189.58333333333329</v>
      </c>
      <c r="AG209" s="956">
        <f t="shared" si="109"/>
        <v>187.49999999999994</v>
      </c>
      <c r="AH209" s="956">
        <f t="shared" si="109"/>
        <v>185.4166666666666</v>
      </c>
      <c r="AI209" s="956">
        <f t="shared" si="109"/>
        <v>183.33333333333326</v>
      </c>
      <c r="AJ209" s="956">
        <f t="shared" si="109"/>
        <v>181.24999999999991</v>
      </c>
      <c r="AK209" s="956">
        <f t="shared" si="109"/>
        <v>179.16666666666657</v>
      </c>
      <c r="AL209" s="956">
        <f t="shared" si="109"/>
        <v>177.08333333333323</v>
      </c>
      <c r="AM209" s="956">
        <f t="shared" si="109"/>
        <v>174.99999999999989</v>
      </c>
    </row>
    <row r="210" spans="2:39" s="300" customFormat="1" ht="16.8" thickTop="1" thickBot="1">
      <c r="B210" s="305"/>
      <c r="C210" s="305"/>
      <c r="D210" s="323"/>
      <c r="E210" s="323"/>
      <c r="F210" s="323"/>
      <c r="G210" s="323"/>
      <c r="H210" s="323"/>
      <c r="I210" s="323"/>
      <c r="J210" s="323"/>
      <c r="K210" s="323"/>
      <c r="L210" s="323"/>
      <c r="M210" s="323"/>
      <c r="N210" s="323"/>
      <c r="O210" s="599"/>
      <c r="P210" s="323"/>
      <c r="Q210" s="323"/>
      <c r="R210" s="323"/>
      <c r="S210" s="323"/>
      <c r="T210" s="323"/>
      <c r="U210" s="323"/>
      <c r="V210" s="323"/>
      <c r="W210" s="323"/>
      <c r="X210" s="323"/>
      <c r="Y210" s="323"/>
      <c r="Z210" s="323"/>
      <c r="AA210" s="599"/>
      <c r="AB210" s="323"/>
      <c r="AC210" s="323"/>
      <c r="AD210" s="323"/>
      <c r="AE210" s="323"/>
      <c r="AF210" s="323"/>
      <c r="AG210" s="323"/>
      <c r="AH210" s="323"/>
      <c r="AI210" s="323"/>
      <c r="AJ210" s="323"/>
      <c r="AK210" s="323"/>
      <c r="AL210" s="323"/>
      <c r="AM210" s="323"/>
    </row>
    <row r="211" spans="2:39" s="300" customFormat="1" ht="16.2" thickTop="1">
      <c r="B211" s="963" t="str">
        <f>B64</f>
        <v>Cleaning Equipment</v>
      </c>
      <c r="C211" s="593"/>
      <c r="D211" s="323"/>
      <c r="E211" s="323"/>
      <c r="F211" s="323"/>
      <c r="G211" s="323"/>
      <c r="H211" s="323"/>
      <c r="I211" s="323"/>
      <c r="J211" s="323"/>
      <c r="K211" s="323"/>
      <c r="L211" s="323"/>
      <c r="M211" s="323"/>
      <c r="N211" s="323"/>
      <c r="O211" s="599"/>
      <c r="P211" s="323"/>
      <c r="Q211" s="323"/>
      <c r="R211" s="323"/>
      <c r="S211" s="323"/>
      <c r="T211" s="323"/>
      <c r="U211" s="323"/>
      <c r="V211" s="323"/>
      <c r="W211" s="323"/>
      <c r="X211" s="323"/>
      <c r="Y211" s="323"/>
      <c r="Z211" s="323"/>
      <c r="AA211" s="599"/>
      <c r="AB211" s="323"/>
      <c r="AC211" s="323"/>
      <c r="AD211" s="323"/>
      <c r="AE211" s="323"/>
      <c r="AF211" s="323"/>
      <c r="AG211" s="323"/>
      <c r="AH211" s="323"/>
      <c r="AI211" s="323"/>
      <c r="AJ211" s="323"/>
      <c r="AK211" s="323"/>
      <c r="AL211" s="323"/>
      <c r="AM211" s="323"/>
    </row>
    <row r="212" spans="2:39" s="300" customFormat="1">
      <c r="B212" s="964" t="s">
        <v>112</v>
      </c>
      <c r="C212" s="953"/>
      <c r="D212" s="953">
        <v>0</v>
      </c>
      <c r="E212" s="956">
        <f>D216</f>
        <v>0</v>
      </c>
      <c r="F212" s="956">
        <f t="shared" ref="F212" si="110">E216</f>
        <v>0</v>
      </c>
      <c r="G212" s="956">
        <f t="shared" ref="G212" si="111">F216</f>
        <v>0</v>
      </c>
      <c r="H212" s="956">
        <f t="shared" ref="H212" si="112">G216</f>
        <v>0</v>
      </c>
      <c r="I212" s="956">
        <f t="shared" ref="I212" si="113">H216</f>
        <v>0</v>
      </c>
      <c r="J212" s="956">
        <f>I216</f>
        <v>0</v>
      </c>
      <c r="K212" s="956">
        <f t="shared" ref="K212" si="114">J216</f>
        <v>0</v>
      </c>
      <c r="L212" s="956">
        <f t="shared" ref="L212" si="115">K216</f>
        <v>0</v>
      </c>
      <c r="M212" s="956">
        <f t="shared" ref="M212" si="116">L216</f>
        <v>0</v>
      </c>
      <c r="N212" s="956">
        <f t="shared" ref="N212" si="117">M216</f>
        <v>0</v>
      </c>
      <c r="O212" s="957">
        <f t="shared" ref="O212" si="118">N216</f>
        <v>0</v>
      </c>
      <c r="P212" s="956">
        <f t="shared" ref="P212" si="119">O216</f>
        <v>0</v>
      </c>
      <c r="Q212" s="956">
        <f t="shared" ref="Q212" si="120">P216</f>
        <v>0</v>
      </c>
      <c r="R212" s="956">
        <f t="shared" ref="R212" si="121">Q216</f>
        <v>0</v>
      </c>
      <c r="S212" s="956">
        <f t="shared" ref="S212" si="122">R216</f>
        <v>0</v>
      </c>
      <c r="T212" s="956">
        <f t="shared" ref="T212" si="123">S216</f>
        <v>0</v>
      </c>
      <c r="U212" s="956">
        <f t="shared" ref="U212" si="124">T216</f>
        <v>0</v>
      </c>
      <c r="V212" s="956">
        <f t="shared" ref="V212" si="125">U216</f>
        <v>0</v>
      </c>
      <c r="W212" s="956">
        <f t="shared" ref="W212" si="126">V216</f>
        <v>0</v>
      </c>
      <c r="X212" s="956">
        <f t="shared" ref="X212" si="127">W216</f>
        <v>0</v>
      </c>
      <c r="Y212" s="956">
        <f t="shared" ref="Y212" si="128">X216</f>
        <v>0</v>
      </c>
      <c r="Z212" s="956">
        <f t="shared" ref="Z212" si="129">Y216</f>
        <v>0</v>
      </c>
      <c r="AA212" s="957">
        <f t="shared" ref="AA212" si="130">Z216</f>
        <v>0</v>
      </c>
      <c r="AB212" s="956">
        <f t="shared" ref="AB212" si="131">AA216</f>
        <v>0</v>
      </c>
      <c r="AC212" s="956">
        <f t="shared" ref="AC212" si="132">AB216</f>
        <v>783.33333333333337</v>
      </c>
      <c r="AD212" s="956">
        <f t="shared" ref="AD212" si="133">AC216</f>
        <v>766.66666666666674</v>
      </c>
      <c r="AE212" s="956">
        <f t="shared" ref="AE212" si="134">AD216</f>
        <v>750.00000000000011</v>
      </c>
      <c r="AF212" s="956">
        <f t="shared" ref="AF212" si="135">AE216</f>
        <v>733.33333333333348</v>
      </c>
      <c r="AG212" s="956">
        <f t="shared" ref="AG212" si="136">AF216</f>
        <v>716.66666666666686</v>
      </c>
      <c r="AH212" s="956">
        <f t="shared" ref="AH212" si="137">AG216</f>
        <v>700.00000000000023</v>
      </c>
      <c r="AI212" s="956">
        <f t="shared" ref="AI212" si="138">AH216</f>
        <v>683.3333333333336</v>
      </c>
      <c r="AJ212" s="956">
        <f t="shared" ref="AJ212" si="139">AI216</f>
        <v>666.66666666666697</v>
      </c>
      <c r="AK212" s="956">
        <f t="shared" ref="AK212" si="140">AJ216</f>
        <v>650.00000000000034</v>
      </c>
      <c r="AL212" s="956">
        <f t="shared" ref="AL212" si="141">AK216</f>
        <v>633.33333333333371</v>
      </c>
      <c r="AM212" s="956">
        <f t="shared" ref="AM212" si="142">AL216</f>
        <v>616.66666666666708</v>
      </c>
    </row>
    <row r="213" spans="2:39" s="300" customFormat="1">
      <c r="B213" s="964" t="s">
        <v>265</v>
      </c>
      <c r="C213" s="953"/>
      <c r="D213" s="956">
        <f>G70</f>
        <v>0</v>
      </c>
      <c r="E213" s="956"/>
      <c r="F213" s="956"/>
      <c r="G213" s="956"/>
      <c r="H213" s="956"/>
      <c r="I213" s="956"/>
      <c r="J213" s="956"/>
      <c r="K213" s="956"/>
      <c r="L213" s="956"/>
      <c r="M213" s="956"/>
      <c r="N213" s="956"/>
      <c r="O213" s="957"/>
      <c r="P213" s="956">
        <f>H70</f>
        <v>0</v>
      </c>
      <c r="Q213" s="956"/>
      <c r="R213" s="956"/>
      <c r="S213" s="956"/>
      <c r="T213" s="956"/>
      <c r="U213" s="956"/>
      <c r="V213" s="956"/>
      <c r="W213" s="956"/>
      <c r="X213" s="956"/>
      <c r="Y213" s="956"/>
      <c r="Z213" s="956"/>
      <c r="AA213" s="957"/>
      <c r="AB213" s="956">
        <f>I64</f>
        <v>800</v>
      </c>
      <c r="AC213" s="956"/>
      <c r="AD213" s="956"/>
      <c r="AE213" s="956"/>
      <c r="AF213" s="956"/>
      <c r="AG213" s="956"/>
      <c r="AH213" s="956"/>
      <c r="AI213" s="956"/>
      <c r="AJ213" s="956"/>
      <c r="AK213" s="956"/>
      <c r="AL213" s="956"/>
      <c r="AM213" s="956"/>
    </row>
    <row r="214" spans="2:39" s="300" customFormat="1">
      <c r="B214" s="964" t="s">
        <v>110</v>
      </c>
      <c r="C214" s="953"/>
      <c r="D214" s="956">
        <f>SUM(D212:D213)</f>
        <v>0</v>
      </c>
      <c r="E214" s="956">
        <f t="shared" ref="E214:AM214" si="143">SUM(E212:E213)</f>
        <v>0</v>
      </c>
      <c r="F214" s="956">
        <f t="shared" si="143"/>
        <v>0</v>
      </c>
      <c r="G214" s="956">
        <f t="shared" si="143"/>
        <v>0</v>
      </c>
      <c r="H214" s="956">
        <f t="shared" si="143"/>
        <v>0</v>
      </c>
      <c r="I214" s="956">
        <f t="shared" si="143"/>
        <v>0</v>
      </c>
      <c r="J214" s="956">
        <f t="shared" si="143"/>
        <v>0</v>
      </c>
      <c r="K214" s="956">
        <f t="shared" si="143"/>
        <v>0</v>
      </c>
      <c r="L214" s="956">
        <f t="shared" si="143"/>
        <v>0</v>
      </c>
      <c r="M214" s="956">
        <f t="shared" si="143"/>
        <v>0</v>
      </c>
      <c r="N214" s="956">
        <f t="shared" si="143"/>
        <v>0</v>
      </c>
      <c r="O214" s="957">
        <f t="shared" si="143"/>
        <v>0</v>
      </c>
      <c r="P214" s="956">
        <f t="shared" si="143"/>
        <v>0</v>
      </c>
      <c r="Q214" s="956">
        <f t="shared" si="143"/>
        <v>0</v>
      </c>
      <c r="R214" s="956">
        <f t="shared" si="143"/>
        <v>0</v>
      </c>
      <c r="S214" s="956">
        <f t="shared" si="143"/>
        <v>0</v>
      </c>
      <c r="T214" s="956">
        <f t="shared" si="143"/>
        <v>0</v>
      </c>
      <c r="U214" s="956">
        <f t="shared" si="143"/>
        <v>0</v>
      </c>
      <c r="V214" s="956">
        <f t="shared" si="143"/>
        <v>0</v>
      </c>
      <c r="W214" s="956">
        <f t="shared" si="143"/>
        <v>0</v>
      </c>
      <c r="X214" s="956">
        <f t="shared" si="143"/>
        <v>0</v>
      </c>
      <c r="Y214" s="956">
        <f t="shared" si="143"/>
        <v>0</v>
      </c>
      <c r="Z214" s="956">
        <f t="shared" si="143"/>
        <v>0</v>
      </c>
      <c r="AA214" s="957">
        <f t="shared" si="143"/>
        <v>0</v>
      </c>
      <c r="AB214" s="956">
        <f t="shared" si="143"/>
        <v>800</v>
      </c>
      <c r="AC214" s="956">
        <f t="shared" si="143"/>
        <v>783.33333333333337</v>
      </c>
      <c r="AD214" s="956">
        <f t="shared" si="143"/>
        <v>766.66666666666674</v>
      </c>
      <c r="AE214" s="956">
        <f t="shared" si="143"/>
        <v>750.00000000000011</v>
      </c>
      <c r="AF214" s="956">
        <f t="shared" si="143"/>
        <v>733.33333333333348</v>
      </c>
      <c r="AG214" s="956">
        <f t="shared" si="143"/>
        <v>716.66666666666686</v>
      </c>
      <c r="AH214" s="956">
        <f t="shared" si="143"/>
        <v>700.00000000000023</v>
      </c>
      <c r="AI214" s="956">
        <f t="shared" si="143"/>
        <v>683.3333333333336</v>
      </c>
      <c r="AJ214" s="956">
        <f t="shared" si="143"/>
        <v>666.66666666666697</v>
      </c>
      <c r="AK214" s="956">
        <f t="shared" si="143"/>
        <v>650.00000000000034</v>
      </c>
      <c r="AL214" s="956">
        <f t="shared" si="143"/>
        <v>633.33333333333371</v>
      </c>
      <c r="AM214" s="956">
        <f t="shared" si="143"/>
        <v>616.66666666666708</v>
      </c>
    </row>
    <row r="215" spans="2:39" s="300" customFormat="1">
      <c r="B215" s="964" t="s">
        <v>57</v>
      </c>
      <c r="C215" s="953"/>
      <c r="D215" s="956">
        <f t="shared" ref="D215:AA215" si="144">(-$D$206/$J$63/12)</f>
        <v>0</v>
      </c>
      <c r="E215" s="956">
        <f t="shared" si="144"/>
        <v>0</v>
      </c>
      <c r="F215" s="956">
        <f t="shared" si="144"/>
        <v>0</v>
      </c>
      <c r="G215" s="956">
        <f t="shared" si="144"/>
        <v>0</v>
      </c>
      <c r="H215" s="956">
        <f t="shared" si="144"/>
        <v>0</v>
      </c>
      <c r="I215" s="956">
        <f t="shared" si="144"/>
        <v>0</v>
      </c>
      <c r="J215" s="956">
        <f t="shared" si="144"/>
        <v>0</v>
      </c>
      <c r="K215" s="956">
        <f t="shared" si="144"/>
        <v>0</v>
      </c>
      <c r="L215" s="956">
        <f t="shared" si="144"/>
        <v>0</v>
      </c>
      <c r="M215" s="956">
        <f t="shared" si="144"/>
        <v>0</v>
      </c>
      <c r="N215" s="956">
        <f t="shared" si="144"/>
        <v>0</v>
      </c>
      <c r="O215" s="956">
        <f t="shared" si="144"/>
        <v>0</v>
      </c>
      <c r="P215" s="956">
        <f t="shared" si="144"/>
        <v>0</v>
      </c>
      <c r="Q215" s="956">
        <f t="shared" si="144"/>
        <v>0</v>
      </c>
      <c r="R215" s="956">
        <f t="shared" si="144"/>
        <v>0</v>
      </c>
      <c r="S215" s="956">
        <f t="shared" si="144"/>
        <v>0</v>
      </c>
      <c r="T215" s="956">
        <f t="shared" si="144"/>
        <v>0</v>
      </c>
      <c r="U215" s="956">
        <f t="shared" si="144"/>
        <v>0</v>
      </c>
      <c r="V215" s="956">
        <f t="shared" si="144"/>
        <v>0</v>
      </c>
      <c r="W215" s="956">
        <f t="shared" si="144"/>
        <v>0</v>
      </c>
      <c r="X215" s="956">
        <f t="shared" si="144"/>
        <v>0</v>
      </c>
      <c r="Y215" s="956">
        <f t="shared" si="144"/>
        <v>0</v>
      </c>
      <c r="Z215" s="956">
        <f t="shared" si="144"/>
        <v>0</v>
      </c>
      <c r="AA215" s="956">
        <f t="shared" si="144"/>
        <v>0</v>
      </c>
      <c r="AB215" s="956">
        <f>(-$I$64/$J$64/12)</f>
        <v>-16.666666666666668</v>
      </c>
      <c r="AC215" s="956">
        <f t="shared" ref="AC215:AM215" si="145">(-$I$64/$J$64/12)</f>
        <v>-16.666666666666668</v>
      </c>
      <c r="AD215" s="956">
        <f t="shared" si="145"/>
        <v>-16.666666666666668</v>
      </c>
      <c r="AE215" s="956">
        <f t="shared" si="145"/>
        <v>-16.666666666666668</v>
      </c>
      <c r="AF215" s="956">
        <f t="shared" si="145"/>
        <v>-16.666666666666668</v>
      </c>
      <c r="AG215" s="956">
        <f t="shared" si="145"/>
        <v>-16.666666666666668</v>
      </c>
      <c r="AH215" s="956">
        <f t="shared" si="145"/>
        <v>-16.666666666666668</v>
      </c>
      <c r="AI215" s="956">
        <f t="shared" si="145"/>
        <v>-16.666666666666668</v>
      </c>
      <c r="AJ215" s="956">
        <f t="shared" si="145"/>
        <v>-16.666666666666668</v>
      </c>
      <c r="AK215" s="956">
        <f t="shared" si="145"/>
        <v>-16.666666666666668</v>
      </c>
      <c r="AL215" s="956">
        <f t="shared" si="145"/>
        <v>-16.666666666666668</v>
      </c>
      <c r="AM215" s="956">
        <f t="shared" si="145"/>
        <v>-16.666666666666668</v>
      </c>
    </row>
    <row r="216" spans="2:39" s="300" customFormat="1" ht="16.2" thickBot="1">
      <c r="B216" s="965" t="s">
        <v>255</v>
      </c>
      <c r="C216" s="958"/>
      <c r="D216" s="956">
        <f>SUM(D214:D215)</f>
        <v>0</v>
      </c>
      <c r="E216" s="956">
        <f t="shared" ref="E216:AM216" si="146">SUM(E214:E215)</f>
        <v>0</v>
      </c>
      <c r="F216" s="956">
        <f t="shared" si="146"/>
        <v>0</v>
      </c>
      <c r="G216" s="956">
        <f t="shared" si="146"/>
        <v>0</v>
      </c>
      <c r="H216" s="956">
        <f t="shared" si="146"/>
        <v>0</v>
      </c>
      <c r="I216" s="956">
        <f t="shared" si="146"/>
        <v>0</v>
      </c>
      <c r="J216" s="956">
        <f t="shared" si="146"/>
        <v>0</v>
      </c>
      <c r="K216" s="956">
        <f t="shared" si="146"/>
        <v>0</v>
      </c>
      <c r="L216" s="956">
        <f t="shared" si="146"/>
        <v>0</v>
      </c>
      <c r="M216" s="956">
        <f t="shared" si="146"/>
        <v>0</v>
      </c>
      <c r="N216" s="956">
        <f t="shared" si="146"/>
        <v>0</v>
      </c>
      <c r="O216" s="957">
        <f t="shared" si="146"/>
        <v>0</v>
      </c>
      <c r="P216" s="956">
        <f t="shared" si="146"/>
        <v>0</v>
      </c>
      <c r="Q216" s="956">
        <f t="shared" si="146"/>
        <v>0</v>
      </c>
      <c r="R216" s="956">
        <f t="shared" si="146"/>
        <v>0</v>
      </c>
      <c r="S216" s="956">
        <f t="shared" si="146"/>
        <v>0</v>
      </c>
      <c r="T216" s="956">
        <f t="shared" si="146"/>
        <v>0</v>
      </c>
      <c r="U216" s="956">
        <f t="shared" si="146"/>
        <v>0</v>
      </c>
      <c r="V216" s="956">
        <f t="shared" si="146"/>
        <v>0</v>
      </c>
      <c r="W216" s="956">
        <f t="shared" si="146"/>
        <v>0</v>
      </c>
      <c r="X216" s="956">
        <f t="shared" si="146"/>
        <v>0</v>
      </c>
      <c r="Y216" s="956">
        <f t="shared" si="146"/>
        <v>0</v>
      </c>
      <c r="Z216" s="956">
        <f t="shared" si="146"/>
        <v>0</v>
      </c>
      <c r="AA216" s="957">
        <f t="shared" si="146"/>
        <v>0</v>
      </c>
      <c r="AB216" s="956">
        <f t="shared" si="146"/>
        <v>783.33333333333337</v>
      </c>
      <c r="AC216" s="956">
        <f t="shared" si="146"/>
        <v>766.66666666666674</v>
      </c>
      <c r="AD216" s="956">
        <f t="shared" si="146"/>
        <v>750.00000000000011</v>
      </c>
      <c r="AE216" s="956">
        <f t="shared" si="146"/>
        <v>733.33333333333348</v>
      </c>
      <c r="AF216" s="956">
        <f t="shared" si="146"/>
        <v>716.66666666666686</v>
      </c>
      <c r="AG216" s="956">
        <f t="shared" si="146"/>
        <v>700.00000000000023</v>
      </c>
      <c r="AH216" s="956">
        <f t="shared" si="146"/>
        <v>683.3333333333336</v>
      </c>
      <c r="AI216" s="956">
        <f t="shared" si="146"/>
        <v>666.66666666666697</v>
      </c>
      <c r="AJ216" s="956">
        <f t="shared" si="146"/>
        <v>650.00000000000034</v>
      </c>
      <c r="AK216" s="956">
        <f t="shared" si="146"/>
        <v>633.33333333333371</v>
      </c>
      <c r="AL216" s="956">
        <f t="shared" si="146"/>
        <v>616.66666666666708</v>
      </c>
      <c r="AM216" s="956">
        <f t="shared" si="146"/>
        <v>600.00000000000045</v>
      </c>
    </row>
    <row r="217" spans="2:39" s="300" customFormat="1" ht="16.8" thickTop="1" thickBot="1">
      <c r="B217" s="305"/>
      <c r="C217" s="305"/>
      <c r="D217" s="323"/>
      <c r="E217" s="323"/>
      <c r="F217" s="323"/>
      <c r="G217" s="323"/>
      <c r="H217" s="323"/>
      <c r="I217" s="323"/>
      <c r="J217" s="323"/>
      <c r="K217" s="323"/>
      <c r="L217" s="323"/>
      <c r="M217" s="323"/>
      <c r="N217" s="323"/>
      <c r="O217" s="599"/>
      <c r="P217" s="323"/>
      <c r="Q217" s="323"/>
      <c r="R217" s="323"/>
      <c r="S217" s="323"/>
      <c r="T217" s="323"/>
      <c r="U217" s="323"/>
      <c r="V217" s="323"/>
      <c r="W217" s="323"/>
      <c r="X217" s="323"/>
      <c r="Y217" s="323"/>
      <c r="Z217" s="323"/>
      <c r="AA217" s="599"/>
      <c r="AB217" s="323"/>
      <c r="AC217" s="323"/>
      <c r="AD217" s="323"/>
      <c r="AE217" s="323"/>
      <c r="AF217" s="323"/>
      <c r="AG217" s="323"/>
      <c r="AH217" s="323"/>
      <c r="AI217" s="323"/>
      <c r="AJ217" s="323"/>
      <c r="AK217" s="323"/>
      <c r="AL217" s="323"/>
      <c r="AM217" s="323"/>
    </row>
    <row r="218" spans="2:39" s="300" customFormat="1" ht="16.2" thickTop="1">
      <c r="B218" s="963" t="str">
        <f>B65</f>
        <v>Diagnostic Equipment</v>
      </c>
      <c r="C218" s="593"/>
      <c r="D218" s="323"/>
      <c r="E218" s="323"/>
      <c r="F218" s="323"/>
      <c r="G218" s="323"/>
      <c r="H218" s="323"/>
      <c r="I218" s="323"/>
      <c r="J218" s="323"/>
      <c r="K218" s="323"/>
      <c r="L218" s="323"/>
      <c r="M218" s="323"/>
      <c r="N218" s="323"/>
      <c r="O218" s="599"/>
      <c r="P218" s="323"/>
      <c r="Q218" s="323"/>
      <c r="R218" s="323"/>
      <c r="S218" s="323"/>
      <c r="T218" s="323"/>
      <c r="U218" s="323"/>
      <c r="V218" s="323"/>
      <c r="W218" s="323"/>
      <c r="X218" s="323"/>
      <c r="Y218" s="323"/>
      <c r="Z218" s="323"/>
      <c r="AA218" s="599"/>
      <c r="AB218" s="323"/>
      <c r="AC218" s="323"/>
      <c r="AD218" s="323"/>
      <c r="AE218" s="323"/>
      <c r="AF218" s="323"/>
      <c r="AG218" s="323"/>
      <c r="AH218" s="323"/>
      <c r="AI218" s="323"/>
      <c r="AJ218" s="323"/>
      <c r="AK218" s="323"/>
      <c r="AL218" s="323"/>
      <c r="AM218" s="323"/>
    </row>
    <row r="219" spans="2:39" s="300" customFormat="1">
      <c r="B219" s="964" t="s">
        <v>112</v>
      </c>
      <c r="C219" s="953"/>
      <c r="D219" s="953">
        <v>0</v>
      </c>
      <c r="E219" s="956">
        <f>D223</f>
        <v>0</v>
      </c>
      <c r="F219" s="956">
        <f t="shared" ref="F219" si="147">E223</f>
        <v>0</v>
      </c>
      <c r="G219" s="956">
        <f t="shared" ref="G219" si="148">F223</f>
        <v>0</v>
      </c>
      <c r="H219" s="956">
        <f t="shared" ref="H219" si="149">G223</f>
        <v>0</v>
      </c>
      <c r="I219" s="956">
        <f t="shared" ref="I219" si="150">H223</f>
        <v>0</v>
      </c>
      <c r="J219" s="956">
        <f>I223</f>
        <v>0</v>
      </c>
      <c r="K219" s="956">
        <f t="shared" ref="K219" si="151">J223</f>
        <v>0</v>
      </c>
      <c r="L219" s="956">
        <f t="shared" ref="L219" si="152">K223</f>
        <v>0</v>
      </c>
      <c r="M219" s="956">
        <f t="shared" ref="M219" si="153">L223</f>
        <v>0</v>
      </c>
      <c r="N219" s="956">
        <f t="shared" ref="N219" si="154">M223</f>
        <v>0</v>
      </c>
      <c r="O219" s="957">
        <f t="shared" ref="O219" si="155">N223</f>
        <v>0</v>
      </c>
      <c r="P219" s="956">
        <f t="shared" ref="P219" si="156">O223</f>
        <v>0</v>
      </c>
      <c r="Q219" s="956">
        <f t="shared" ref="Q219" si="157">P223</f>
        <v>0</v>
      </c>
      <c r="R219" s="956">
        <f t="shared" ref="R219" si="158">Q223</f>
        <v>0</v>
      </c>
      <c r="S219" s="956">
        <f t="shared" ref="S219" si="159">R223</f>
        <v>0</v>
      </c>
      <c r="T219" s="956">
        <f t="shared" ref="T219" si="160">S223</f>
        <v>0</v>
      </c>
      <c r="U219" s="956">
        <f t="shared" ref="U219" si="161">T223</f>
        <v>0</v>
      </c>
      <c r="V219" s="956">
        <f t="shared" ref="V219" si="162">U223</f>
        <v>0</v>
      </c>
      <c r="W219" s="956">
        <f t="shared" ref="W219" si="163">V223</f>
        <v>0</v>
      </c>
      <c r="X219" s="956">
        <f t="shared" ref="X219" si="164">W223</f>
        <v>0</v>
      </c>
      <c r="Y219" s="956">
        <f t="shared" ref="Y219" si="165">X223</f>
        <v>0</v>
      </c>
      <c r="Z219" s="956">
        <f t="shared" ref="Z219" si="166">Y223</f>
        <v>0</v>
      </c>
      <c r="AA219" s="957">
        <f t="shared" ref="AA219" si="167">Z223</f>
        <v>0</v>
      </c>
      <c r="AB219" s="956">
        <f t="shared" ref="AB219" si="168">AA223</f>
        <v>0</v>
      </c>
      <c r="AC219" s="956">
        <f t="shared" ref="AC219" si="169">AB223</f>
        <v>1679.7619047619048</v>
      </c>
      <c r="AD219" s="956">
        <f t="shared" ref="AD219" si="170">AC223</f>
        <v>1659.5238095238096</v>
      </c>
      <c r="AE219" s="956">
        <f t="shared" ref="AE219" si="171">AD223</f>
        <v>1639.2857142857144</v>
      </c>
      <c r="AF219" s="956">
        <f t="shared" ref="AF219" si="172">AE223</f>
        <v>1619.0476190476193</v>
      </c>
      <c r="AG219" s="956">
        <f t="shared" ref="AG219" si="173">AF223</f>
        <v>1598.8095238095241</v>
      </c>
      <c r="AH219" s="956">
        <f t="shared" ref="AH219" si="174">AG223</f>
        <v>1578.5714285714289</v>
      </c>
      <c r="AI219" s="956">
        <f t="shared" ref="AI219" si="175">AH223</f>
        <v>1558.3333333333337</v>
      </c>
      <c r="AJ219" s="956">
        <f t="shared" ref="AJ219" si="176">AI223</f>
        <v>1538.0952380952385</v>
      </c>
      <c r="AK219" s="956">
        <f t="shared" ref="AK219" si="177">AJ223</f>
        <v>1517.8571428571433</v>
      </c>
      <c r="AL219" s="956">
        <f t="shared" ref="AL219" si="178">AK223</f>
        <v>1497.6190476190482</v>
      </c>
      <c r="AM219" s="956">
        <f t="shared" ref="AM219" si="179">AL223</f>
        <v>1477.380952380953</v>
      </c>
    </row>
    <row r="220" spans="2:39" s="300" customFormat="1">
      <c r="B220" s="964" t="s">
        <v>265</v>
      </c>
      <c r="C220" s="953"/>
      <c r="D220" s="956">
        <f>G77</f>
        <v>0</v>
      </c>
      <c r="E220" s="956"/>
      <c r="F220" s="956"/>
      <c r="G220" s="956"/>
      <c r="H220" s="956"/>
      <c r="I220" s="956"/>
      <c r="J220" s="956"/>
      <c r="K220" s="956"/>
      <c r="L220" s="956"/>
      <c r="M220" s="956"/>
      <c r="N220" s="956"/>
      <c r="O220" s="957"/>
      <c r="P220" s="956">
        <f>H77</f>
        <v>0</v>
      </c>
      <c r="Q220" s="956"/>
      <c r="R220" s="956"/>
      <c r="S220" s="956"/>
      <c r="T220" s="956"/>
      <c r="U220" s="956"/>
      <c r="V220" s="956"/>
      <c r="W220" s="956"/>
      <c r="X220" s="956"/>
      <c r="Y220" s="956"/>
      <c r="Z220" s="956"/>
      <c r="AA220" s="957"/>
      <c r="AB220" s="956">
        <f>I65</f>
        <v>1700</v>
      </c>
      <c r="AC220" s="956"/>
      <c r="AD220" s="956"/>
      <c r="AE220" s="956"/>
      <c r="AF220" s="956"/>
      <c r="AG220" s="956"/>
      <c r="AH220" s="956"/>
      <c r="AI220" s="956"/>
      <c r="AJ220" s="956"/>
      <c r="AK220" s="956"/>
      <c r="AL220" s="956"/>
      <c r="AM220" s="956"/>
    </row>
    <row r="221" spans="2:39" s="300" customFormat="1">
      <c r="B221" s="964" t="s">
        <v>110</v>
      </c>
      <c r="C221" s="953"/>
      <c r="D221" s="956">
        <f>SUM(D219:D220)</f>
        <v>0</v>
      </c>
      <c r="E221" s="956">
        <f t="shared" ref="E221:AM221" si="180">SUM(E219:E220)</f>
        <v>0</v>
      </c>
      <c r="F221" s="956">
        <f t="shared" si="180"/>
        <v>0</v>
      </c>
      <c r="G221" s="956">
        <f t="shared" si="180"/>
        <v>0</v>
      </c>
      <c r="H221" s="956">
        <f t="shared" si="180"/>
        <v>0</v>
      </c>
      <c r="I221" s="956">
        <f t="shared" si="180"/>
        <v>0</v>
      </c>
      <c r="J221" s="956">
        <f t="shared" si="180"/>
        <v>0</v>
      </c>
      <c r="K221" s="956">
        <f t="shared" si="180"/>
        <v>0</v>
      </c>
      <c r="L221" s="956">
        <f t="shared" si="180"/>
        <v>0</v>
      </c>
      <c r="M221" s="956">
        <f t="shared" si="180"/>
        <v>0</v>
      </c>
      <c r="N221" s="956">
        <f t="shared" si="180"/>
        <v>0</v>
      </c>
      <c r="O221" s="957">
        <f t="shared" si="180"/>
        <v>0</v>
      </c>
      <c r="P221" s="956">
        <f t="shared" si="180"/>
        <v>0</v>
      </c>
      <c r="Q221" s="956">
        <f t="shared" si="180"/>
        <v>0</v>
      </c>
      <c r="R221" s="956">
        <f t="shared" si="180"/>
        <v>0</v>
      </c>
      <c r="S221" s="956">
        <f t="shared" si="180"/>
        <v>0</v>
      </c>
      <c r="T221" s="956">
        <f t="shared" si="180"/>
        <v>0</v>
      </c>
      <c r="U221" s="956">
        <f t="shared" si="180"/>
        <v>0</v>
      </c>
      <c r="V221" s="956">
        <f t="shared" si="180"/>
        <v>0</v>
      </c>
      <c r="W221" s="956">
        <f t="shared" si="180"/>
        <v>0</v>
      </c>
      <c r="X221" s="956">
        <f t="shared" si="180"/>
        <v>0</v>
      </c>
      <c r="Y221" s="956">
        <f t="shared" si="180"/>
        <v>0</v>
      </c>
      <c r="Z221" s="956">
        <f t="shared" si="180"/>
        <v>0</v>
      </c>
      <c r="AA221" s="957">
        <f t="shared" si="180"/>
        <v>0</v>
      </c>
      <c r="AB221" s="956">
        <f t="shared" si="180"/>
        <v>1700</v>
      </c>
      <c r="AC221" s="956">
        <f t="shared" si="180"/>
        <v>1679.7619047619048</v>
      </c>
      <c r="AD221" s="956">
        <f t="shared" si="180"/>
        <v>1659.5238095238096</v>
      </c>
      <c r="AE221" s="956">
        <f t="shared" si="180"/>
        <v>1639.2857142857144</v>
      </c>
      <c r="AF221" s="956">
        <f t="shared" si="180"/>
        <v>1619.0476190476193</v>
      </c>
      <c r="AG221" s="956">
        <f t="shared" si="180"/>
        <v>1598.8095238095241</v>
      </c>
      <c r="AH221" s="956">
        <f t="shared" si="180"/>
        <v>1578.5714285714289</v>
      </c>
      <c r="AI221" s="956">
        <f t="shared" si="180"/>
        <v>1558.3333333333337</v>
      </c>
      <c r="AJ221" s="956">
        <f t="shared" si="180"/>
        <v>1538.0952380952385</v>
      </c>
      <c r="AK221" s="956">
        <f t="shared" si="180"/>
        <v>1517.8571428571433</v>
      </c>
      <c r="AL221" s="956">
        <f t="shared" si="180"/>
        <v>1497.6190476190482</v>
      </c>
      <c r="AM221" s="956">
        <f t="shared" si="180"/>
        <v>1477.380952380953</v>
      </c>
    </row>
    <row r="222" spans="2:39" s="300" customFormat="1">
      <c r="B222" s="964" t="s">
        <v>57</v>
      </c>
      <c r="C222" s="953"/>
      <c r="D222" s="956">
        <f t="shared" ref="D222:AA222" si="181">(-$D$206/$J$63/12)</f>
        <v>0</v>
      </c>
      <c r="E222" s="956">
        <f t="shared" si="181"/>
        <v>0</v>
      </c>
      <c r="F222" s="956">
        <f t="shared" si="181"/>
        <v>0</v>
      </c>
      <c r="G222" s="956">
        <f t="shared" si="181"/>
        <v>0</v>
      </c>
      <c r="H222" s="956">
        <f t="shared" si="181"/>
        <v>0</v>
      </c>
      <c r="I222" s="956">
        <f t="shared" si="181"/>
        <v>0</v>
      </c>
      <c r="J222" s="956">
        <f t="shared" si="181"/>
        <v>0</v>
      </c>
      <c r="K222" s="956">
        <f t="shared" si="181"/>
        <v>0</v>
      </c>
      <c r="L222" s="956">
        <f t="shared" si="181"/>
        <v>0</v>
      </c>
      <c r="M222" s="956">
        <f t="shared" si="181"/>
        <v>0</v>
      </c>
      <c r="N222" s="956">
        <f t="shared" si="181"/>
        <v>0</v>
      </c>
      <c r="O222" s="956">
        <f t="shared" si="181"/>
        <v>0</v>
      </c>
      <c r="P222" s="956">
        <f t="shared" si="181"/>
        <v>0</v>
      </c>
      <c r="Q222" s="956">
        <f t="shared" si="181"/>
        <v>0</v>
      </c>
      <c r="R222" s="956">
        <f t="shared" si="181"/>
        <v>0</v>
      </c>
      <c r="S222" s="956">
        <f t="shared" si="181"/>
        <v>0</v>
      </c>
      <c r="T222" s="956">
        <f t="shared" si="181"/>
        <v>0</v>
      </c>
      <c r="U222" s="956">
        <f t="shared" si="181"/>
        <v>0</v>
      </c>
      <c r="V222" s="956">
        <f t="shared" si="181"/>
        <v>0</v>
      </c>
      <c r="W222" s="956">
        <f t="shared" si="181"/>
        <v>0</v>
      </c>
      <c r="X222" s="956">
        <f t="shared" si="181"/>
        <v>0</v>
      </c>
      <c r="Y222" s="956">
        <f t="shared" si="181"/>
        <v>0</v>
      </c>
      <c r="Z222" s="956">
        <f t="shared" si="181"/>
        <v>0</v>
      </c>
      <c r="AA222" s="956">
        <f t="shared" si="181"/>
        <v>0</v>
      </c>
      <c r="AB222" s="956">
        <f>(-$I$65/$J$65/12)</f>
        <v>-20.238095238095237</v>
      </c>
      <c r="AC222" s="956">
        <f t="shared" ref="AC222:AM222" si="182">(-$I$65/$J$65/12)</f>
        <v>-20.238095238095237</v>
      </c>
      <c r="AD222" s="956">
        <f t="shared" si="182"/>
        <v>-20.238095238095237</v>
      </c>
      <c r="AE222" s="956">
        <f t="shared" si="182"/>
        <v>-20.238095238095237</v>
      </c>
      <c r="AF222" s="956">
        <f t="shared" si="182"/>
        <v>-20.238095238095237</v>
      </c>
      <c r="AG222" s="956">
        <f t="shared" si="182"/>
        <v>-20.238095238095237</v>
      </c>
      <c r="AH222" s="956">
        <f t="shared" si="182"/>
        <v>-20.238095238095237</v>
      </c>
      <c r="AI222" s="956">
        <f t="shared" si="182"/>
        <v>-20.238095238095237</v>
      </c>
      <c r="AJ222" s="956">
        <f t="shared" si="182"/>
        <v>-20.238095238095237</v>
      </c>
      <c r="AK222" s="956">
        <f t="shared" si="182"/>
        <v>-20.238095238095237</v>
      </c>
      <c r="AL222" s="956">
        <f t="shared" si="182"/>
        <v>-20.238095238095237</v>
      </c>
      <c r="AM222" s="956">
        <f t="shared" si="182"/>
        <v>-20.238095238095237</v>
      </c>
    </row>
    <row r="223" spans="2:39" s="300" customFormat="1" ht="16.2" thickBot="1">
      <c r="B223" s="965" t="s">
        <v>255</v>
      </c>
      <c r="C223" s="958"/>
      <c r="D223" s="956">
        <f>SUM(D221:D222)</f>
        <v>0</v>
      </c>
      <c r="E223" s="956">
        <f t="shared" ref="E223:AM223" si="183">SUM(E221:E222)</f>
        <v>0</v>
      </c>
      <c r="F223" s="956">
        <f t="shared" si="183"/>
        <v>0</v>
      </c>
      <c r="G223" s="956">
        <f t="shared" si="183"/>
        <v>0</v>
      </c>
      <c r="H223" s="956">
        <f t="shared" si="183"/>
        <v>0</v>
      </c>
      <c r="I223" s="956">
        <f t="shared" si="183"/>
        <v>0</v>
      </c>
      <c r="J223" s="956">
        <f t="shared" si="183"/>
        <v>0</v>
      </c>
      <c r="K223" s="956">
        <f t="shared" si="183"/>
        <v>0</v>
      </c>
      <c r="L223" s="956">
        <f t="shared" si="183"/>
        <v>0</v>
      </c>
      <c r="M223" s="956">
        <f t="shared" si="183"/>
        <v>0</v>
      </c>
      <c r="N223" s="956">
        <f t="shared" si="183"/>
        <v>0</v>
      </c>
      <c r="O223" s="957">
        <f t="shared" si="183"/>
        <v>0</v>
      </c>
      <c r="P223" s="956">
        <f t="shared" si="183"/>
        <v>0</v>
      </c>
      <c r="Q223" s="956">
        <f t="shared" si="183"/>
        <v>0</v>
      </c>
      <c r="R223" s="956">
        <f t="shared" si="183"/>
        <v>0</v>
      </c>
      <c r="S223" s="956">
        <f t="shared" si="183"/>
        <v>0</v>
      </c>
      <c r="T223" s="956">
        <f t="shared" si="183"/>
        <v>0</v>
      </c>
      <c r="U223" s="956">
        <f t="shared" si="183"/>
        <v>0</v>
      </c>
      <c r="V223" s="956">
        <f t="shared" si="183"/>
        <v>0</v>
      </c>
      <c r="W223" s="956">
        <f t="shared" si="183"/>
        <v>0</v>
      </c>
      <c r="X223" s="956">
        <f t="shared" si="183"/>
        <v>0</v>
      </c>
      <c r="Y223" s="956">
        <f t="shared" si="183"/>
        <v>0</v>
      </c>
      <c r="Z223" s="956">
        <f t="shared" si="183"/>
        <v>0</v>
      </c>
      <c r="AA223" s="957">
        <f t="shared" si="183"/>
        <v>0</v>
      </c>
      <c r="AB223" s="956">
        <f t="shared" si="183"/>
        <v>1679.7619047619048</v>
      </c>
      <c r="AC223" s="956">
        <f t="shared" si="183"/>
        <v>1659.5238095238096</v>
      </c>
      <c r="AD223" s="956">
        <f t="shared" si="183"/>
        <v>1639.2857142857144</v>
      </c>
      <c r="AE223" s="956">
        <f t="shared" si="183"/>
        <v>1619.0476190476193</v>
      </c>
      <c r="AF223" s="956">
        <f t="shared" si="183"/>
        <v>1598.8095238095241</v>
      </c>
      <c r="AG223" s="956">
        <f t="shared" si="183"/>
        <v>1578.5714285714289</v>
      </c>
      <c r="AH223" s="956">
        <f t="shared" si="183"/>
        <v>1558.3333333333337</v>
      </c>
      <c r="AI223" s="956">
        <f t="shared" si="183"/>
        <v>1538.0952380952385</v>
      </c>
      <c r="AJ223" s="956">
        <f t="shared" si="183"/>
        <v>1517.8571428571433</v>
      </c>
      <c r="AK223" s="956">
        <f t="shared" si="183"/>
        <v>1497.6190476190482</v>
      </c>
      <c r="AL223" s="956">
        <f t="shared" si="183"/>
        <v>1477.380952380953</v>
      </c>
      <c r="AM223" s="956">
        <f t="shared" si="183"/>
        <v>1457.1428571428578</v>
      </c>
    </row>
    <row r="224" spans="2:39" s="300" customFormat="1" ht="16.8" thickTop="1" thickBot="1">
      <c r="B224" s="305"/>
      <c r="C224" s="958"/>
      <c r="D224" s="956"/>
      <c r="E224" s="956"/>
      <c r="F224" s="956"/>
      <c r="G224" s="956"/>
      <c r="H224" s="956"/>
      <c r="I224" s="956"/>
      <c r="J224" s="956"/>
      <c r="K224" s="956"/>
      <c r="L224" s="956"/>
      <c r="M224" s="956"/>
      <c r="N224" s="956"/>
      <c r="O224" s="957"/>
      <c r="P224" s="956"/>
      <c r="Q224" s="956"/>
      <c r="R224" s="956"/>
      <c r="S224" s="956"/>
      <c r="T224" s="956"/>
      <c r="U224" s="956"/>
      <c r="V224" s="956"/>
      <c r="W224" s="956"/>
      <c r="X224" s="956"/>
      <c r="Y224" s="956"/>
      <c r="Z224" s="956"/>
      <c r="AA224" s="957"/>
      <c r="AB224" s="956"/>
      <c r="AC224" s="956"/>
      <c r="AD224" s="956"/>
      <c r="AE224" s="956"/>
      <c r="AF224" s="956"/>
      <c r="AG224" s="956"/>
      <c r="AH224" s="956"/>
      <c r="AI224" s="956"/>
      <c r="AJ224" s="956"/>
      <c r="AK224" s="956"/>
      <c r="AL224" s="956"/>
      <c r="AM224" s="956"/>
    </row>
    <row r="225" spans="2:39" s="300" customFormat="1" ht="16.2" thickTop="1">
      <c r="B225" s="963" t="str">
        <f>B66</f>
        <v>Car Lift Ramp</v>
      </c>
      <c r="C225" s="593"/>
      <c r="D225" s="323"/>
      <c r="E225" s="323"/>
      <c r="F225" s="323"/>
      <c r="G225" s="323"/>
      <c r="H225" s="323"/>
      <c r="I225" s="323"/>
      <c r="J225" s="323"/>
      <c r="K225" s="323"/>
      <c r="L225" s="323"/>
      <c r="M225" s="323"/>
      <c r="N225" s="323"/>
      <c r="O225" s="599"/>
      <c r="P225" s="323"/>
      <c r="Q225" s="323"/>
      <c r="R225" s="323"/>
      <c r="S225" s="323"/>
      <c r="T225" s="323"/>
      <c r="U225" s="323"/>
      <c r="V225" s="323"/>
      <c r="W225" s="323"/>
      <c r="X225" s="323"/>
      <c r="Y225" s="323"/>
      <c r="Z225" s="323"/>
      <c r="AA225" s="599"/>
      <c r="AB225" s="323"/>
      <c r="AC225" s="323"/>
      <c r="AD225" s="323"/>
      <c r="AE225" s="323"/>
      <c r="AF225" s="323"/>
      <c r="AG225" s="323"/>
      <c r="AH225" s="323"/>
      <c r="AI225" s="323"/>
      <c r="AJ225" s="323"/>
      <c r="AK225" s="323"/>
      <c r="AL225" s="323"/>
      <c r="AM225" s="323"/>
    </row>
    <row r="226" spans="2:39" s="300" customFormat="1">
      <c r="B226" s="964" t="s">
        <v>112</v>
      </c>
      <c r="C226" s="953"/>
      <c r="D226" s="953">
        <v>0</v>
      </c>
      <c r="E226" s="956">
        <f>D230</f>
        <v>0</v>
      </c>
      <c r="F226" s="956">
        <f t="shared" ref="F226" si="184">E230</f>
        <v>0</v>
      </c>
      <c r="G226" s="956">
        <f t="shared" ref="G226" si="185">F230</f>
        <v>0</v>
      </c>
      <c r="H226" s="956">
        <f t="shared" ref="H226" si="186">G230</f>
        <v>0</v>
      </c>
      <c r="I226" s="956">
        <f t="shared" ref="I226" si="187">H230</f>
        <v>0</v>
      </c>
      <c r="J226" s="956">
        <f>I230</f>
        <v>0</v>
      </c>
      <c r="K226" s="956">
        <f t="shared" ref="K226" si="188">J230</f>
        <v>0</v>
      </c>
      <c r="L226" s="956">
        <f t="shared" ref="L226" si="189">K230</f>
        <v>0</v>
      </c>
      <c r="M226" s="956">
        <f t="shared" ref="M226" si="190">L230</f>
        <v>0</v>
      </c>
      <c r="N226" s="956">
        <f t="shared" ref="N226" si="191">M230</f>
        <v>0</v>
      </c>
      <c r="O226" s="957">
        <f t="shared" ref="O226" si="192">N230</f>
        <v>0</v>
      </c>
      <c r="P226" s="956">
        <f t="shared" ref="P226" si="193">O230</f>
        <v>0</v>
      </c>
      <c r="Q226" s="956">
        <f t="shared" ref="Q226" si="194">P230</f>
        <v>0</v>
      </c>
      <c r="R226" s="956">
        <f t="shared" ref="R226" si="195">Q230</f>
        <v>0</v>
      </c>
      <c r="S226" s="956">
        <f t="shared" ref="S226" si="196">R230</f>
        <v>0</v>
      </c>
      <c r="T226" s="956">
        <f t="shared" ref="T226" si="197">S230</f>
        <v>0</v>
      </c>
      <c r="U226" s="956">
        <f t="shared" ref="U226" si="198">T230</f>
        <v>0</v>
      </c>
      <c r="V226" s="956">
        <f t="shared" ref="V226" si="199">U230</f>
        <v>0</v>
      </c>
      <c r="W226" s="956">
        <f t="shared" ref="W226" si="200">V230</f>
        <v>0</v>
      </c>
      <c r="X226" s="956">
        <f t="shared" ref="X226" si="201">W230</f>
        <v>0</v>
      </c>
      <c r="Y226" s="956">
        <f t="shared" ref="Y226" si="202">X230</f>
        <v>0</v>
      </c>
      <c r="Z226" s="956">
        <f t="shared" ref="Z226" si="203">Y230</f>
        <v>0</v>
      </c>
      <c r="AA226" s="957">
        <f t="shared" ref="AA226" si="204">Z230</f>
        <v>0</v>
      </c>
      <c r="AB226" s="956">
        <f t="shared" ref="AB226" si="205">AA230</f>
        <v>0</v>
      </c>
      <c r="AC226" s="956">
        <f t="shared" ref="AC226" si="206">AB230</f>
        <v>11800</v>
      </c>
      <c r="AD226" s="956">
        <f t="shared" ref="AD226" si="207">AC230</f>
        <v>11600</v>
      </c>
      <c r="AE226" s="956">
        <f t="shared" ref="AE226" si="208">AD230</f>
        <v>11400</v>
      </c>
      <c r="AF226" s="956">
        <f t="shared" ref="AF226" si="209">AE230</f>
        <v>11200</v>
      </c>
      <c r="AG226" s="956">
        <f t="shared" ref="AG226" si="210">AF230</f>
        <v>11000</v>
      </c>
      <c r="AH226" s="956">
        <f t="shared" ref="AH226" si="211">AG230</f>
        <v>10800</v>
      </c>
      <c r="AI226" s="956">
        <f t="shared" ref="AI226" si="212">AH230</f>
        <v>10600</v>
      </c>
      <c r="AJ226" s="956">
        <f t="shared" ref="AJ226" si="213">AI230</f>
        <v>10400</v>
      </c>
      <c r="AK226" s="956">
        <f t="shared" ref="AK226" si="214">AJ230</f>
        <v>10200</v>
      </c>
      <c r="AL226" s="956">
        <f t="shared" ref="AL226" si="215">AK230</f>
        <v>10000</v>
      </c>
      <c r="AM226" s="956">
        <f t="shared" ref="AM226" si="216">AL230</f>
        <v>9800</v>
      </c>
    </row>
    <row r="227" spans="2:39" s="300" customFormat="1">
      <c r="B227" s="964" t="s">
        <v>265</v>
      </c>
      <c r="C227" s="953"/>
      <c r="D227" s="956">
        <f>G83</f>
        <v>0</v>
      </c>
      <c r="E227" s="956"/>
      <c r="F227" s="956"/>
      <c r="G227" s="956"/>
      <c r="H227" s="956"/>
      <c r="I227" s="956"/>
      <c r="J227" s="956"/>
      <c r="K227" s="956"/>
      <c r="L227" s="956"/>
      <c r="M227" s="956"/>
      <c r="N227" s="956"/>
      <c r="O227" s="957"/>
      <c r="P227" s="956">
        <f>H83</f>
        <v>0</v>
      </c>
      <c r="Q227" s="956"/>
      <c r="R227" s="956"/>
      <c r="S227" s="956"/>
      <c r="T227" s="956"/>
      <c r="U227" s="956"/>
      <c r="V227" s="956"/>
      <c r="W227" s="956"/>
      <c r="X227" s="956"/>
      <c r="Y227" s="956"/>
      <c r="Z227" s="956"/>
      <c r="AA227" s="957"/>
      <c r="AB227" s="956">
        <f>I66</f>
        <v>12000</v>
      </c>
      <c r="AC227" s="956"/>
      <c r="AD227" s="956"/>
      <c r="AE227" s="956"/>
      <c r="AF227" s="956"/>
      <c r="AG227" s="956"/>
      <c r="AH227" s="956"/>
      <c r="AI227" s="956"/>
      <c r="AJ227" s="956"/>
      <c r="AK227" s="956"/>
      <c r="AL227" s="956"/>
      <c r="AM227" s="956"/>
    </row>
    <row r="228" spans="2:39" s="300" customFormat="1">
      <c r="B228" s="964" t="s">
        <v>110</v>
      </c>
      <c r="C228" s="953"/>
      <c r="D228" s="956">
        <f>SUM(D226:D227)</f>
        <v>0</v>
      </c>
      <c r="E228" s="956">
        <f t="shared" ref="E228:AM228" si="217">SUM(E226:E227)</f>
        <v>0</v>
      </c>
      <c r="F228" s="956">
        <f t="shared" si="217"/>
        <v>0</v>
      </c>
      <c r="G228" s="956">
        <f t="shared" si="217"/>
        <v>0</v>
      </c>
      <c r="H228" s="956">
        <f t="shared" si="217"/>
        <v>0</v>
      </c>
      <c r="I228" s="956">
        <f t="shared" si="217"/>
        <v>0</v>
      </c>
      <c r="J228" s="956">
        <f t="shared" si="217"/>
        <v>0</v>
      </c>
      <c r="K228" s="956">
        <f t="shared" si="217"/>
        <v>0</v>
      </c>
      <c r="L228" s="956">
        <f t="shared" si="217"/>
        <v>0</v>
      </c>
      <c r="M228" s="956">
        <f t="shared" si="217"/>
        <v>0</v>
      </c>
      <c r="N228" s="956">
        <f t="shared" si="217"/>
        <v>0</v>
      </c>
      <c r="O228" s="957">
        <f t="shared" si="217"/>
        <v>0</v>
      </c>
      <c r="P228" s="956">
        <f t="shared" si="217"/>
        <v>0</v>
      </c>
      <c r="Q228" s="956">
        <f t="shared" si="217"/>
        <v>0</v>
      </c>
      <c r="R228" s="956">
        <f t="shared" si="217"/>
        <v>0</v>
      </c>
      <c r="S228" s="956">
        <f t="shared" si="217"/>
        <v>0</v>
      </c>
      <c r="T228" s="956">
        <f t="shared" si="217"/>
        <v>0</v>
      </c>
      <c r="U228" s="956">
        <f t="shared" si="217"/>
        <v>0</v>
      </c>
      <c r="V228" s="956">
        <f t="shared" si="217"/>
        <v>0</v>
      </c>
      <c r="W228" s="956">
        <f t="shared" si="217"/>
        <v>0</v>
      </c>
      <c r="X228" s="956">
        <f t="shared" si="217"/>
        <v>0</v>
      </c>
      <c r="Y228" s="956">
        <f t="shared" si="217"/>
        <v>0</v>
      </c>
      <c r="Z228" s="956">
        <f t="shared" si="217"/>
        <v>0</v>
      </c>
      <c r="AA228" s="957">
        <f t="shared" si="217"/>
        <v>0</v>
      </c>
      <c r="AB228" s="956">
        <f t="shared" si="217"/>
        <v>12000</v>
      </c>
      <c r="AC228" s="956">
        <f t="shared" si="217"/>
        <v>11800</v>
      </c>
      <c r="AD228" s="956">
        <f t="shared" si="217"/>
        <v>11600</v>
      </c>
      <c r="AE228" s="956">
        <f t="shared" si="217"/>
        <v>11400</v>
      </c>
      <c r="AF228" s="956">
        <f t="shared" si="217"/>
        <v>11200</v>
      </c>
      <c r="AG228" s="956">
        <f t="shared" si="217"/>
        <v>11000</v>
      </c>
      <c r="AH228" s="956">
        <f t="shared" si="217"/>
        <v>10800</v>
      </c>
      <c r="AI228" s="956">
        <f t="shared" si="217"/>
        <v>10600</v>
      </c>
      <c r="AJ228" s="956">
        <f t="shared" si="217"/>
        <v>10400</v>
      </c>
      <c r="AK228" s="956">
        <f t="shared" si="217"/>
        <v>10200</v>
      </c>
      <c r="AL228" s="956">
        <f t="shared" si="217"/>
        <v>10000</v>
      </c>
      <c r="AM228" s="956">
        <f t="shared" si="217"/>
        <v>9800</v>
      </c>
    </row>
    <row r="229" spans="2:39" s="300" customFormat="1">
      <c r="B229" s="964" t="s">
        <v>57</v>
      </c>
      <c r="C229" s="953"/>
      <c r="D229" s="956">
        <f t="shared" ref="D229:AA229" si="218">(-$D$206/$J$63/12)</f>
        <v>0</v>
      </c>
      <c r="E229" s="956">
        <f t="shared" si="218"/>
        <v>0</v>
      </c>
      <c r="F229" s="956">
        <f t="shared" si="218"/>
        <v>0</v>
      </c>
      <c r="G229" s="956">
        <f t="shared" si="218"/>
        <v>0</v>
      </c>
      <c r="H229" s="956">
        <f t="shared" si="218"/>
        <v>0</v>
      </c>
      <c r="I229" s="956">
        <f t="shared" si="218"/>
        <v>0</v>
      </c>
      <c r="J229" s="956">
        <f t="shared" si="218"/>
        <v>0</v>
      </c>
      <c r="K229" s="956">
        <f t="shared" si="218"/>
        <v>0</v>
      </c>
      <c r="L229" s="956">
        <f t="shared" si="218"/>
        <v>0</v>
      </c>
      <c r="M229" s="956">
        <f t="shared" si="218"/>
        <v>0</v>
      </c>
      <c r="N229" s="956">
        <f t="shared" si="218"/>
        <v>0</v>
      </c>
      <c r="O229" s="956">
        <f t="shared" si="218"/>
        <v>0</v>
      </c>
      <c r="P229" s="956">
        <f t="shared" si="218"/>
        <v>0</v>
      </c>
      <c r="Q229" s="956">
        <f t="shared" si="218"/>
        <v>0</v>
      </c>
      <c r="R229" s="956">
        <f t="shared" si="218"/>
        <v>0</v>
      </c>
      <c r="S229" s="956">
        <f t="shared" si="218"/>
        <v>0</v>
      </c>
      <c r="T229" s="956">
        <f t="shared" si="218"/>
        <v>0</v>
      </c>
      <c r="U229" s="956">
        <f t="shared" si="218"/>
        <v>0</v>
      </c>
      <c r="V229" s="956">
        <f t="shared" si="218"/>
        <v>0</v>
      </c>
      <c r="W229" s="956">
        <f t="shared" si="218"/>
        <v>0</v>
      </c>
      <c r="X229" s="956">
        <f t="shared" si="218"/>
        <v>0</v>
      </c>
      <c r="Y229" s="956">
        <f t="shared" si="218"/>
        <v>0</v>
      </c>
      <c r="Z229" s="956">
        <f t="shared" si="218"/>
        <v>0</v>
      </c>
      <c r="AA229" s="956">
        <f t="shared" si="218"/>
        <v>0</v>
      </c>
      <c r="AB229" s="956">
        <f>(-$I$66*$L$66/12)</f>
        <v>-200</v>
      </c>
      <c r="AC229" s="956">
        <f t="shared" ref="AC229:AM229" si="219">(-$I$66*$L$66/12)</f>
        <v>-200</v>
      </c>
      <c r="AD229" s="956">
        <f t="shared" si="219"/>
        <v>-200</v>
      </c>
      <c r="AE229" s="956">
        <f t="shared" si="219"/>
        <v>-200</v>
      </c>
      <c r="AF229" s="956">
        <f t="shared" si="219"/>
        <v>-200</v>
      </c>
      <c r="AG229" s="956">
        <f t="shared" si="219"/>
        <v>-200</v>
      </c>
      <c r="AH229" s="956">
        <f t="shared" si="219"/>
        <v>-200</v>
      </c>
      <c r="AI229" s="956">
        <f t="shared" si="219"/>
        <v>-200</v>
      </c>
      <c r="AJ229" s="956">
        <f t="shared" si="219"/>
        <v>-200</v>
      </c>
      <c r="AK229" s="956">
        <f t="shared" si="219"/>
        <v>-200</v>
      </c>
      <c r="AL229" s="956">
        <f t="shared" si="219"/>
        <v>-200</v>
      </c>
      <c r="AM229" s="956">
        <f t="shared" si="219"/>
        <v>-200</v>
      </c>
    </row>
    <row r="230" spans="2:39" s="300" customFormat="1" ht="16.2" thickBot="1">
      <c r="B230" s="965" t="s">
        <v>255</v>
      </c>
      <c r="C230" s="958"/>
      <c r="D230" s="956">
        <f>SUM(D228:D229)</f>
        <v>0</v>
      </c>
      <c r="E230" s="956">
        <f t="shared" ref="E230:AM230" si="220">SUM(E228:E229)</f>
        <v>0</v>
      </c>
      <c r="F230" s="956">
        <f t="shared" si="220"/>
        <v>0</v>
      </c>
      <c r="G230" s="956">
        <f t="shared" si="220"/>
        <v>0</v>
      </c>
      <c r="H230" s="956">
        <f t="shared" si="220"/>
        <v>0</v>
      </c>
      <c r="I230" s="956">
        <f t="shared" si="220"/>
        <v>0</v>
      </c>
      <c r="J230" s="956">
        <f t="shared" si="220"/>
        <v>0</v>
      </c>
      <c r="K230" s="956">
        <f t="shared" si="220"/>
        <v>0</v>
      </c>
      <c r="L230" s="956">
        <f t="shared" si="220"/>
        <v>0</v>
      </c>
      <c r="M230" s="956">
        <f t="shared" si="220"/>
        <v>0</v>
      </c>
      <c r="N230" s="956">
        <f t="shared" si="220"/>
        <v>0</v>
      </c>
      <c r="O230" s="957">
        <f t="shared" si="220"/>
        <v>0</v>
      </c>
      <c r="P230" s="956">
        <f t="shared" si="220"/>
        <v>0</v>
      </c>
      <c r="Q230" s="956">
        <f t="shared" si="220"/>
        <v>0</v>
      </c>
      <c r="R230" s="956">
        <f t="shared" si="220"/>
        <v>0</v>
      </c>
      <c r="S230" s="956">
        <f t="shared" si="220"/>
        <v>0</v>
      </c>
      <c r="T230" s="956">
        <f t="shared" si="220"/>
        <v>0</v>
      </c>
      <c r="U230" s="956">
        <f t="shared" si="220"/>
        <v>0</v>
      </c>
      <c r="V230" s="956">
        <f t="shared" si="220"/>
        <v>0</v>
      </c>
      <c r="W230" s="956">
        <f t="shared" si="220"/>
        <v>0</v>
      </c>
      <c r="X230" s="956">
        <f t="shared" si="220"/>
        <v>0</v>
      </c>
      <c r="Y230" s="956">
        <f t="shared" si="220"/>
        <v>0</v>
      </c>
      <c r="Z230" s="956">
        <f t="shared" si="220"/>
        <v>0</v>
      </c>
      <c r="AA230" s="957">
        <f t="shared" si="220"/>
        <v>0</v>
      </c>
      <c r="AB230" s="956">
        <f t="shared" si="220"/>
        <v>11800</v>
      </c>
      <c r="AC230" s="956">
        <f t="shared" si="220"/>
        <v>11600</v>
      </c>
      <c r="AD230" s="956">
        <f t="shared" si="220"/>
        <v>11400</v>
      </c>
      <c r="AE230" s="956">
        <f t="shared" si="220"/>
        <v>11200</v>
      </c>
      <c r="AF230" s="956">
        <f t="shared" si="220"/>
        <v>11000</v>
      </c>
      <c r="AG230" s="956">
        <f t="shared" si="220"/>
        <v>10800</v>
      </c>
      <c r="AH230" s="956">
        <f t="shared" si="220"/>
        <v>10600</v>
      </c>
      <c r="AI230" s="956">
        <f t="shared" si="220"/>
        <v>10400</v>
      </c>
      <c r="AJ230" s="956">
        <f t="shared" si="220"/>
        <v>10200</v>
      </c>
      <c r="AK230" s="956">
        <f t="shared" si="220"/>
        <v>10000</v>
      </c>
      <c r="AL230" s="956">
        <f t="shared" si="220"/>
        <v>9800</v>
      </c>
      <c r="AM230" s="956">
        <f t="shared" si="220"/>
        <v>9600</v>
      </c>
    </row>
    <row r="231" spans="2:39" s="300" customFormat="1" ht="16.8" thickTop="1" thickBot="1">
      <c r="B231" s="305"/>
      <c r="C231" s="305"/>
      <c r="D231" s="323"/>
      <c r="E231" s="323"/>
      <c r="F231" s="323"/>
      <c r="G231" s="323"/>
      <c r="H231" s="323"/>
      <c r="I231" s="323"/>
      <c r="J231" s="323"/>
      <c r="K231" s="323"/>
      <c r="L231" s="323"/>
      <c r="M231" s="323"/>
      <c r="N231" s="323"/>
      <c r="O231" s="599"/>
      <c r="P231" s="323"/>
      <c r="Q231" s="323"/>
      <c r="R231" s="323"/>
      <c r="S231" s="323"/>
      <c r="T231" s="323"/>
      <c r="U231" s="323"/>
      <c r="V231" s="323"/>
      <c r="W231" s="323"/>
      <c r="X231" s="323"/>
      <c r="Y231" s="323"/>
      <c r="Z231" s="323"/>
      <c r="AA231" s="599"/>
      <c r="AB231" s="323"/>
      <c r="AC231" s="323"/>
      <c r="AD231" s="323"/>
      <c r="AE231" s="323"/>
      <c r="AF231" s="323"/>
      <c r="AG231" s="323"/>
      <c r="AH231" s="323"/>
      <c r="AI231" s="323"/>
      <c r="AJ231" s="323"/>
      <c r="AK231" s="323"/>
      <c r="AL231" s="323"/>
      <c r="AM231" s="323"/>
    </row>
    <row r="232" spans="2:39" s="300" customFormat="1" ht="16.2" thickTop="1">
      <c r="B232" s="963" t="str">
        <f>B67</f>
        <v>Personal Protection Equipment</v>
      </c>
      <c r="C232" s="593"/>
      <c r="D232" s="323"/>
      <c r="E232" s="323"/>
      <c r="F232" s="323"/>
      <c r="G232" s="323"/>
      <c r="H232" s="323"/>
      <c r="I232" s="323"/>
      <c r="J232" s="323"/>
      <c r="K232" s="323"/>
      <c r="L232" s="323"/>
      <c r="M232" s="323"/>
      <c r="N232" s="323"/>
      <c r="O232" s="599"/>
      <c r="P232" s="323"/>
      <c r="Q232" s="323"/>
      <c r="R232" s="323"/>
      <c r="S232" s="323"/>
      <c r="T232" s="323"/>
      <c r="U232" s="323"/>
      <c r="V232" s="323"/>
      <c r="W232" s="323"/>
      <c r="X232" s="323"/>
      <c r="Y232" s="323"/>
      <c r="Z232" s="323"/>
      <c r="AA232" s="599"/>
      <c r="AB232" s="323"/>
      <c r="AC232" s="323"/>
      <c r="AD232" s="323"/>
      <c r="AE232" s="323"/>
      <c r="AF232" s="323"/>
      <c r="AG232" s="323"/>
      <c r="AH232" s="323"/>
      <c r="AI232" s="323"/>
      <c r="AJ232" s="323"/>
      <c r="AK232" s="323"/>
      <c r="AL232" s="323"/>
      <c r="AM232" s="323"/>
    </row>
    <row r="233" spans="2:39" s="300" customFormat="1">
      <c r="B233" s="964" t="s">
        <v>112</v>
      </c>
      <c r="C233" s="953"/>
      <c r="D233" s="953">
        <v>0</v>
      </c>
      <c r="E233" s="956">
        <f>D237</f>
        <v>0</v>
      </c>
      <c r="F233" s="956">
        <f t="shared" ref="F233" si="221">E237</f>
        <v>0</v>
      </c>
      <c r="G233" s="956">
        <f t="shared" ref="G233" si="222">F237</f>
        <v>0</v>
      </c>
      <c r="H233" s="956">
        <f t="shared" ref="H233" si="223">G237</f>
        <v>0</v>
      </c>
      <c r="I233" s="956">
        <f t="shared" ref="I233" si="224">H237</f>
        <v>0</v>
      </c>
      <c r="J233" s="956">
        <f>I237</f>
        <v>0</v>
      </c>
      <c r="K233" s="956">
        <f t="shared" ref="K233" si="225">J237</f>
        <v>0</v>
      </c>
      <c r="L233" s="956">
        <f t="shared" ref="L233" si="226">K237</f>
        <v>0</v>
      </c>
      <c r="M233" s="956">
        <f t="shared" ref="M233" si="227">L237</f>
        <v>0</v>
      </c>
      <c r="N233" s="956">
        <f t="shared" ref="N233" si="228">M237</f>
        <v>0</v>
      </c>
      <c r="O233" s="957">
        <f t="shared" ref="O233" si="229">N237</f>
        <v>0</v>
      </c>
      <c r="P233" s="956">
        <f t="shared" ref="P233" si="230">O237</f>
        <v>0</v>
      </c>
      <c r="Q233" s="956">
        <f t="shared" ref="Q233" si="231">P237</f>
        <v>0</v>
      </c>
      <c r="R233" s="956">
        <f t="shared" ref="R233" si="232">Q237</f>
        <v>0</v>
      </c>
      <c r="S233" s="956">
        <f t="shared" ref="S233" si="233">R237</f>
        <v>0</v>
      </c>
      <c r="T233" s="956">
        <f t="shared" ref="T233" si="234">S237</f>
        <v>0</v>
      </c>
      <c r="U233" s="956">
        <f t="shared" ref="U233" si="235">T237</f>
        <v>0</v>
      </c>
      <c r="V233" s="956">
        <f t="shared" ref="V233" si="236">U237</f>
        <v>0</v>
      </c>
      <c r="W233" s="956">
        <f t="shared" ref="W233" si="237">V237</f>
        <v>0</v>
      </c>
      <c r="X233" s="956">
        <f t="shared" ref="X233" si="238">W237</f>
        <v>0</v>
      </c>
      <c r="Y233" s="956">
        <f t="shared" ref="Y233" si="239">X237</f>
        <v>0</v>
      </c>
      <c r="Z233" s="956">
        <f t="shared" ref="Z233" si="240">Y237</f>
        <v>0</v>
      </c>
      <c r="AA233" s="957">
        <f t="shared" ref="AA233" si="241">Z237</f>
        <v>0</v>
      </c>
      <c r="AB233" s="956">
        <f t="shared" ref="AB233" si="242">AA237</f>
        <v>0</v>
      </c>
      <c r="AC233" s="956">
        <f t="shared" ref="AC233" si="243">AB237</f>
        <v>4406.25</v>
      </c>
      <c r="AD233" s="956">
        <f t="shared" ref="AD233" si="244">AC237</f>
        <v>4312.5</v>
      </c>
      <c r="AE233" s="956">
        <f t="shared" ref="AE233" si="245">AD237</f>
        <v>4218.75</v>
      </c>
      <c r="AF233" s="956">
        <f t="shared" ref="AF233" si="246">AE237</f>
        <v>4125</v>
      </c>
      <c r="AG233" s="956">
        <f t="shared" ref="AG233" si="247">AF237</f>
        <v>4031.25</v>
      </c>
      <c r="AH233" s="956">
        <f t="shared" ref="AH233" si="248">AG237</f>
        <v>3937.5</v>
      </c>
      <c r="AI233" s="956">
        <f t="shared" ref="AI233" si="249">AH237</f>
        <v>3843.75</v>
      </c>
      <c r="AJ233" s="956">
        <f t="shared" ref="AJ233" si="250">AI237</f>
        <v>3750</v>
      </c>
      <c r="AK233" s="956">
        <f t="shared" ref="AK233" si="251">AJ237</f>
        <v>3656.25</v>
      </c>
      <c r="AL233" s="956">
        <f t="shared" ref="AL233" si="252">AK237</f>
        <v>3562.5</v>
      </c>
      <c r="AM233" s="956">
        <f t="shared" ref="AM233" si="253">AL237</f>
        <v>3468.75</v>
      </c>
    </row>
    <row r="234" spans="2:39" s="300" customFormat="1">
      <c r="B234" s="964" t="s">
        <v>265</v>
      </c>
      <c r="C234" s="953"/>
      <c r="D234" s="956">
        <f>G90</f>
        <v>0</v>
      </c>
      <c r="E234" s="956"/>
      <c r="F234" s="956"/>
      <c r="G234" s="956"/>
      <c r="H234" s="956"/>
      <c r="I234" s="956"/>
      <c r="J234" s="956"/>
      <c r="K234" s="956"/>
      <c r="L234" s="956"/>
      <c r="M234" s="956"/>
      <c r="N234" s="956"/>
      <c r="O234" s="957"/>
      <c r="P234" s="956">
        <f>H90</f>
        <v>0</v>
      </c>
      <c r="Q234" s="956"/>
      <c r="R234" s="956"/>
      <c r="S234" s="956"/>
      <c r="T234" s="956"/>
      <c r="U234" s="956"/>
      <c r="V234" s="956"/>
      <c r="W234" s="956"/>
      <c r="X234" s="956"/>
      <c r="Y234" s="956"/>
      <c r="Z234" s="956"/>
      <c r="AA234" s="957"/>
      <c r="AB234" s="956">
        <f>I67</f>
        <v>4500</v>
      </c>
      <c r="AC234" s="956"/>
      <c r="AD234" s="956"/>
      <c r="AE234" s="956"/>
      <c r="AF234" s="956"/>
      <c r="AG234" s="956"/>
      <c r="AH234" s="956"/>
      <c r="AI234" s="956"/>
      <c r="AJ234" s="956"/>
      <c r="AK234" s="956"/>
      <c r="AL234" s="956"/>
      <c r="AM234" s="956"/>
    </row>
    <row r="235" spans="2:39" s="300" customFormat="1">
      <c r="B235" s="964" t="s">
        <v>110</v>
      </c>
      <c r="C235" s="953"/>
      <c r="D235" s="956">
        <f>SUM(D233:D234)</f>
        <v>0</v>
      </c>
      <c r="E235" s="956">
        <f t="shared" ref="E235:AM235" si="254">SUM(E233:E234)</f>
        <v>0</v>
      </c>
      <c r="F235" s="956">
        <f t="shared" si="254"/>
        <v>0</v>
      </c>
      <c r="G235" s="956">
        <f t="shared" si="254"/>
        <v>0</v>
      </c>
      <c r="H235" s="956">
        <f t="shared" si="254"/>
        <v>0</v>
      </c>
      <c r="I235" s="956">
        <f t="shared" si="254"/>
        <v>0</v>
      </c>
      <c r="J235" s="956">
        <f t="shared" si="254"/>
        <v>0</v>
      </c>
      <c r="K235" s="956">
        <f t="shared" si="254"/>
        <v>0</v>
      </c>
      <c r="L235" s="956">
        <f t="shared" si="254"/>
        <v>0</v>
      </c>
      <c r="M235" s="956">
        <f t="shared" si="254"/>
        <v>0</v>
      </c>
      <c r="N235" s="956">
        <f t="shared" si="254"/>
        <v>0</v>
      </c>
      <c r="O235" s="957">
        <f t="shared" si="254"/>
        <v>0</v>
      </c>
      <c r="P235" s="956">
        <f t="shared" si="254"/>
        <v>0</v>
      </c>
      <c r="Q235" s="956">
        <f t="shared" si="254"/>
        <v>0</v>
      </c>
      <c r="R235" s="956">
        <f t="shared" si="254"/>
        <v>0</v>
      </c>
      <c r="S235" s="956">
        <f t="shared" si="254"/>
        <v>0</v>
      </c>
      <c r="T235" s="956">
        <f t="shared" si="254"/>
        <v>0</v>
      </c>
      <c r="U235" s="956">
        <f t="shared" si="254"/>
        <v>0</v>
      </c>
      <c r="V235" s="956">
        <f t="shared" si="254"/>
        <v>0</v>
      </c>
      <c r="W235" s="956">
        <f t="shared" si="254"/>
        <v>0</v>
      </c>
      <c r="X235" s="956">
        <f t="shared" si="254"/>
        <v>0</v>
      </c>
      <c r="Y235" s="956">
        <f t="shared" si="254"/>
        <v>0</v>
      </c>
      <c r="Z235" s="956">
        <f t="shared" si="254"/>
        <v>0</v>
      </c>
      <c r="AA235" s="957">
        <f t="shared" si="254"/>
        <v>0</v>
      </c>
      <c r="AB235" s="956">
        <f t="shared" si="254"/>
        <v>4500</v>
      </c>
      <c r="AC235" s="956">
        <f t="shared" si="254"/>
        <v>4406.25</v>
      </c>
      <c r="AD235" s="956">
        <f t="shared" si="254"/>
        <v>4312.5</v>
      </c>
      <c r="AE235" s="956">
        <f t="shared" si="254"/>
        <v>4218.75</v>
      </c>
      <c r="AF235" s="956">
        <f t="shared" si="254"/>
        <v>4125</v>
      </c>
      <c r="AG235" s="956">
        <f t="shared" si="254"/>
        <v>4031.25</v>
      </c>
      <c r="AH235" s="956">
        <f t="shared" si="254"/>
        <v>3937.5</v>
      </c>
      <c r="AI235" s="956">
        <f t="shared" si="254"/>
        <v>3843.75</v>
      </c>
      <c r="AJ235" s="956">
        <f t="shared" si="254"/>
        <v>3750</v>
      </c>
      <c r="AK235" s="956">
        <f t="shared" si="254"/>
        <v>3656.25</v>
      </c>
      <c r="AL235" s="956">
        <f t="shared" si="254"/>
        <v>3562.5</v>
      </c>
      <c r="AM235" s="956">
        <f t="shared" si="254"/>
        <v>3468.75</v>
      </c>
    </row>
    <row r="236" spans="2:39" s="300" customFormat="1">
      <c r="B236" s="964" t="s">
        <v>57</v>
      </c>
      <c r="C236" s="953"/>
      <c r="D236" s="956">
        <f t="shared" ref="D236:AA236" si="255">(-$D$206/$J$63/12)</f>
        <v>0</v>
      </c>
      <c r="E236" s="956">
        <f t="shared" si="255"/>
        <v>0</v>
      </c>
      <c r="F236" s="956">
        <f t="shared" si="255"/>
        <v>0</v>
      </c>
      <c r="G236" s="956">
        <f t="shared" si="255"/>
        <v>0</v>
      </c>
      <c r="H236" s="956">
        <f t="shared" si="255"/>
        <v>0</v>
      </c>
      <c r="I236" s="956">
        <f t="shared" si="255"/>
        <v>0</v>
      </c>
      <c r="J236" s="956">
        <f t="shared" si="255"/>
        <v>0</v>
      </c>
      <c r="K236" s="956">
        <f t="shared" si="255"/>
        <v>0</v>
      </c>
      <c r="L236" s="956">
        <f t="shared" si="255"/>
        <v>0</v>
      </c>
      <c r="M236" s="956">
        <f t="shared" si="255"/>
        <v>0</v>
      </c>
      <c r="N236" s="956">
        <f t="shared" si="255"/>
        <v>0</v>
      </c>
      <c r="O236" s="956">
        <f t="shared" si="255"/>
        <v>0</v>
      </c>
      <c r="P236" s="956">
        <f t="shared" si="255"/>
        <v>0</v>
      </c>
      <c r="Q236" s="956">
        <f t="shared" si="255"/>
        <v>0</v>
      </c>
      <c r="R236" s="956">
        <f t="shared" si="255"/>
        <v>0</v>
      </c>
      <c r="S236" s="956">
        <f t="shared" si="255"/>
        <v>0</v>
      </c>
      <c r="T236" s="956">
        <f t="shared" si="255"/>
        <v>0</v>
      </c>
      <c r="U236" s="956">
        <f t="shared" si="255"/>
        <v>0</v>
      </c>
      <c r="V236" s="956">
        <f t="shared" si="255"/>
        <v>0</v>
      </c>
      <c r="W236" s="956">
        <f t="shared" si="255"/>
        <v>0</v>
      </c>
      <c r="X236" s="956">
        <f t="shared" si="255"/>
        <v>0</v>
      </c>
      <c r="Y236" s="956">
        <f t="shared" si="255"/>
        <v>0</v>
      </c>
      <c r="Z236" s="956">
        <f t="shared" si="255"/>
        <v>0</v>
      </c>
      <c r="AA236" s="956">
        <f t="shared" si="255"/>
        <v>0</v>
      </c>
      <c r="AB236" s="956">
        <f>(-$I$67/$J$67/12)</f>
        <v>-93.75</v>
      </c>
      <c r="AC236" s="956">
        <f t="shared" ref="AC236:AM236" si="256">(-$I$67/$J$67/12)</f>
        <v>-93.75</v>
      </c>
      <c r="AD236" s="956">
        <f t="shared" si="256"/>
        <v>-93.75</v>
      </c>
      <c r="AE236" s="956">
        <f t="shared" si="256"/>
        <v>-93.75</v>
      </c>
      <c r="AF236" s="956">
        <f t="shared" si="256"/>
        <v>-93.75</v>
      </c>
      <c r="AG236" s="956">
        <f t="shared" si="256"/>
        <v>-93.75</v>
      </c>
      <c r="AH236" s="956">
        <f t="shared" si="256"/>
        <v>-93.75</v>
      </c>
      <c r="AI236" s="956">
        <f t="shared" si="256"/>
        <v>-93.75</v>
      </c>
      <c r="AJ236" s="956">
        <f t="shared" si="256"/>
        <v>-93.75</v>
      </c>
      <c r="AK236" s="956">
        <f t="shared" si="256"/>
        <v>-93.75</v>
      </c>
      <c r="AL236" s="956">
        <f t="shared" si="256"/>
        <v>-93.75</v>
      </c>
      <c r="AM236" s="956">
        <f t="shared" si="256"/>
        <v>-93.75</v>
      </c>
    </row>
    <row r="237" spans="2:39" s="300" customFormat="1" ht="16.2" thickBot="1">
      <c r="B237" s="965" t="s">
        <v>255</v>
      </c>
      <c r="C237" s="958"/>
      <c r="D237" s="956">
        <f>SUM(D235:D236)</f>
        <v>0</v>
      </c>
      <c r="E237" s="956">
        <f t="shared" ref="E237:AA237" si="257">SUM(E235:E236)</f>
        <v>0</v>
      </c>
      <c r="F237" s="956">
        <f t="shared" si="257"/>
        <v>0</v>
      </c>
      <c r="G237" s="956">
        <f t="shared" si="257"/>
        <v>0</v>
      </c>
      <c r="H237" s="956">
        <f t="shared" si="257"/>
        <v>0</v>
      </c>
      <c r="I237" s="956">
        <f t="shared" si="257"/>
        <v>0</v>
      </c>
      <c r="J237" s="956">
        <f t="shared" si="257"/>
        <v>0</v>
      </c>
      <c r="K237" s="956">
        <f t="shared" si="257"/>
        <v>0</v>
      </c>
      <c r="L237" s="956">
        <f t="shared" si="257"/>
        <v>0</v>
      </c>
      <c r="M237" s="956">
        <f t="shared" si="257"/>
        <v>0</v>
      </c>
      <c r="N237" s="956">
        <f t="shared" si="257"/>
        <v>0</v>
      </c>
      <c r="O237" s="957">
        <f t="shared" si="257"/>
        <v>0</v>
      </c>
      <c r="P237" s="956">
        <f t="shared" si="257"/>
        <v>0</v>
      </c>
      <c r="Q237" s="956">
        <f t="shared" si="257"/>
        <v>0</v>
      </c>
      <c r="R237" s="956">
        <f t="shared" si="257"/>
        <v>0</v>
      </c>
      <c r="S237" s="956">
        <f t="shared" si="257"/>
        <v>0</v>
      </c>
      <c r="T237" s="956">
        <f t="shared" si="257"/>
        <v>0</v>
      </c>
      <c r="U237" s="956">
        <f t="shared" si="257"/>
        <v>0</v>
      </c>
      <c r="V237" s="956">
        <f t="shared" si="257"/>
        <v>0</v>
      </c>
      <c r="W237" s="956">
        <f t="shared" si="257"/>
        <v>0</v>
      </c>
      <c r="X237" s="956">
        <f t="shared" si="257"/>
        <v>0</v>
      </c>
      <c r="Y237" s="956">
        <f t="shared" si="257"/>
        <v>0</v>
      </c>
      <c r="Z237" s="956">
        <f t="shared" si="257"/>
        <v>0</v>
      </c>
      <c r="AA237" s="957">
        <f t="shared" si="257"/>
        <v>0</v>
      </c>
      <c r="AB237" s="956">
        <f>SUM(AB235:AB236)</f>
        <v>4406.25</v>
      </c>
      <c r="AC237" s="956">
        <f t="shared" ref="AC237:AM237" si="258">SUM(AC235:AC236)</f>
        <v>4312.5</v>
      </c>
      <c r="AD237" s="956">
        <f t="shared" si="258"/>
        <v>4218.75</v>
      </c>
      <c r="AE237" s="956">
        <f t="shared" si="258"/>
        <v>4125</v>
      </c>
      <c r="AF237" s="956">
        <f t="shared" si="258"/>
        <v>4031.25</v>
      </c>
      <c r="AG237" s="956">
        <f t="shared" si="258"/>
        <v>3937.5</v>
      </c>
      <c r="AH237" s="956">
        <f t="shared" si="258"/>
        <v>3843.75</v>
      </c>
      <c r="AI237" s="956">
        <f t="shared" si="258"/>
        <v>3750</v>
      </c>
      <c r="AJ237" s="956">
        <f t="shared" si="258"/>
        <v>3656.25</v>
      </c>
      <c r="AK237" s="956">
        <f t="shared" si="258"/>
        <v>3562.5</v>
      </c>
      <c r="AL237" s="956">
        <f t="shared" si="258"/>
        <v>3468.75</v>
      </c>
      <c r="AM237" s="956">
        <f t="shared" si="258"/>
        <v>3375</v>
      </c>
    </row>
    <row r="238" spans="2:39" s="300" customFormat="1" ht="16.2" thickTop="1">
      <c r="B238" s="305"/>
      <c r="C238" s="958"/>
      <c r="D238" s="956"/>
      <c r="E238" s="956"/>
      <c r="F238" s="956"/>
      <c r="G238" s="956"/>
      <c r="H238" s="956"/>
      <c r="I238" s="956"/>
      <c r="J238" s="956"/>
      <c r="K238" s="956"/>
      <c r="L238" s="956"/>
      <c r="M238" s="956"/>
      <c r="N238" s="956"/>
      <c r="O238" s="961"/>
      <c r="P238" s="956"/>
      <c r="Q238" s="956"/>
      <c r="R238" s="956"/>
      <c r="S238" s="956"/>
      <c r="T238" s="956"/>
      <c r="U238" s="956"/>
      <c r="V238" s="956"/>
      <c r="W238" s="956"/>
      <c r="X238" s="956"/>
      <c r="Y238" s="956"/>
      <c r="Z238" s="956"/>
      <c r="AA238" s="961"/>
      <c r="AB238" s="956"/>
      <c r="AC238" s="956"/>
      <c r="AD238" s="956"/>
      <c r="AE238" s="956"/>
      <c r="AF238" s="956"/>
      <c r="AG238" s="956"/>
      <c r="AH238" s="956"/>
      <c r="AI238" s="956"/>
      <c r="AJ238" s="956"/>
      <c r="AK238" s="956"/>
      <c r="AL238" s="956"/>
      <c r="AM238" s="956"/>
    </row>
    <row r="239" spans="2:39" s="300" customFormat="1" ht="18">
      <c r="B239" s="969" t="s">
        <v>256</v>
      </c>
      <c r="C239" s="966"/>
      <c r="D239" s="946">
        <f>D145+D152+D159+D166+D173+D180+D187+D194+D201+D208</f>
        <v>0</v>
      </c>
      <c r="E239" s="946">
        <f t="shared" ref="E239:AA239" si="259">E145+E152+E159+E166+E173+E180+E187+E194+E201+E208</f>
        <v>0</v>
      </c>
      <c r="F239" s="946">
        <f t="shared" si="259"/>
        <v>0</v>
      </c>
      <c r="G239" s="946">
        <f t="shared" si="259"/>
        <v>0</v>
      </c>
      <c r="H239" s="946">
        <f t="shared" si="259"/>
        <v>0</v>
      </c>
      <c r="I239" s="946">
        <f t="shared" si="259"/>
        <v>0</v>
      </c>
      <c r="J239" s="946">
        <f t="shared" si="259"/>
        <v>0</v>
      </c>
      <c r="K239" s="946">
        <f t="shared" si="259"/>
        <v>0</v>
      </c>
      <c r="L239" s="946">
        <f t="shared" si="259"/>
        <v>0</v>
      </c>
      <c r="M239" s="946">
        <f t="shared" si="259"/>
        <v>0</v>
      </c>
      <c r="N239" s="946">
        <f t="shared" si="259"/>
        <v>0</v>
      </c>
      <c r="O239" s="946">
        <f t="shared" si="259"/>
        <v>0</v>
      </c>
      <c r="P239" s="946">
        <f>P145+P152+P159+P166+P173+P180+P187+P194+P201+P208</f>
        <v>0</v>
      </c>
      <c r="Q239" s="946">
        <f t="shared" si="259"/>
        <v>0</v>
      </c>
      <c r="R239" s="946">
        <f t="shared" si="259"/>
        <v>0</v>
      </c>
      <c r="S239" s="946">
        <f t="shared" si="259"/>
        <v>0</v>
      </c>
      <c r="T239" s="946">
        <f t="shared" si="259"/>
        <v>0</v>
      </c>
      <c r="U239" s="946">
        <f t="shared" si="259"/>
        <v>0</v>
      </c>
      <c r="V239" s="946">
        <f t="shared" si="259"/>
        <v>0</v>
      </c>
      <c r="W239" s="946">
        <f t="shared" si="259"/>
        <v>0</v>
      </c>
      <c r="X239" s="946">
        <f t="shared" si="259"/>
        <v>0</v>
      </c>
      <c r="Y239" s="946">
        <f t="shared" si="259"/>
        <v>0</v>
      </c>
      <c r="Z239" s="946">
        <f t="shared" si="259"/>
        <v>0</v>
      </c>
      <c r="AA239" s="946">
        <f t="shared" si="259"/>
        <v>0</v>
      </c>
      <c r="AB239" s="946">
        <f>AB145+AB152+AB159+AB166+AB173+AB180+AB187+AB194+AB201+AB208+AB215+AB222+AB229+AB236</f>
        <v>-2599.3452380952385</v>
      </c>
      <c r="AC239" s="946">
        <f t="shared" ref="AC239:AM239" si="260">AC145+AC152+AC159+AC166+AC173+AC180+AC187+AC194+AC201+AC208+AC215+AC222+AC229+AC236</f>
        <v>-2599.3452380952385</v>
      </c>
      <c r="AD239" s="946">
        <f t="shared" si="260"/>
        <v>-2599.3452380952385</v>
      </c>
      <c r="AE239" s="946">
        <f t="shared" si="260"/>
        <v>-2599.3452380952385</v>
      </c>
      <c r="AF239" s="946">
        <f t="shared" si="260"/>
        <v>-2599.3452380952385</v>
      </c>
      <c r="AG239" s="946">
        <f t="shared" si="260"/>
        <v>-2599.3452380952385</v>
      </c>
      <c r="AH239" s="946">
        <f t="shared" si="260"/>
        <v>-2599.3452380952385</v>
      </c>
      <c r="AI239" s="946">
        <f t="shared" si="260"/>
        <v>-2599.3452380952385</v>
      </c>
      <c r="AJ239" s="946">
        <f t="shared" si="260"/>
        <v>-2599.3452380952385</v>
      </c>
      <c r="AK239" s="946">
        <f t="shared" si="260"/>
        <v>-2599.3452380952385</v>
      </c>
      <c r="AL239" s="946">
        <f t="shared" si="260"/>
        <v>-2599.3452380952385</v>
      </c>
      <c r="AM239" s="946">
        <f t="shared" si="260"/>
        <v>-2599.3452380952385</v>
      </c>
    </row>
    <row r="240" spans="2:39" s="300" customFormat="1">
      <c r="D240" s="615"/>
      <c r="E240" s="615"/>
      <c r="F240" s="615"/>
      <c r="G240" s="615"/>
      <c r="H240" s="615"/>
      <c r="I240" s="615"/>
      <c r="J240" s="615"/>
      <c r="K240" s="615"/>
      <c r="L240" s="615"/>
      <c r="M240" s="615"/>
      <c r="N240" s="615"/>
      <c r="O240" s="616"/>
      <c r="P240" s="615"/>
      <c r="Q240" s="615"/>
      <c r="R240" s="615"/>
      <c r="S240" s="615"/>
      <c r="T240" s="615"/>
      <c r="U240" s="615"/>
      <c r="V240" s="615"/>
      <c r="W240" s="615"/>
      <c r="X240" s="615"/>
      <c r="Y240" s="615"/>
      <c r="Z240" s="615"/>
      <c r="AA240" s="616"/>
      <c r="AB240" s="615"/>
      <c r="AC240" s="615"/>
      <c r="AD240" s="615"/>
      <c r="AE240" s="615"/>
      <c r="AF240" s="615"/>
      <c r="AG240" s="615"/>
      <c r="AH240" s="615"/>
      <c r="AI240" s="615"/>
      <c r="AJ240" s="615"/>
      <c r="AK240" s="615"/>
      <c r="AL240" s="615"/>
      <c r="AM240" s="615"/>
    </row>
    <row r="241" spans="2:70" s="300" customFormat="1">
      <c r="D241" s="615"/>
      <c r="E241" s="615"/>
      <c r="F241" s="615"/>
      <c r="G241" s="615"/>
      <c r="H241" s="615"/>
      <c r="I241" s="615"/>
      <c r="J241" s="615"/>
      <c r="K241" s="615"/>
      <c r="L241" s="615"/>
      <c r="M241" s="615"/>
      <c r="N241" s="615"/>
      <c r="O241" s="616"/>
      <c r="P241" s="615"/>
      <c r="Q241" s="615"/>
      <c r="R241" s="615"/>
      <c r="S241" s="615"/>
      <c r="T241" s="615"/>
      <c r="U241" s="615"/>
      <c r="V241" s="615"/>
      <c r="W241" s="615"/>
      <c r="X241" s="615"/>
      <c r="Y241" s="615"/>
      <c r="Z241" s="615"/>
      <c r="AA241" s="616"/>
      <c r="AB241" s="615"/>
      <c r="AC241" s="615"/>
      <c r="AD241" s="615"/>
      <c r="AE241" s="615"/>
      <c r="AF241" s="615"/>
      <c r="AG241" s="615"/>
      <c r="AH241" s="615"/>
      <c r="AI241" s="615"/>
      <c r="AJ241" s="615"/>
      <c r="AK241" s="615"/>
      <c r="AL241" s="615"/>
      <c r="AM241" s="615"/>
    </row>
    <row r="242" spans="2:70" s="300" customFormat="1">
      <c r="D242" s="615"/>
      <c r="E242" s="615"/>
      <c r="F242" s="615"/>
      <c r="G242" s="615"/>
      <c r="H242" s="615"/>
      <c r="I242" s="615"/>
      <c r="J242" s="615"/>
      <c r="K242" s="615"/>
      <c r="L242" s="615"/>
      <c r="M242" s="615"/>
      <c r="N242" s="615"/>
      <c r="O242" s="616"/>
      <c r="P242" s="615"/>
      <c r="Q242" s="615"/>
      <c r="R242" s="615"/>
      <c r="S242" s="615"/>
      <c r="T242" s="615"/>
      <c r="U242" s="615"/>
      <c r="V242" s="615"/>
      <c r="W242" s="615"/>
      <c r="X242" s="615"/>
      <c r="Y242" s="615"/>
      <c r="Z242" s="615"/>
      <c r="AA242" s="616"/>
      <c r="AB242" s="615"/>
      <c r="AC242" s="615"/>
      <c r="AD242" s="615"/>
      <c r="AE242" s="615"/>
      <c r="AF242" s="615"/>
      <c r="AG242" s="615"/>
      <c r="AH242" s="615"/>
      <c r="AI242" s="615"/>
      <c r="AJ242" s="615"/>
      <c r="AK242" s="615"/>
      <c r="AL242" s="615"/>
      <c r="AM242" s="615"/>
    </row>
    <row r="243" spans="2:70">
      <c r="B243" s="305" t="s">
        <v>4</v>
      </c>
      <c r="D243" s="333"/>
      <c r="E243" s="618"/>
      <c r="F243" s="618"/>
      <c r="G243" s="618"/>
      <c r="H243" s="618"/>
      <c r="I243" s="618"/>
      <c r="J243" s="618"/>
      <c r="K243" s="618"/>
      <c r="L243" s="618"/>
      <c r="M243" s="618"/>
      <c r="N243" s="618"/>
      <c r="O243" s="630"/>
      <c r="P243" s="591"/>
      <c r="Q243" s="345"/>
      <c r="R243" s="345"/>
      <c r="S243" s="345"/>
      <c r="T243" s="345"/>
      <c r="U243" s="345"/>
      <c r="V243" s="345"/>
      <c r="W243" s="345"/>
      <c r="X243" s="345"/>
      <c r="Y243" s="345"/>
      <c r="Z243" s="345"/>
      <c r="AA243" s="638"/>
      <c r="AB243" s="591"/>
      <c r="AC243" s="618"/>
      <c r="AD243" s="618"/>
      <c r="AE243" s="618"/>
      <c r="AF243" s="618"/>
      <c r="AG243" s="618"/>
      <c r="AH243" s="618"/>
      <c r="AI243" s="618"/>
      <c r="AJ243" s="618"/>
      <c r="AK243" s="618"/>
      <c r="AL243" s="618"/>
      <c r="AM243" s="618"/>
      <c r="AN243" s="323"/>
      <c r="AO243" s="323"/>
      <c r="AP243" s="323"/>
      <c r="AQ243" s="323"/>
      <c r="AR243" s="323"/>
      <c r="AS243" s="323"/>
      <c r="AT243" s="323"/>
      <c r="AU243" s="323"/>
      <c r="AV243" s="323"/>
      <c r="AW243" s="323"/>
      <c r="AX243" s="323"/>
      <c r="AY243" s="323"/>
      <c r="AZ243" s="323"/>
      <c r="BA243" s="323"/>
      <c r="BB243" s="323"/>
      <c r="BC243" s="323"/>
      <c r="BD243" s="323"/>
      <c r="BE243" s="323"/>
      <c r="BF243" s="323"/>
      <c r="BG243" s="323"/>
      <c r="BH243" s="323"/>
      <c r="BI243" s="323"/>
      <c r="BJ243" s="323"/>
      <c r="BK243" s="323"/>
      <c r="BL243" s="323"/>
      <c r="BM243" s="323"/>
      <c r="BN243" s="323"/>
      <c r="BO243" s="323"/>
      <c r="BP243" s="323"/>
      <c r="BQ243" s="323"/>
      <c r="BR243" s="323"/>
    </row>
    <row r="244" spans="2:70">
      <c r="B244" s="947" t="s">
        <v>105</v>
      </c>
      <c r="C244" s="947"/>
      <c r="D244" s="942">
        <f>D125</f>
        <v>0</v>
      </c>
      <c r="E244" s="942">
        <f t="shared" ref="E244:AA244" si="261">E125</f>
        <v>0</v>
      </c>
      <c r="F244" s="942">
        <f t="shared" si="261"/>
        <v>0</v>
      </c>
      <c r="G244" s="942">
        <f t="shared" si="261"/>
        <v>0</v>
      </c>
      <c r="H244" s="942">
        <f t="shared" si="261"/>
        <v>0</v>
      </c>
      <c r="I244" s="942">
        <f t="shared" si="261"/>
        <v>0</v>
      </c>
      <c r="J244" s="942">
        <f t="shared" si="261"/>
        <v>0</v>
      </c>
      <c r="K244" s="942">
        <f t="shared" si="261"/>
        <v>0</v>
      </c>
      <c r="L244" s="942">
        <f t="shared" si="261"/>
        <v>0</v>
      </c>
      <c r="M244" s="942">
        <f t="shared" si="261"/>
        <v>0</v>
      </c>
      <c r="N244" s="942">
        <f t="shared" si="261"/>
        <v>0</v>
      </c>
      <c r="O244" s="942">
        <f t="shared" si="261"/>
        <v>0</v>
      </c>
      <c r="P244" s="942">
        <f t="shared" si="261"/>
        <v>0</v>
      </c>
      <c r="Q244" s="942">
        <f t="shared" si="261"/>
        <v>0</v>
      </c>
      <c r="R244" s="942">
        <f t="shared" si="261"/>
        <v>0</v>
      </c>
      <c r="S244" s="942">
        <f t="shared" si="261"/>
        <v>0</v>
      </c>
      <c r="T244" s="942">
        <f t="shared" si="261"/>
        <v>0</v>
      </c>
      <c r="U244" s="942">
        <f t="shared" si="261"/>
        <v>0</v>
      </c>
      <c r="V244" s="942">
        <f t="shared" si="261"/>
        <v>0</v>
      </c>
      <c r="W244" s="942">
        <f t="shared" si="261"/>
        <v>0</v>
      </c>
      <c r="X244" s="942">
        <f t="shared" si="261"/>
        <v>0</v>
      </c>
      <c r="Y244" s="942">
        <f t="shared" si="261"/>
        <v>0</v>
      </c>
      <c r="Z244" s="942">
        <f t="shared" si="261"/>
        <v>0</v>
      </c>
      <c r="AA244" s="942">
        <f t="shared" si="261"/>
        <v>0</v>
      </c>
      <c r="AB244" s="942">
        <f>AB125</f>
        <v>-17417.87857142857</v>
      </c>
      <c r="AC244" s="942">
        <f t="shared" ref="AC244:AM244" si="262">AC125</f>
        <v>-13995.518571428571</v>
      </c>
      <c r="AD244" s="942">
        <f t="shared" si="262"/>
        <v>-10007.594571428572</v>
      </c>
      <c r="AE244" s="942">
        <f t="shared" si="262"/>
        <v>-5030.2045714285687</v>
      </c>
      <c r="AF244" s="942">
        <f t="shared" si="262"/>
        <v>738.47142857142717</v>
      </c>
      <c r="AG244" s="942">
        <f t="shared" si="262"/>
        <v>7184.3134285714314</v>
      </c>
      <c r="AH244" s="942">
        <f t="shared" si="262"/>
        <v>7515.0518285714334</v>
      </c>
      <c r="AI244" s="942">
        <f t="shared" si="262"/>
        <v>13462.826528571428</v>
      </c>
      <c r="AJ244" s="942">
        <f t="shared" si="262"/>
        <v>29963.681428571443</v>
      </c>
      <c r="AK244" s="942">
        <f t="shared" si="262"/>
        <v>42027.549428571445</v>
      </c>
      <c r="AL244" s="942">
        <f t="shared" si="262"/>
        <v>51956.581388571438</v>
      </c>
      <c r="AM244" s="942">
        <f t="shared" si="262"/>
        <v>60759.483028571449</v>
      </c>
      <c r="AN244" s="323"/>
      <c r="AO244" s="323"/>
      <c r="AP244" s="323"/>
      <c r="AQ244" s="323"/>
      <c r="AR244" s="323"/>
      <c r="AS244" s="323"/>
      <c r="AT244" s="323"/>
      <c r="AU244" s="323"/>
      <c r="AV244" s="323"/>
      <c r="AW244" s="323"/>
      <c r="AX244" s="323"/>
      <c r="AY244" s="323"/>
      <c r="AZ244" s="323"/>
      <c r="BA244" s="323"/>
      <c r="BB244" s="323"/>
      <c r="BC244" s="323"/>
      <c r="BD244" s="323"/>
      <c r="BE244" s="323"/>
      <c r="BF244" s="323"/>
      <c r="BG244" s="323"/>
      <c r="BH244" s="323"/>
      <c r="BI244" s="323"/>
      <c r="BJ244" s="323"/>
      <c r="BK244" s="323"/>
      <c r="BL244" s="323"/>
      <c r="BM244" s="323"/>
      <c r="BN244" s="323"/>
      <c r="BO244" s="323"/>
      <c r="BP244" s="323"/>
      <c r="BQ244" s="323"/>
      <c r="BR244" s="323"/>
    </row>
    <row r="245" spans="2:70">
      <c r="B245" s="593" t="s">
        <v>214</v>
      </c>
      <c r="D245" s="383">
        <f>-D239</f>
        <v>0</v>
      </c>
      <c r="E245" s="383">
        <f t="shared" ref="E245:AM245" si="263">-E239</f>
        <v>0</v>
      </c>
      <c r="F245" s="383">
        <f t="shared" si="263"/>
        <v>0</v>
      </c>
      <c r="G245" s="383">
        <f t="shared" si="263"/>
        <v>0</v>
      </c>
      <c r="H245" s="383">
        <f t="shared" si="263"/>
        <v>0</v>
      </c>
      <c r="I245" s="383">
        <f t="shared" si="263"/>
        <v>0</v>
      </c>
      <c r="J245" s="383">
        <f t="shared" si="263"/>
        <v>0</v>
      </c>
      <c r="K245" s="383">
        <f t="shared" si="263"/>
        <v>0</v>
      </c>
      <c r="L245" s="383">
        <f t="shared" si="263"/>
        <v>0</v>
      </c>
      <c r="M245" s="383">
        <f t="shared" si="263"/>
        <v>0</v>
      </c>
      <c r="N245" s="383">
        <f t="shared" si="263"/>
        <v>0</v>
      </c>
      <c r="O245" s="383">
        <f t="shared" si="263"/>
        <v>0</v>
      </c>
      <c r="P245" s="383">
        <f t="shared" si="263"/>
        <v>0</v>
      </c>
      <c r="Q245" s="383">
        <f t="shared" si="263"/>
        <v>0</v>
      </c>
      <c r="R245" s="383">
        <f t="shared" si="263"/>
        <v>0</v>
      </c>
      <c r="S245" s="383">
        <f t="shared" si="263"/>
        <v>0</v>
      </c>
      <c r="T245" s="383">
        <f t="shared" si="263"/>
        <v>0</v>
      </c>
      <c r="U245" s="383">
        <f t="shared" si="263"/>
        <v>0</v>
      </c>
      <c r="V245" s="383">
        <f t="shared" si="263"/>
        <v>0</v>
      </c>
      <c r="W245" s="383">
        <f t="shared" si="263"/>
        <v>0</v>
      </c>
      <c r="X245" s="383">
        <f t="shared" si="263"/>
        <v>0</v>
      </c>
      <c r="Y245" s="383">
        <f t="shared" si="263"/>
        <v>0</v>
      </c>
      <c r="Z245" s="383">
        <f t="shared" si="263"/>
        <v>0</v>
      </c>
      <c r="AA245" s="383">
        <f t="shared" si="263"/>
        <v>0</v>
      </c>
      <c r="AB245" s="383">
        <f t="shared" si="263"/>
        <v>2599.3452380952385</v>
      </c>
      <c r="AC245" s="383">
        <f t="shared" si="263"/>
        <v>2599.3452380952385</v>
      </c>
      <c r="AD245" s="383">
        <f t="shared" si="263"/>
        <v>2599.3452380952385</v>
      </c>
      <c r="AE245" s="383">
        <f t="shared" si="263"/>
        <v>2599.3452380952385</v>
      </c>
      <c r="AF245" s="383">
        <f t="shared" si="263"/>
        <v>2599.3452380952385</v>
      </c>
      <c r="AG245" s="383">
        <f t="shared" si="263"/>
        <v>2599.3452380952385</v>
      </c>
      <c r="AH245" s="383">
        <f t="shared" si="263"/>
        <v>2599.3452380952385</v>
      </c>
      <c r="AI245" s="383">
        <f t="shared" si="263"/>
        <v>2599.3452380952385</v>
      </c>
      <c r="AJ245" s="383">
        <f t="shared" si="263"/>
        <v>2599.3452380952385</v>
      </c>
      <c r="AK245" s="383">
        <f t="shared" si="263"/>
        <v>2599.3452380952385</v>
      </c>
      <c r="AL245" s="383">
        <f t="shared" si="263"/>
        <v>2599.3452380952385</v>
      </c>
      <c r="AM245" s="383">
        <f t="shared" si="263"/>
        <v>2599.3452380952385</v>
      </c>
      <c r="AN245" s="604"/>
      <c r="AO245" s="604"/>
      <c r="AP245" s="604"/>
      <c r="AQ245" s="604"/>
      <c r="AR245" s="604"/>
      <c r="AS245" s="604"/>
      <c r="AT245" s="604"/>
      <c r="AU245" s="604"/>
      <c r="AV245" s="604"/>
      <c r="AW245" s="604"/>
      <c r="AX245" s="604"/>
      <c r="AY245" s="604"/>
      <c r="AZ245" s="604"/>
      <c r="BA245" s="604"/>
      <c r="BB245" s="604"/>
      <c r="BC245" s="604"/>
      <c r="BD245" s="604"/>
      <c r="BE245" s="604"/>
      <c r="BF245" s="604"/>
      <c r="BG245" s="604"/>
      <c r="BH245" s="604"/>
      <c r="BI245" s="604"/>
      <c r="BJ245" s="604"/>
      <c r="BK245" s="604"/>
      <c r="BL245" s="604"/>
      <c r="BM245" s="604"/>
      <c r="BN245" s="604"/>
      <c r="BO245" s="604"/>
      <c r="BP245" s="604"/>
      <c r="BQ245" s="604"/>
      <c r="BR245" s="604"/>
    </row>
    <row r="246" spans="2:70">
      <c r="B246" s="593" t="s">
        <v>215</v>
      </c>
      <c r="D246" s="383">
        <f>-G68</f>
        <v>0</v>
      </c>
      <c r="E246" s="383"/>
      <c r="F246" s="383"/>
      <c r="G246" s="383"/>
      <c r="H246" s="383"/>
      <c r="I246" s="383"/>
      <c r="J246" s="383"/>
      <c r="K246" s="383"/>
      <c r="L246" s="383"/>
      <c r="M246" s="383"/>
      <c r="N246" s="383"/>
      <c r="O246" s="383"/>
      <c r="P246" s="383">
        <f>-H68</f>
        <v>0</v>
      </c>
      <c r="Q246" s="383"/>
      <c r="R246" s="383"/>
      <c r="S246" s="383"/>
      <c r="T246" s="383"/>
      <c r="U246" s="383"/>
      <c r="V246" s="383"/>
      <c r="W246" s="383"/>
      <c r="X246" s="383"/>
      <c r="Y246" s="383"/>
      <c r="Z246" s="383"/>
      <c r="AA246" s="383"/>
      <c r="AB246" s="383">
        <f>-I68</f>
        <v>-96800</v>
      </c>
      <c r="AC246" s="383"/>
      <c r="AD246" s="383"/>
      <c r="AE246" s="383"/>
      <c r="AF246" s="383"/>
      <c r="AG246" s="383"/>
      <c r="AH246" s="383"/>
      <c r="AI246" s="383"/>
      <c r="AJ246" s="383"/>
      <c r="AK246" s="383"/>
      <c r="AL246" s="383"/>
      <c r="AM246" s="383"/>
      <c r="AN246" s="604"/>
      <c r="AO246" s="604"/>
      <c r="AP246" s="604"/>
      <c r="AQ246" s="604"/>
      <c r="AR246" s="604"/>
      <c r="AS246" s="604"/>
      <c r="AT246" s="604"/>
      <c r="AU246" s="604"/>
      <c r="AV246" s="604"/>
      <c r="AW246" s="604"/>
      <c r="AX246" s="604"/>
      <c r="AY246" s="604"/>
      <c r="AZ246" s="604"/>
      <c r="BA246" s="604"/>
      <c r="BB246" s="604"/>
      <c r="BC246" s="604"/>
      <c r="BD246" s="604"/>
      <c r="BE246" s="604"/>
      <c r="BF246" s="604"/>
      <c r="BG246" s="604"/>
      <c r="BH246" s="604"/>
      <c r="BI246" s="604"/>
      <c r="BJ246" s="604"/>
      <c r="BK246" s="604"/>
      <c r="BL246" s="604"/>
      <c r="BM246" s="604"/>
      <c r="BN246" s="604"/>
      <c r="BO246" s="604"/>
      <c r="BP246" s="604"/>
      <c r="BQ246" s="604"/>
      <c r="BR246" s="604"/>
    </row>
    <row r="247" spans="2:70">
      <c r="B247" s="593" t="s">
        <v>62</v>
      </c>
      <c r="D247" s="383">
        <f>SUM(D244:D246)</f>
        <v>0</v>
      </c>
      <c r="E247" s="383">
        <f t="shared" ref="E247:AM247" si="264">SUM(E244:E246)</f>
        <v>0</v>
      </c>
      <c r="F247" s="383">
        <f t="shared" si="264"/>
        <v>0</v>
      </c>
      <c r="G247" s="383">
        <f t="shared" si="264"/>
        <v>0</v>
      </c>
      <c r="H247" s="383">
        <f t="shared" si="264"/>
        <v>0</v>
      </c>
      <c r="I247" s="383">
        <f t="shared" si="264"/>
        <v>0</v>
      </c>
      <c r="J247" s="383">
        <f t="shared" si="264"/>
        <v>0</v>
      </c>
      <c r="K247" s="383">
        <f t="shared" si="264"/>
        <v>0</v>
      </c>
      <c r="L247" s="383">
        <f t="shared" si="264"/>
        <v>0</v>
      </c>
      <c r="M247" s="383">
        <f t="shared" si="264"/>
        <v>0</v>
      </c>
      <c r="N247" s="383">
        <f t="shared" si="264"/>
        <v>0</v>
      </c>
      <c r="O247" s="383">
        <f t="shared" si="264"/>
        <v>0</v>
      </c>
      <c r="P247" s="383">
        <f>SUM(P244:P246)</f>
        <v>0</v>
      </c>
      <c r="Q247" s="383">
        <f t="shared" si="264"/>
        <v>0</v>
      </c>
      <c r="R247" s="383">
        <f t="shared" si="264"/>
        <v>0</v>
      </c>
      <c r="S247" s="383">
        <f t="shared" si="264"/>
        <v>0</v>
      </c>
      <c r="T247" s="383">
        <f t="shared" si="264"/>
        <v>0</v>
      </c>
      <c r="U247" s="383">
        <f t="shared" si="264"/>
        <v>0</v>
      </c>
      <c r="V247" s="383">
        <f t="shared" si="264"/>
        <v>0</v>
      </c>
      <c r="W247" s="383">
        <f t="shared" si="264"/>
        <v>0</v>
      </c>
      <c r="X247" s="383">
        <f t="shared" si="264"/>
        <v>0</v>
      </c>
      <c r="Y247" s="383">
        <f t="shared" si="264"/>
        <v>0</v>
      </c>
      <c r="Z247" s="383">
        <f t="shared" si="264"/>
        <v>0</v>
      </c>
      <c r="AA247" s="383">
        <f t="shared" si="264"/>
        <v>0</v>
      </c>
      <c r="AB247" s="383">
        <f>SUM(AB244:AB246)</f>
        <v>-111618.53333333333</v>
      </c>
      <c r="AC247" s="383">
        <f t="shared" si="264"/>
        <v>-11396.173333333332</v>
      </c>
      <c r="AD247" s="383">
        <f t="shared" si="264"/>
        <v>-7408.2493333333332</v>
      </c>
      <c r="AE247" s="383">
        <f t="shared" si="264"/>
        <v>-2430.8593333333301</v>
      </c>
      <c r="AF247" s="383">
        <f t="shared" si="264"/>
        <v>3337.8166666666657</v>
      </c>
      <c r="AG247" s="383">
        <f t="shared" si="264"/>
        <v>9783.6586666666699</v>
      </c>
      <c r="AH247" s="383">
        <f t="shared" si="264"/>
        <v>10114.397066666672</v>
      </c>
      <c r="AI247" s="383">
        <f t="shared" si="264"/>
        <v>16062.171766666666</v>
      </c>
      <c r="AJ247" s="383">
        <f t="shared" si="264"/>
        <v>32563.026666666679</v>
      </c>
      <c r="AK247" s="383">
        <f t="shared" si="264"/>
        <v>44626.894666666682</v>
      </c>
      <c r="AL247" s="383">
        <f t="shared" si="264"/>
        <v>54555.926626666675</v>
      </c>
      <c r="AM247" s="383">
        <f t="shared" si="264"/>
        <v>63358.828266666686</v>
      </c>
      <c r="AN247" s="604"/>
      <c r="AO247" s="604"/>
      <c r="AP247" s="604"/>
      <c r="AQ247" s="604"/>
      <c r="AR247" s="604"/>
      <c r="AS247" s="604"/>
      <c r="AT247" s="604"/>
      <c r="AU247" s="604"/>
      <c r="AV247" s="604"/>
      <c r="AW247" s="604"/>
      <c r="AX247" s="604"/>
      <c r="AY247" s="604"/>
      <c r="AZ247" s="604"/>
      <c r="BA247" s="604"/>
      <c r="BB247" s="604"/>
      <c r="BC247" s="604"/>
      <c r="BD247" s="604"/>
      <c r="BE247" s="604"/>
      <c r="BF247" s="604"/>
      <c r="BG247" s="604"/>
      <c r="BH247" s="604"/>
      <c r="BI247" s="604"/>
      <c r="BJ247" s="604"/>
      <c r="BK247" s="604"/>
      <c r="BL247" s="604"/>
      <c r="BM247" s="604"/>
      <c r="BN247" s="604"/>
      <c r="BO247" s="604"/>
      <c r="BP247" s="604"/>
      <c r="BQ247" s="604"/>
      <c r="BR247" s="604"/>
    </row>
    <row r="248" spans="2:70">
      <c r="B248" s="593" t="s">
        <v>121</v>
      </c>
      <c r="D248" s="333">
        <f>MIN(SUM($D247:D247),0)</f>
        <v>0</v>
      </c>
      <c r="E248" s="333">
        <f>MIN(SUM($D247:E247),0)</f>
        <v>0</v>
      </c>
      <c r="F248" s="333">
        <f>MIN(SUM($D247:F247),0)</f>
        <v>0</v>
      </c>
      <c r="G248" s="333">
        <f>MIN(SUM($D247:G247),0)</f>
        <v>0</v>
      </c>
      <c r="H248" s="333">
        <f>MIN(SUM($D247:H247),0)</f>
        <v>0</v>
      </c>
      <c r="I248" s="333">
        <f>MIN(SUM($D247:I247),0)</f>
        <v>0</v>
      </c>
      <c r="J248" s="333">
        <f>MIN(SUM($D247:J247),0)</f>
        <v>0</v>
      </c>
      <c r="K248" s="333">
        <f>MIN(SUM($D247:K247),0)</f>
        <v>0</v>
      </c>
      <c r="L248" s="333">
        <f>MIN(SUM($D247:L247),0)</f>
        <v>0</v>
      </c>
      <c r="M248" s="333">
        <f>MIN(SUM($D247:M247),0)</f>
        <v>0</v>
      </c>
      <c r="N248" s="333">
        <f>MIN(SUM($D247:N247),0)</f>
        <v>0</v>
      </c>
      <c r="O248" s="333">
        <f>MIN(SUM($D247:O247),0)</f>
        <v>0</v>
      </c>
      <c r="P248" s="333">
        <f>MIN(SUM($D247:P247),0)</f>
        <v>0</v>
      </c>
      <c r="Q248" s="333">
        <f>MIN(SUM($D247:Q247),0)</f>
        <v>0</v>
      </c>
      <c r="R248" s="333">
        <f>MIN(SUM($D247:R247),0)</f>
        <v>0</v>
      </c>
      <c r="S248" s="333">
        <f>MIN(SUM($D247:S247),0)</f>
        <v>0</v>
      </c>
      <c r="T248" s="333">
        <f>MIN(SUM($D247:T247),0)</f>
        <v>0</v>
      </c>
      <c r="U248" s="333">
        <f>MIN(SUM($D247:U247),0)</f>
        <v>0</v>
      </c>
      <c r="V248" s="333">
        <f>MIN(SUM($D247:V247),0)</f>
        <v>0</v>
      </c>
      <c r="W248" s="333">
        <f>MIN(SUM($D247:W247),0)</f>
        <v>0</v>
      </c>
      <c r="X248" s="333">
        <f>MIN(SUM($D247:X247),0)</f>
        <v>0</v>
      </c>
      <c r="Y248" s="333">
        <f>MIN(SUM($D247:Y247),0)</f>
        <v>0</v>
      </c>
      <c r="Z248" s="333">
        <f>MIN(SUM($D247:Z247),0)</f>
        <v>0</v>
      </c>
      <c r="AA248" s="333">
        <f>MIN(SUM($D247:AA247),0)</f>
        <v>0</v>
      </c>
      <c r="AB248" s="333">
        <f>MIN(SUM($D247:AB247),0)</f>
        <v>-111618.53333333333</v>
      </c>
      <c r="AC248" s="333">
        <f>MIN(SUM($D247:AC247),0)</f>
        <v>-123014.70666666667</v>
      </c>
      <c r="AD248" s="333">
        <f>MIN(SUM($D247:AD247),0)</f>
        <v>-130422.95600000001</v>
      </c>
      <c r="AE248" s="333">
        <f>MIN(SUM($D247:AE247),0)</f>
        <v>-132853.81533333333</v>
      </c>
      <c r="AF248" s="333">
        <f>MIN(SUM($D247:AF247),0)</f>
        <v>-129515.99866666667</v>
      </c>
      <c r="AG248" s="333">
        <f>MIN(SUM($D247:AG247),0)</f>
        <v>-119732.34</v>
      </c>
      <c r="AH248" s="333">
        <f>MIN(SUM($D247:AH247),0)</f>
        <v>-109617.94293333332</v>
      </c>
      <c r="AI248" s="333">
        <f>MIN(SUM($D247:AI247),0)</f>
        <v>-93555.771166666658</v>
      </c>
      <c r="AJ248" s="333">
        <f>MIN(SUM($D247:AJ247),0)</f>
        <v>-60992.744499999979</v>
      </c>
      <c r="AK248" s="333">
        <f>MIN(SUM($D247:AK247),0)</f>
        <v>-16365.849833333297</v>
      </c>
      <c r="AL248" s="333">
        <f>MIN(SUM($D247:AL247),0)</f>
        <v>0</v>
      </c>
      <c r="AM248" s="333">
        <f>MIN(SUM($D247:AM247),0)</f>
        <v>0</v>
      </c>
      <c r="AN248" s="323"/>
      <c r="AO248" s="323"/>
      <c r="AP248" s="323"/>
      <c r="AQ248" s="323"/>
      <c r="AR248" s="323"/>
      <c r="AS248" s="323"/>
      <c r="AT248" s="323"/>
      <c r="AU248" s="323"/>
      <c r="AV248" s="323"/>
      <c r="AW248" s="323"/>
      <c r="AX248" s="323"/>
      <c r="AY248" s="323"/>
      <c r="AZ248" s="323"/>
      <c r="BA248" s="323"/>
      <c r="BB248" s="323"/>
      <c r="BC248" s="323"/>
      <c r="BD248" s="323"/>
      <c r="BE248" s="323"/>
      <c r="BF248" s="323"/>
      <c r="BG248" s="323"/>
      <c r="BH248" s="323"/>
      <c r="BI248" s="323"/>
      <c r="BJ248" s="323"/>
      <c r="BK248" s="323"/>
      <c r="BL248" s="323"/>
      <c r="BM248" s="323"/>
      <c r="BN248" s="323"/>
      <c r="BO248" s="323"/>
      <c r="BP248" s="323"/>
      <c r="BQ248" s="323"/>
      <c r="BR248" s="323"/>
    </row>
    <row r="249" spans="2:70">
      <c r="B249" s="593" t="s">
        <v>122</v>
      </c>
      <c r="D249" s="333">
        <f>MIN(MAX(SUM($D247:D247),0),MAX(D247,0))</f>
        <v>0</v>
      </c>
      <c r="E249" s="333">
        <f>MIN(MAX(SUM($D247:E247),0),MAX(E247,0))</f>
        <v>0</v>
      </c>
      <c r="F249" s="333">
        <f>MIN(MAX(SUM($D247:F247),0),MAX(F247,0))</f>
        <v>0</v>
      </c>
      <c r="G249" s="333">
        <f>MIN(MAX(SUM($D247:G247),0),MAX(G247,0))</f>
        <v>0</v>
      </c>
      <c r="H249" s="333">
        <f>MIN(MAX(SUM($D247:H247),0),MAX(H247,0))</f>
        <v>0</v>
      </c>
      <c r="I249" s="333">
        <f>MIN(MAX(SUM($D247:I247),0),MAX(I247,0))</f>
        <v>0</v>
      </c>
      <c r="J249" s="333">
        <f>MIN(MAX(SUM($D247:J247),0),MAX(J247,0))</f>
        <v>0</v>
      </c>
      <c r="K249" s="333">
        <f>MIN(MAX(SUM($D247:K247),0),MAX(K247,0))</f>
        <v>0</v>
      </c>
      <c r="L249" s="333">
        <f>MIN(MAX(SUM($D247:L247),0),MAX(L247,0))</f>
        <v>0</v>
      </c>
      <c r="M249" s="333">
        <f>MIN(MAX(SUM($D247:M247),0),MAX(M247,0))</f>
        <v>0</v>
      </c>
      <c r="N249" s="333">
        <f>MIN(MAX(SUM($D247:N247),0),MAX(N247,0))</f>
        <v>0</v>
      </c>
      <c r="O249" s="333">
        <f>MIN(MAX(SUM($D247:O247),0),MAX(O247,0))</f>
        <v>0</v>
      </c>
      <c r="P249" s="333">
        <f>MIN(MAX(SUM($D247:P247),0),MAX(P247,0))</f>
        <v>0</v>
      </c>
      <c r="Q249" s="333">
        <f>MIN(MAX(SUM($D247:Q247),0),MAX(Q247,0))</f>
        <v>0</v>
      </c>
      <c r="R249" s="333">
        <f>MIN(MAX(SUM($D247:R247),0),MAX(R247,0))</f>
        <v>0</v>
      </c>
      <c r="S249" s="333">
        <f>MIN(MAX(SUM($D247:S247),0),MAX(S247,0))</f>
        <v>0</v>
      </c>
      <c r="T249" s="333">
        <f>MIN(MAX(SUM($D247:T247),0),MAX(T247,0))</f>
        <v>0</v>
      </c>
      <c r="U249" s="333">
        <f>MIN(MAX(SUM($D247:U247),0),MAX(U247,0))</f>
        <v>0</v>
      </c>
      <c r="V249" s="333">
        <f>MIN(MAX(SUM($D247:V247),0),MAX(V247,0))</f>
        <v>0</v>
      </c>
      <c r="W249" s="333">
        <f>MIN(MAX(SUM($D247:W247),0),MAX(W247,0))</f>
        <v>0</v>
      </c>
      <c r="X249" s="333">
        <f>MIN(MAX(SUM($D247:X247),0),MAX(X247,0))</f>
        <v>0</v>
      </c>
      <c r="Y249" s="333">
        <f>MIN(MAX(SUM($D247:Y247),0),MAX(Y247,0))</f>
        <v>0</v>
      </c>
      <c r="Z249" s="333">
        <f>MIN(MAX(SUM($D247:Z247),0),MAX(Z247,0))</f>
        <v>0</v>
      </c>
      <c r="AA249" s="333">
        <f>MIN(MAX(SUM($D247:AA247),0),MAX(AA247,0))</f>
        <v>0</v>
      </c>
      <c r="AB249" s="333">
        <f>MIN(MAX(SUM($D247:AB247),0),MAX(AB247,0))</f>
        <v>0</v>
      </c>
      <c r="AC249" s="333">
        <f>MIN(MAX(SUM($D247:AC247),0),MAX(AC247,0))</f>
        <v>0</v>
      </c>
      <c r="AD249" s="333">
        <f>MIN(MAX(SUM($D247:AD247),0),MAX(AD247,0))</f>
        <v>0</v>
      </c>
      <c r="AE249" s="333">
        <f>MIN(MAX(SUM($D247:AE247),0),MAX(AE247,0))</f>
        <v>0</v>
      </c>
      <c r="AF249" s="333">
        <f>MIN(MAX(SUM($D247:AF247),0),MAX(AF247,0))</f>
        <v>0</v>
      </c>
      <c r="AG249" s="333">
        <f>MIN(MAX(SUM($D247:AG247),0),MAX(AG247,0))</f>
        <v>0</v>
      </c>
      <c r="AH249" s="333">
        <f>MIN(MAX(SUM($D247:AH247),0),MAX(AH247,0))</f>
        <v>0</v>
      </c>
      <c r="AI249" s="333">
        <f>MIN(MAX(SUM($D247:AI247),0),MAX(AI247,0))</f>
        <v>0</v>
      </c>
      <c r="AJ249" s="333">
        <f>MIN(MAX(SUM($D247:AJ247),0),MAX(AJ247,0))</f>
        <v>0</v>
      </c>
      <c r="AK249" s="333">
        <f>MIN(MAX(SUM($D247:AK247),0),MAX(AK247,0))</f>
        <v>0</v>
      </c>
      <c r="AL249" s="333">
        <f>MIN(MAX(SUM($D247:AL247),0),MAX(AL247,0))</f>
        <v>38190.076793333377</v>
      </c>
      <c r="AM249" s="333">
        <f>MIN(MAX(SUM($D247:AM247),0),MAX(AM247,0))</f>
        <v>63358.828266666686</v>
      </c>
      <c r="AN249" s="323"/>
      <c r="AO249" s="323"/>
      <c r="AP249" s="323"/>
      <c r="AQ249" s="323"/>
      <c r="AR249" s="323"/>
      <c r="AS249" s="323"/>
      <c r="AT249" s="323"/>
      <c r="AU249" s="323"/>
      <c r="AV249" s="323"/>
      <c r="AW249" s="323"/>
      <c r="AX249" s="323"/>
      <c r="AY249" s="323"/>
      <c r="AZ249" s="323"/>
      <c r="BA249" s="323"/>
      <c r="BB249" s="323"/>
      <c r="BC249" s="323"/>
      <c r="BD249" s="323"/>
      <c r="BE249" s="323"/>
      <c r="BF249" s="323"/>
      <c r="BG249" s="323"/>
      <c r="BH249" s="323"/>
      <c r="BI249" s="323"/>
      <c r="BJ249" s="323"/>
      <c r="BK249" s="323"/>
      <c r="BL249" s="323"/>
      <c r="BM249" s="323"/>
      <c r="BN249" s="323"/>
      <c r="BO249" s="323"/>
      <c r="BP249" s="323"/>
      <c r="BQ249" s="323"/>
      <c r="BR249" s="323"/>
    </row>
    <row r="250" spans="2:70">
      <c r="B250" s="593" t="s">
        <v>162</v>
      </c>
      <c r="D250" s="333">
        <f>$D$91*D249</f>
        <v>0</v>
      </c>
      <c r="E250" s="333">
        <f t="shared" ref="E250:AM250" si="265">$D$91*E249</f>
        <v>0</v>
      </c>
      <c r="F250" s="333">
        <f t="shared" si="265"/>
        <v>0</v>
      </c>
      <c r="G250" s="333">
        <f t="shared" si="265"/>
        <v>0</v>
      </c>
      <c r="H250" s="333">
        <f t="shared" si="265"/>
        <v>0</v>
      </c>
      <c r="I250" s="333">
        <f t="shared" si="265"/>
        <v>0</v>
      </c>
      <c r="J250" s="333">
        <f t="shared" si="265"/>
        <v>0</v>
      </c>
      <c r="K250" s="333">
        <f t="shared" si="265"/>
        <v>0</v>
      </c>
      <c r="L250" s="333">
        <f t="shared" si="265"/>
        <v>0</v>
      </c>
      <c r="M250" s="333">
        <f t="shared" si="265"/>
        <v>0</v>
      </c>
      <c r="N250" s="333">
        <f t="shared" si="265"/>
        <v>0</v>
      </c>
      <c r="O250" s="333">
        <f t="shared" si="265"/>
        <v>0</v>
      </c>
      <c r="P250" s="333">
        <f t="shared" si="265"/>
        <v>0</v>
      </c>
      <c r="Q250" s="333">
        <f t="shared" si="265"/>
        <v>0</v>
      </c>
      <c r="R250" s="333">
        <f t="shared" si="265"/>
        <v>0</v>
      </c>
      <c r="S250" s="333">
        <f t="shared" si="265"/>
        <v>0</v>
      </c>
      <c r="T250" s="333">
        <f t="shared" si="265"/>
        <v>0</v>
      </c>
      <c r="U250" s="333">
        <f t="shared" si="265"/>
        <v>0</v>
      </c>
      <c r="V250" s="333">
        <f t="shared" si="265"/>
        <v>0</v>
      </c>
      <c r="W250" s="333">
        <f t="shared" si="265"/>
        <v>0</v>
      </c>
      <c r="X250" s="333">
        <f t="shared" si="265"/>
        <v>0</v>
      </c>
      <c r="Y250" s="333">
        <f t="shared" si="265"/>
        <v>0</v>
      </c>
      <c r="Z250" s="333">
        <f t="shared" si="265"/>
        <v>0</v>
      </c>
      <c r="AA250" s="333">
        <f t="shared" si="265"/>
        <v>0</v>
      </c>
      <c r="AB250" s="333">
        <f>$D$91*AB249</f>
        <v>0</v>
      </c>
      <c r="AC250" s="333">
        <f t="shared" si="265"/>
        <v>0</v>
      </c>
      <c r="AD250" s="333">
        <f t="shared" si="265"/>
        <v>0</v>
      </c>
      <c r="AE250" s="333">
        <f t="shared" si="265"/>
        <v>0</v>
      </c>
      <c r="AF250" s="333">
        <f t="shared" si="265"/>
        <v>0</v>
      </c>
      <c r="AG250" s="333">
        <f t="shared" si="265"/>
        <v>0</v>
      </c>
      <c r="AH250" s="333">
        <f t="shared" si="265"/>
        <v>0</v>
      </c>
      <c r="AI250" s="333">
        <f t="shared" si="265"/>
        <v>0</v>
      </c>
      <c r="AJ250" s="333">
        <f t="shared" si="265"/>
        <v>0</v>
      </c>
      <c r="AK250" s="333">
        <f t="shared" si="265"/>
        <v>0</v>
      </c>
      <c r="AL250" s="333">
        <f t="shared" si="265"/>
        <v>9547.5191983333443</v>
      </c>
      <c r="AM250" s="333">
        <f t="shared" si="265"/>
        <v>15839.707066666671</v>
      </c>
      <c r="AN250" s="323"/>
      <c r="AO250" s="323"/>
      <c r="AP250" s="323"/>
      <c r="AQ250" s="323"/>
      <c r="AR250" s="323"/>
      <c r="AS250" s="323"/>
      <c r="AT250" s="323"/>
      <c r="AU250" s="323"/>
      <c r="AV250" s="323"/>
      <c r="AW250" s="323"/>
      <c r="AX250" s="323"/>
      <c r="AY250" s="323"/>
      <c r="AZ250" s="323"/>
      <c r="BA250" s="323"/>
      <c r="BB250" s="323"/>
      <c r="BC250" s="323"/>
      <c r="BD250" s="323"/>
      <c r="BE250" s="323"/>
      <c r="BF250" s="323"/>
      <c r="BG250" s="323"/>
      <c r="BH250" s="323"/>
      <c r="BI250" s="323"/>
      <c r="BJ250" s="323"/>
      <c r="BK250" s="323"/>
      <c r="BL250" s="323"/>
      <c r="BM250" s="323"/>
      <c r="BN250" s="323"/>
      <c r="BO250" s="323"/>
      <c r="BP250" s="323"/>
      <c r="BQ250" s="323"/>
      <c r="BR250" s="323"/>
    </row>
    <row r="251" spans="2:70">
      <c r="D251" s="333"/>
      <c r="E251" s="333"/>
      <c r="F251" s="333"/>
      <c r="G251" s="333"/>
      <c r="H251" s="333"/>
      <c r="I251" s="333"/>
      <c r="J251" s="333"/>
      <c r="K251" s="333"/>
      <c r="L251" s="333"/>
      <c r="M251" s="333"/>
      <c r="N251" s="333"/>
      <c r="O251" s="597"/>
      <c r="P251" s="333"/>
      <c r="Q251" s="333"/>
      <c r="R251" s="333"/>
      <c r="S251" s="333"/>
      <c r="T251" s="333"/>
      <c r="U251" s="333"/>
      <c r="V251" s="333"/>
      <c r="W251" s="333"/>
      <c r="X251" s="333"/>
      <c r="Y251" s="333"/>
      <c r="Z251" s="333"/>
      <c r="AA251" s="597"/>
      <c r="AB251" s="333"/>
      <c r="AC251" s="333"/>
      <c r="AD251" s="333"/>
      <c r="AE251" s="333"/>
      <c r="AF251" s="333"/>
      <c r="AG251" s="333"/>
      <c r="AH251" s="333"/>
      <c r="AI251" s="333"/>
      <c r="AJ251" s="333"/>
      <c r="AK251" s="333"/>
      <c r="AL251" s="333"/>
      <c r="AM251" s="333"/>
      <c r="AN251" s="323"/>
      <c r="AO251" s="323"/>
      <c r="AP251" s="323"/>
      <c r="AQ251" s="323"/>
      <c r="AR251" s="323"/>
      <c r="AS251" s="323"/>
      <c r="AT251" s="323"/>
      <c r="AU251" s="323"/>
      <c r="AV251" s="323"/>
      <c r="AW251" s="323"/>
      <c r="AX251" s="323"/>
      <c r="AY251" s="323"/>
      <c r="AZ251" s="323"/>
      <c r="BA251" s="323"/>
      <c r="BB251" s="323"/>
      <c r="BC251" s="323"/>
      <c r="BD251" s="323"/>
      <c r="BE251" s="323"/>
      <c r="BF251" s="323"/>
      <c r="BG251" s="323"/>
      <c r="BH251" s="323"/>
      <c r="BI251" s="323"/>
      <c r="BJ251" s="323"/>
      <c r="BK251" s="323"/>
      <c r="BL251" s="323"/>
      <c r="BM251" s="323"/>
      <c r="BN251" s="323"/>
      <c r="BO251" s="323"/>
      <c r="BP251" s="323"/>
      <c r="BQ251" s="323"/>
      <c r="BR251" s="323"/>
    </row>
    <row r="252" spans="2:70">
      <c r="D252" s="333"/>
      <c r="E252" s="333"/>
      <c r="F252" s="333"/>
      <c r="G252" s="333"/>
      <c r="H252" s="333"/>
      <c r="I252" s="333"/>
      <c r="J252" s="333"/>
      <c r="K252" s="333"/>
      <c r="L252" s="333"/>
      <c r="M252" s="333"/>
      <c r="N252" s="333"/>
      <c r="O252" s="597"/>
      <c r="P252" s="333"/>
      <c r="Q252" s="333"/>
      <c r="R252" s="333"/>
      <c r="S252" s="333"/>
      <c r="T252" s="333"/>
      <c r="U252" s="333"/>
      <c r="V252" s="333"/>
      <c r="W252" s="333"/>
      <c r="X252" s="333"/>
      <c r="Y252" s="333"/>
      <c r="Z252" s="333"/>
      <c r="AA252" s="597"/>
      <c r="AB252" s="333"/>
      <c r="AC252" s="333"/>
      <c r="AD252" s="333"/>
      <c r="AE252" s="333"/>
      <c r="AF252" s="333"/>
      <c r="AG252" s="333"/>
      <c r="AH252" s="333"/>
      <c r="AI252" s="333"/>
      <c r="AJ252" s="333"/>
      <c r="AK252" s="333"/>
      <c r="AL252" s="333"/>
      <c r="AM252" s="333"/>
      <c r="AN252" s="323"/>
      <c r="AO252" s="323"/>
      <c r="AP252" s="323"/>
      <c r="AQ252" s="323"/>
      <c r="AR252" s="323"/>
      <c r="AS252" s="323"/>
      <c r="AT252" s="323"/>
      <c r="AU252" s="323"/>
      <c r="AV252" s="323"/>
      <c r="AW252" s="323"/>
      <c r="AX252" s="323"/>
      <c r="AY252" s="323"/>
      <c r="AZ252" s="323"/>
      <c r="BA252" s="323"/>
      <c r="BB252" s="323"/>
      <c r="BC252" s="323"/>
      <c r="BD252" s="323"/>
      <c r="BE252" s="323"/>
      <c r="BF252" s="323"/>
      <c r="BG252" s="323"/>
      <c r="BH252" s="323"/>
      <c r="BI252" s="323"/>
      <c r="BJ252" s="323"/>
      <c r="BK252" s="323"/>
      <c r="BL252" s="323"/>
      <c r="BM252" s="323"/>
      <c r="BN252" s="323"/>
      <c r="BO252" s="323"/>
      <c r="BP252" s="323"/>
      <c r="BQ252" s="323"/>
      <c r="BR252" s="323"/>
    </row>
    <row r="253" spans="2:70">
      <c r="D253" s="333"/>
      <c r="E253" s="333"/>
      <c r="F253" s="333"/>
      <c r="G253" s="333"/>
      <c r="H253" s="333"/>
      <c r="I253" s="333"/>
      <c r="J253" s="333"/>
      <c r="K253" s="333"/>
      <c r="L253" s="333"/>
      <c r="M253" s="333"/>
      <c r="N253" s="333"/>
      <c r="O253" s="597"/>
      <c r="P253" s="333"/>
      <c r="Q253" s="333"/>
      <c r="R253" s="333"/>
      <c r="S253" s="333"/>
      <c r="T253" s="333"/>
      <c r="U253" s="333"/>
      <c r="V253" s="333"/>
      <c r="W253" s="333"/>
      <c r="X253" s="333"/>
      <c r="Y253" s="333"/>
      <c r="Z253" s="333"/>
      <c r="AA253" s="597"/>
      <c r="AB253" s="333"/>
      <c r="AC253" s="333"/>
      <c r="AD253" s="333"/>
      <c r="AE253" s="333"/>
      <c r="AF253" s="333"/>
      <c r="AG253" s="333"/>
      <c r="AH253" s="333"/>
      <c r="AI253" s="333"/>
      <c r="AJ253" s="333"/>
      <c r="AK253" s="333"/>
      <c r="AL253" s="333"/>
      <c r="AM253" s="333"/>
      <c r="AN253" s="323"/>
      <c r="AO253" s="323"/>
      <c r="AP253" s="323"/>
      <c r="AQ253" s="323"/>
      <c r="AR253" s="323"/>
      <c r="AS253" s="323"/>
      <c r="AT253" s="323"/>
      <c r="AU253" s="323"/>
      <c r="AV253" s="323"/>
      <c r="AW253" s="323"/>
      <c r="AX253" s="323"/>
      <c r="AY253" s="323"/>
      <c r="AZ253" s="323"/>
      <c r="BA253" s="323"/>
      <c r="BB253" s="323"/>
      <c r="BC253" s="323"/>
      <c r="BD253" s="323"/>
      <c r="BE253" s="323"/>
      <c r="BF253" s="323"/>
      <c r="BG253" s="323"/>
      <c r="BH253" s="323"/>
      <c r="BI253" s="323"/>
      <c r="BJ253" s="323"/>
      <c r="BK253" s="323"/>
      <c r="BL253" s="323"/>
      <c r="BM253" s="323"/>
      <c r="BN253" s="323"/>
      <c r="BO253" s="323"/>
      <c r="BP253" s="323"/>
      <c r="BQ253" s="323"/>
      <c r="BR253" s="323"/>
    </row>
    <row r="254" spans="2:70">
      <c r="D254" s="333"/>
      <c r="E254" s="333"/>
      <c r="F254" s="333"/>
      <c r="G254" s="333"/>
      <c r="H254" s="333"/>
      <c r="I254" s="333"/>
      <c r="J254" s="333"/>
      <c r="K254" s="333"/>
      <c r="L254" s="333"/>
      <c r="M254" s="333"/>
      <c r="N254" s="333"/>
      <c r="O254" s="597"/>
      <c r="P254" s="333"/>
      <c r="Q254" s="333"/>
      <c r="R254" s="333"/>
      <c r="S254" s="333"/>
      <c r="T254" s="333"/>
      <c r="U254" s="333"/>
      <c r="V254" s="333"/>
      <c r="W254" s="333"/>
      <c r="X254" s="333"/>
      <c r="Y254" s="333"/>
      <c r="Z254" s="333"/>
      <c r="AA254" s="597"/>
      <c r="AB254" s="333"/>
      <c r="AC254" s="333"/>
      <c r="AD254" s="333"/>
      <c r="AE254" s="333"/>
      <c r="AF254" s="333"/>
      <c r="AG254" s="333"/>
      <c r="AH254" s="333"/>
      <c r="AI254" s="333"/>
      <c r="AJ254" s="333"/>
      <c r="AK254" s="333"/>
      <c r="AL254" s="333"/>
      <c r="AM254" s="333"/>
      <c r="AN254" s="323"/>
      <c r="AO254" s="323"/>
      <c r="AP254" s="323"/>
      <c r="AQ254" s="323"/>
      <c r="AR254" s="323"/>
      <c r="AS254" s="323"/>
      <c r="AT254" s="323"/>
      <c r="AU254" s="323"/>
      <c r="AV254" s="323"/>
      <c r="AW254" s="323"/>
      <c r="AX254" s="323"/>
      <c r="AY254" s="323"/>
      <c r="AZ254" s="323"/>
      <c r="BA254" s="323"/>
      <c r="BB254" s="323"/>
      <c r="BC254" s="323"/>
      <c r="BD254" s="323"/>
      <c r="BE254" s="323"/>
      <c r="BF254" s="323"/>
      <c r="BG254" s="323"/>
      <c r="BH254" s="323"/>
      <c r="BI254" s="323"/>
      <c r="BJ254" s="323"/>
      <c r="BK254" s="323"/>
      <c r="BL254" s="323"/>
      <c r="BM254" s="323"/>
      <c r="BN254" s="323"/>
      <c r="BO254" s="323"/>
      <c r="BP254" s="323"/>
      <c r="BQ254" s="323"/>
      <c r="BR254" s="323"/>
    </row>
    <row r="255" spans="2:70">
      <c r="D255" s="333"/>
      <c r="E255" s="333"/>
      <c r="F255" s="333"/>
      <c r="G255" s="333"/>
      <c r="H255" s="333"/>
      <c r="I255" s="333"/>
      <c r="J255" s="333"/>
      <c r="K255" s="333"/>
      <c r="L255" s="333"/>
      <c r="M255" s="333"/>
      <c r="N255" s="333"/>
      <c r="O255" s="597"/>
      <c r="P255" s="333"/>
      <c r="Q255" s="333"/>
      <c r="R255" s="333"/>
      <c r="S255" s="333"/>
      <c r="T255" s="333"/>
      <c r="U255" s="333"/>
      <c r="V255" s="333"/>
      <c r="W255" s="333"/>
      <c r="X255" s="333"/>
      <c r="Y255" s="333"/>
      <c r="Z255" s="333"/>
      <c r="AA255" s="597"/>
      <c r="AB255" s="333"/>
      <c r="AC255" s="333"/>
      <c r="AD255" s="333"/>
      <c r="AE255" s="333"/>
      <c r="AF255" s="333"/>
      <c r="AG255" s="333"/>
      <c r="AH255" s="333"/>
      <c r="AI255" s="333"/>
      <c r="AJ255" s="333"/>
      <c r="AK255" s="333"/>
      <c r="AL255" s="333"/>
      <c r="AM255" s="333"/>
      <c r="AN255" s="323"/>
      <c r="AO255" s="323"/>
      <c r="AP255" s="323"/>
      <c r="AQ255" s="323"/>
      <c r="AR255" s="323"/>
      <c r="AS255" s="323"/>
      <c r="AT255" s="323"/>
      <c r="AU255" s="323"/>
      <c r="AV255" s="323"/>
      <c r="AW255" s="323"/>
      <c r="AX255" s="323"/>
      <c r="AY255" s="323"/>
      <c r="AZ255" s="323"/>
      <c r="BA255" s="323"/>
      <c r="BB255" s="323"/>
      <c r="BC255" s="323"/>
      <c r="BD255" s="323"/>
      <c r="BE255" s="323"/>
      <c r="BF255" s="323"/>
      <c r="BG255" s="323"/>
      <c r="BH255" s="323"/>
      <c r="BI255" s="323"/>
      <c r="BJ255" s="323"/>
      <c r="BK255" s="323"/>
      <c r="BL255" s="323"/>
      <c r="BM255" s="323"/>
      <c r="BN255" s="323"/>
      <c r="BO255" s="323"/>
      <c r="BP255" s="323"/>
      <c r="BQ255" s="323"/>
      <c r="BR255" s="323"/>
    </row>
    <row r="256" spans="2:70">
      <c r="D256" s="333"/>
      <c r="E256" s="333"/>
      <c r="F256" s="333"/>
      <c r="G256" s="333"/>
      <c r="H256" s="333"/>
      <c r="I256" s="333"/>
      <c r="J256" s="333"/>
      <c r="K256" s="333"/>
      <c r="L256" s="333"/>
      <c r="M256" s="333"/>
      <c r="N256" s="333"/>
      <c r="O256" s="597"/>
      <c r="P256" s="333"/>
      <c r="Q256" s="333"/>
      <c r="R256" s="333"/>
      <c r="S256" s="333"/>
      <c r="T256" s="333"/>
      <c r="U256" s="333"/>
      <c r="V256" s="333"/>
      <c r="W256" s="333"/>
      <c r="X256" s="333"/>
      <c r="Y256" s="333"/>
      <c r="Z256" s="333"/>
      <c r="AA256" s="597"/>
      <c r="AB256" s="333"/>
      <c r="AC256" s="333"/>
      <c r="AD256" s="333"/>
      <c r="AE256" s="333"/>
      <c r="AF256" s="333"/>
      <c r="AG256" s="333"/>
      <c r="AH256" s="333"/>
      <c r="AI256" s="333"/>
      <c r="AJ256" s="333"/>
      <c r="AK256" s="333"/>
      <c r="AL256" s="333"/>
      <c r="AM256" s="333"/>
      <c r="AN256" s="323"/>
      <c r="AO256" s="323"/>
      <c r="AP256" s="323"/>
      <c r="AQ256" s="323"/>
      <c r="AR256" s="323"/>
      <c r="AS256" s="323"/>
      <c r="AT256" s="323"/>
      <c r="AU256" s="323"/>
      <c r="AV256" s="323"/>
      <c r="AW256" s="323"/>
      <c r="AX256" s="323"/>
      <c r="AY256" s="323"/>
      <c r="AZ256" s="323"/>
      <c r="BA256" s="323"/>
      <c r="BB256" s="323"/>
      <c r="BC256" s="323"/>
      <c r="BD256" s="323"/>
      <c r="BE256" s="323"/>
      <c r="BF256" s="323"/>
      <c r="BG256" s="323"/>
      <c r="BH256" s="323"/>
      <c r="BI256" s="323"/>
      <c r="BJ256" s="323"/>
      <c r="BK256" s="323"/>
      <c r="BL256" s="323"/>
      <c r="BM256" s="323"/>
      <c r="BN256" s="323"/>
      <c r="BO256" s="323"/>
      <c r="BP256" s="323"/>
      <c r="BQ256" s="323"/>
      <c r="BR256" s="323"/>
    </row>
    <row r="257" spans="4:70">
      <c r="D257" s="333"/>
      <c r="E257" s="333"/>
      <c r="F257" s="333"/>
      <c r="G257" s="333"/>
      <c r="H257" s="333"/>
      <c r="I257" s="333"/>
      <c r="J257" s="333"/>
      <c r="K257" s="333"/>
      <c r="L257" s="333"/>
      <c r="M257" s="333"/>
      <c r="N257" s="333"/>
      <c r="O257" s="597"/>
      <c r="P257" s="333"/>
      <c r="Q257" s="333"/>
      <c r="R257" s="333"/>
      <c r="S257" s="333"/>
      <c r="T257" s="333"/>
      <c r="U257" s="333"/>
      <c r="V257" s="333"/>
      <c r="W257" s="333"/>
      <c r="X257" s="333"/>
      <c r="Y257" s="333"/>
      <c r="Z257" s="333"/>
      <c r="AA257" s="597"/>
      <c r="AB257" s="333"/>
      <c r="AC257" s="333"/>
      <c r="AD257" s="333"/>
      <c r="AE257" s="333"/>
      <c r="AF257" s="333"/>
      <c r="AG257" s="333"/>
      <c r="AH257" s="333"/>
      <c r="AI257" s="333"/>
      <c r="AJ257" s="333"/>
      <c r="AK257" s="333"/>
      <c r="AL257" s="333"/>
      <c r="AM257" s="333"/>
      <c r="AN257" s="323"/>
      <c r="AO257" s="323"/>
      <c r="AP257" s="323"/>
      <c r="AQ257" s="323"/>
      <c r="AR257" s="323"/>
      <c r="AS257" s="323"/>
      <c r="AT257" s="323"/>
      <c r="AU257" s="323"/>
      <c r="AV257" s="323"/>
      <c r="AW257" s="323"/>
      <c r="AX257" s="323"/>
      <c r="AY257" s="323"/>
      <c r="AZ257" s="323"/>
      <c r="BA257" s="323"/>
      <c r="BB257" s="323"/>
      <c r="BC257" s="323"/>
      <c r="BD257" s="323"/>
      <c r="BE257" s="323"/>
      <c r="BF257" s="323"/>
      <c r="BG257" s="323"/>
      <c r="BH257" s="323"/>
      <c r="BI257" s="323"/>
      <c r="BJ257" s="323"/>
      <c r="BK257" s="323"/>
      <c r="BL257" s="323"/>
      <c r="BM257" s="323"/>
      <c r="BN257" s="323"/>
      <c r="BO257" s="323"/>
      <c r="BP257" s="323"/>
      <c r="BQ257" s="323"/>
      <c r="BR257" s="323"/>
    </row>
    <row r="258" spans="4:70">
      <c r="D258" s="333"/>
      <c r="E258" s="333"/>
      <c r="F258" s="333"/>
      <c r="G258" s="333"/>
      <c r="H258" s="333"/>
      <c r="I258" s="333"/>
      <c r="J258" s="333"/>
      <c r="K258" s="333"/>
      <c r="L258" s="333"/>
      <c r="M258" s="333"/>
      <c r="N258" s="333"/>
      <c r="O258" s="597"/>
      <c r="P258" s="333"/>
      <c r="Q258" s="333"/>
      <c r="R258" s="333"/>
      <c r="S258" s="333"/>
      <c r="T258" s="333"/>
      <c r="U258" s="333"/>
      <c r="V258" s="333"/>
      <c r="W258" s="333"/>
      <c r="X258" s="333"/>
      <c r="Y258" s="333"/>
      <c r="Z258" s="333"/>
      <c r="AA258" s="597"/>
      <c r="AB258" s="333"/>
      <c r="AC258" s="333"/>
      <c r="AD258" s="333"/>
      <c r="AE258" s="333"/>
      <c r="AF258" s="333"/>
      <c r="AG258" s="333"/>
      <c r="AH258" s="333"/>
      <c r="AI258" s="333"/>
      <c r="AJ258" s="333"/>
      <c r="AK258" s="333"/>
      <c r="AL258" s="333"/>
      <c r="AM258" s="333"/>
      <c r="AN258" s="323"/>
      <c r="AO258" s="323"/>
      <c r="AP258" s="323"/>
      <c r="AQ258" s="323"/>
      <c r="AR258" s="323"/>
      <c r="AS258" s="323"/>
      <c r="AT258" s="323"/>
      <c r="AU258" s="323"/>
      <c r="AV258" s="323"/>
      <c r="AW258" s="323"/>
      <c r="AX258" s="323"/>
      <c r="AY258" s="323"/>
      <c r="AZ258" s="323"/>
      <c r="BA258" s="323"/>
      <c r="BB258" s="323"/>
      <c r="BC258" s="323"/>
      <c r="BD258" s="323"/>
      <c r="BE258" s="323"/>
      <c r="BF258" s="323"/>
      <c r="BG258" s="323"/>
      <c r="BH258" s="323"/>
      <c r="BI258" s="323"/>
      <c r="BJ258" s="323"/>
      <c r="BK258" s="323"/>
      <c r="BL258" s="323"/>
      <c r="BM258" s="323"/>
      <c r="BN258" s="323"/>
      <c r="BO258" s="323"/>
      <c r="BP258" s="323"/>
      <c r="BQ258" s="323"/>
      <c r="BR258" s="323"/>
    </row>
    <row r="259" spans="4:70" ht="17.399999999999999">
      <c r="D259" s="333"/>
      <c r="E259" s="333"/>
      <c r="F259" s="641"/>
      <c r="G259" s="333"/>
      <c r="H259" s="333"/>
      <c r="I259" s="333"/>
      <c r="J259" s="333"/>
      <c r="K259" s="333"/>
      <c r="L259" s="333"/>
      <c r="M259" s="333"/>
      <c r="N259" s="333"/>
      <c r="O259" s="597"/>
      <c r="P259" s="333"/>
      <c r="Q259" s="333"/>
      <c r="R259" s="333"/>
      <c r="S259" s="333"/>
      <c r="T259" s="333"/>
      <c r="U259" s="333"/>
      <c r="V259" s="333"/>
      <c r="W259" s="333"/>
      <c r="X259" s="333"/>
      <c r="Y259" s="333"/>
      <c r="Z259" s="333"/>
      <c r="AA259" s="597"/>
      <c r="AB259" s="333"/>
      <c r="AC259" s="333"/>
      <c r="AD259" s="333"/>
      <c r="AE259" s="333"/>
      <c r="AF259" s="333"/>
      <c r="AG259" s="333"/>
      <c r="AH259" s="333"/>
      <c r="AI259" s="333"/>
      <c r="AJ259" s="333"/>
      <c r="AK259" s="333"/>
      <c r="AL259" s="333"/>
      <c r="AM259" s="333"/>
      <c r="AN259" s="323"/>
      <c r="AO259" s="323"/>
      <c r="AP259" s="323"/>
      <c r="AQ259" s="323"/>
      <c r="AR259" s="323"/>
      <c r="AS259" s="323"/>
      <c r="AT259" s="323"/>
      <c r="AU259" s="323"/>
      <c r="AV259" s="323"/>
      <c r="AW259" s="323"/>
      <c r="AX259" s="323"/>
      <c r="AY259" s="323"/>
      <c r="AZ259" s="323"/>
      <c r="BA259" s="323"/>
      <c r="BB259" s="323"/>
      <c r="BC259" s="323"/>
      <c r="BD259" s="323"/>
      <c r="BE259" s="323"/>
      <c r="BF259" s="323"/>
      <c r="BG259" s="323"/>
      <c r="BH259" s="323"/>
      <c r="BI259" s="323"/>
      <c r="BJ259" s="323"/>
      <c r="BK259" s="323"/>
      <c r="BL259" s="323"/>
      <c r="BM259" s="323"/>
      <c r="BN259" s="323"/>
      <c r="BO259" s="323"/>
      <c r="BP259" s="323"/>
      <c r="BQ259" s="323"/>
      <c r="BR259" s="323"/>
    </row>
    <row r="260" spans="4:70">
      <c r="D260" s="333"/>
      <c r="E260" s="333"/>
      <c r="F260" s="333"/>
      <c r="G260" s="333"/>
      <c r="H260" s="333"/>
      <c r="I260" s="333"/>
      <c r="J260" s="333"/>
      <c r="K260" s="333"/>
      <c r="L260" s="333"/>
      <c r="M260" s="333"/>
      <c r="N260" s="333"/>
      <c r="O260" s="597"/>
      <c r="P260" s="333"/>
      <c r="Q260" s="333"/>
      <c r="R260" s="333"/>
      <c r="S260" s="333"/>
      <c r="T260" s="333"/>
      <c r="U260" s="333"/>
      <c r="V260" s="333"/>
      <c r="W260" s="333"/>
      <c r="X260" s="333"/>
      <c r="Y260" s="333"/>
      <c r="Z260" s="333"/>
      <c r="AA260" s="597"/>
      <c r="AB260" s="333"/>
      <c r="AC260" s="333"/>
      <c r="AD260" s="333"/>
      <c r="AE260" s="333"/>
      <c r="AF260" s="333"/>
      <c r="AG260" s="333"/>
      <c r="AH260" s="333"/>
      <c r="AI260" s="333"/>
      <c r="AJ260" s="333"/>
      <c r="AK260" s="333"/>
      <c r="AL260" s="333"/>
      <c r="AM260" s="333"/>
      <c r="AN260" s="323"/>
      <c r="AO260" s="323"/>
      <c r="AP260" s="323"/>
      <c r="AQ260" s="323"/>
      <c r="AR260" s="323"/>
      <c r="AS260" s="323"/>
      <c r="AT260" s="323"/>
      <c r="AU260" s="323"/>
      <c r="AV260" s="323"/>
      <c r="AW260" s="323"/>
      <c r="AX260" s="323"/>
      <c r="AY260" s="323"/>
      <c r="AZ260" s="323"/>
      <c r="BA260" s="323"/>
      <c r="BB260" s="323"/>
      <c r="BC260" s="323"/>
      <c r="BD260" s="323"/>
      <c r="BE260" s="323"/>
      <c r="BF260" s="323"/>
      <c r="BG260" s="323"/>
      <c r="BH260" s="323"/>
      <c r="BI260" s="323"/>
      <c r="BJ260" s="323"/>
      <c r="BK260" s="323"/>
      <c r="BL260" s="323"/>
      <c r="BM260" s="323"/>
      <c r="BN260" s="323"/>
      <c r="BO260" s="323"/>
      <c r="BP260" s="323"/>
      <c r="BQ260" s="323"/>
      <c r="BR260" s="323"/>
    </row>
    <row r="261" spans="4:70">
      <c r="D261" s="333"/>
      <c r="E261" s="333"/>
      <c r="F261" s="333"/>
      <c r="G261" s="333"/>
      <c r="H261" s="333"/>
      <c r="I261" s="333"/>
      <c r="J261" s="333"/>
      <c r="K261" s="333"/>
      <c r="L261" s="333"/>
      <c r="M261" s="333"/>
      <c r="N261" s="333"/>
      <c r="O261" s="597"/>
      <c r="P261" s="333"/>
      <c r="Q261" s="333"/>
      <c r="R261" s="333"/>
      <c r="S261" s="333"/>
      <c r="T261" s="333"/>
      <c r="U261" s="333"/>
      <c r="V261" s="333"/>
      <c r="W261" s="333"/>
      <c r="X261" s="333"/>
      <c r="Y261" s="333"/>
      <c r="Z261" s="333"/>
      <c r="AA261" s="597"/>
      <c r="AB261" s="333"/>
      <c r="AC261" s="333"/>
      <c r="AD261" s="333"/>
      <c r="AE261" s="333"/>
      <c r="AF261" s="333"/>
      <c r="AG261" s="333"/>
      <c r="AH261" s="333"/>
      <c r="AI261" s="333"/>
      <c r="AJ261" s="333"/>
      <c r="AK261" s="333"/>
      <c r="AL261" s="333"/>
      <c r="AM261" s="333"/>
      <c r="AN261" s="323"/>
      <c r="AO261" s="323"/>
      <c r="AP261" s="323"/>
      <c r="AQ261" s="323"/>
      <c r="AR261" s="323"/>
      <c r="AS261" s="323"/>
      <c r="AT261" s="323"/>
      <c r="AU261" s="323"/>
      <c r="AV261" s="323"/>
      <c r="AW261" s="323"/>
      <c r="AX261" s="323"/>
      <c r="AY261" s="323"/>
      <c r="AZ261" s="323"/>
      <c r="BA261" s="323"/>
      <c r="BB261" s="323"/>
      <c r="BC261" s="323"/>
      <c r="BD261" s="323"/>
      <c r="BE261" s="323"/>
      <c r="BF261" s="323"/>
      <c r="BG261" s="323"/>
      <c r="BH261" s="323"/>
      <c r="BI261" s="323"/>
      <c r="BJ261" s="323"/>
      <c r="BK261" s="323"/>
      <c r="BL261" s="323"/>
      <c r="BM261" s="323"/>
      <c r="BN261" s="323"/>
      <c r="BO261" s="323"/>
      <c r="BP261" s="323"/>
      <c r="BQ261" s="323"/>
      <c r="BR261" s="323"/>
    </row>
    <row r="262" spans="4:70">
      <c r="D262" s="333"/>
      <c r="E262" s="333"/>
      <c r="F262" s="333"/>
      <c r="G262" s="333"/>
      <c r="H262" s="333"/>
      <c r="I262" s="333"/>
      <c r="J262" s="333"/>
      <c r="K262" s="333"/>
      <c r="L262" s="333"/>
      <c r="M262" s="333"/>
      <c r="N262" s="333"/>
      <c r="O262" s="597"/>
      <c r="P262" s="333"/>
      <c r="Q262" s="333"/>
      <c r="R262" s="333"/>
      <c r="S262" s="333"/>
      <c r="T262" s="333"/>
      <c r="U262" s="333"/>
      <c r="V262" s="333"/>
      <c r="W262" s="333"/>
      <c r="X262" s="333"/>
      <c r="Y262" s="333"/>
      <c r="Z262" s="333"/>
      <c r="AA262" s="597"/>
      <c r="AB262" s="333"/>
      <c r="AC262" s="333"/>
      <c r="AD262" s="333"/>
      <c r="AE262" s="333"/>
      <c r="AF262" s="333"/>
      <c r="AG262" s="333"/>
      <c r="AH262" s="333"/>
      <c r="AI262" s="333"/>
      <c r="AJ262" s="333"/>
      <c r="AK262" s="333"/>
      <c r="AL262" s="333"/>
      <c r="AM262" s="333"/>
      <c r="AN262" s="323"/>
      <c r="AO262" s="323"/>
      <c r="AP262" s="323"/>
      <c r="AQ262" s="323"/>
      <c r="AR262" s="323"/>
      <c r="AS262" s="323"/>
      <c r="AT262" s="323"/>
      <c r="AU262" s="323"/>
      <c r="AV262" s="323"/>
      <c r="AW262" s="323"/>
      <c r="AX262" s="323"/>
      <c r="AY262" s="323"/>
      <c r="AZ262" s="323"/>
      <c r="BA262" s="323"/>
      <c r="BB262" s="323"/>
      <c r="BC262" s="323"/>
      <c r="BD262" s="323"/>
      <c r="BE262" s="323"/>
      <c r="BF262" s="323"/>
      <c r="BG262" s="323"/>
      <c r="BH262" s="323"/>
      <c r="BI262" s="323"/>
      <c r="BJ262" s="323"/>
      <c r="BK262" s="323"/>
      <c r="BL262" s="323"/>
      <c r="BM262" s="323"/>
      <c r="BN262" s="323"/>
      <c r="BO262" s="323"/>
      <c r="BP262" s="323"/>
      <c r="BQ262" s="323"/>
      <c r="BR262" s="323"/>
    </row>
    <row r="263" spans="4:70">
      <c r="D263" s="333"/>
      <c r="E263" s="333"/>
      <c r="F263" s="333"/>
      <c r="G263" s="333"/>
      <c r="H263" s="333"/>
      <c r="I263" s="333"/>
      <c r="J263" s="333"/>
      <c r="K263" s="333"/>
      <c r="L263" s="333"/>
      <c r="M263" s="333"/>
      <c r="N263" s="333"/>
      <c r="O263" s="597"/>
      <c r="P263" s="333"/>
      <c r="Q263" s="333"/>
      <c r="R263" s="333"/>
      <c r="S263" s="333"/>
      <c r="T263" s="333"/>
      <c r="U263" s="333"/>
      <c r="V263" s="333"/>
      <c r="W263" s="333"/>
      <c r="X263" s="333"/>
      <c r="Y263" s="333"/>
      <c r="Z263" s="333"/>
      <c r="AA263" s="597"/>
      <c r="AB263" s="333"/>
      <c r="AC263" s="333"/>
      <c r="AD263" s="333"/>
      <c r="AE263" s="333"/>
      <c r="AF263" s="333"/>
      <c r="AG263" s="333"/>
      <c r="AH263" s="333"/>
      <c r="AI263" s="333"/>
      <c r="AJ263" s="333"/>
      <c r="AK263" s="333"/>
      <c r="AL263" s="333"/>
      <c r="AM263" s="333"/>
      <c r="AN263" s="323"/>
      <c r="AO263" s="323"/>
      <c r="AP263" s="323"/>
      <c r="AQ263" s="323"/>
      <c r="AR263" s="323"/>
      <c r="AS263" s="323"/>
      <c r="AT263" s="323"/>
      <c r="AU263" s="323"/>
      <c r="AV263" s="323"/>
      <c r="AW263" s="323"/>
      <c r="AX263" s="323"/>
      <c r="AY263" s="323"/>
      <c r="AZ263" s="323"/>
      <c r="BA263" s="323"/>
      <c r="BB263" s="323"/>
      <c r="BC263" s="323"/>
      <c r="BD263" s="323"/>
      <c r="BE263" s="323"/>
      <c r="BF263" s="323"/>
      <c r="BG263" s="323"/>
      <c r="BH263" s="323"/>
      <c r="BI263" s="323"/>
      <c r="BJ263" s="323"/>
      <c r="BK263" s="323"/>
      <c r="BL263" s="323"/>
      <c r="BM263" s="323"/>
      <c r="BN263" s="323"/>
      <c r="BO263" s="323"/>
      <c r="BP263" s="323"/>
      <c r="BQ263" s="323"/>
      <c r="BR263" s="323"/>
    </row>
    <row r="264" spans="4:70">
      <c r="D264" s="333"/>
      <c r="E264" s="333"/>
      <c r="F264" s="333"/>
      <c r="G264" s="333"/>
      <c r="H264" s="333"/>
      <c r="I264" s="333"/>
      <c r="J264" s="333"/>
      <c r="K264" s="333"/>
      <c r="L264" s="333"/>
      <c r="M264" s="333"/>
      <c r="N264" s="333"/>
      <c r="O264" s="597"/>
      <c r="P264" s="333"/>
      <c r="Q264" s="333"/>
      <c r="R264" s="333"/>
      <c r="S264" s="333"/>
      <c r="T264" s="333"/>
      <c r="U264" s="333"/>
      <c r="V264" s="333"/>
      <c r="W264" s="333"/>
      <c r="X264" s="333"/>
      <c r="Y264" s="333"/>
      <c r="Z264" s="333"/>
      <c r="AA264" s="597"/>
      <c r="AB264" s="333"/>
      <c r="AC264" s="333"/>
      <c r="AD264" s="333"/>
      <c r="AE264" s="333"/>
      <c r="AF264" s="333"/>
      <c r="AG264" s="333"/>
      <c r="AH264" s="333"/>
      <c r="AI264" s="333"/>
      <c r="AJ264" s="333"/>
      <c r="AK264" s="333"/>
      <c r="AL264" s="333"/>
      <c r="AM264" s="333"/>
      <c r="AN264" s="323"/>
      <c r="AO264" s="323"/>
      <c r="AP264" s="323"/>
      <c r="AQ264" s="323"/>
      <c r="AR264" s="323"/>
      <c r="AS264" s="323"/>
      <c r="AT264" s="323"/>
      <c r="AU264" s="323"/>
      <c r="AV264" s="323"/>
      <c r="AW264" s="323"/>
      <c r="AX264" s="323"/>
      <c r="AY264" s="323"/>
      <c r="AZ264" s="323"/>
      <c r="BA264" s="323"/>
      <c r="BB264" s="323"/>
      <c r="BC264" s="323"/>
      <c r="BD264" s="323"/>
      <c r="BE264" s="323"/>
      <c r="BF264" s="323"/>
      <c r="BG264" s="323"/>
      <c r="BH264" s="323"/>
      <c r="BI264" s="323"/>
      <c r="BJ264" s="323"/>
      <c r="BK264" s="323"/>
      <c r="BL264" s="323"/>
      <c r="BM264" s="323"/>
      <c r="BN264" s="323"/>
      <c r="BO264" s="323"/>
      <c r="BP264" s="323"/>
      <c r="BQ264" s="323"/>
      <c r="BR264" s="323"/>
    </row>
    <row r="265" spans="4:70">
      <c r="D265" s="333"/>
      <c r="E265" s="333"/>
      <c r="F265" s="333"/>
      <c r="G265" s="333"/>
      <c r="H265" s="333"/>
      <c r="I265" s="333"/>
      <c r="J265" s="333"/>
      <c r="K265" s="333"/>
      <c r="L265" s="333"/>
      <c r="M265" s="333"/>
      <c r="N265" s="333"/>
      <c r="O265" s="597"/>
      <c r="P265" s="333"/>
      <c r="Q265" s="333"/>
      <c r="R265" s="333"/>
      <c r="S265" s="333"/>
      <c r="T265" s="333"/>
      <c r="U265" s="333"/>
      <c r="V265" s="333"/>
      <c r="W265" s="333"/>
      <c r="X265" s="333"/>
      <c r="Y265" s="333"/>
      <c r="Z265" s="333"/>
      <c r="AA265" s="597"/>
      <c r="AB265" s="333"/>
      <c r="AC265" s="333"/>
      <c r="AD265" s="333"/>
      <c r="AE265" s="333"/>
      <c r="AF265" s="333"/>
      <c r="AG265" s="333"/>
      <c r="AH265" s="333"/>
      <c r="AI265" s="333"/>
      <c r="AJ265" s="333"/>
      <c r="AK265" s="333"/>
      <c r="AL265" s="333"/>
      <c r="AM265" s="333"/>
      <c r="AN265" s="323"/>
      <c r="AO265" s="323"/>
      <c r="AP265" s="323"/>
      <c r="AQ265" s="323"/>
      <c r="AR265" s="323"/>
      <c r="AS265" s="323"/>
      <c r="AT265" s="323"/>
      <c r="AU265" s="323"/>
      <c r="AV265" s="323"/>
      <c r="AW265" s="323"/>
      <c r="AX265" s="323"/>
      <c r="AY265" s="323"/>
      <c r="AZ265" s="323"/>
      <c r="BA265" s="323"/>
      <c r="BB265" s="323"/>
      <c r="BC265" s="323"/>
      <c r="BD265" s="323"/>
      <c r="BE265" s="323"/>
      <c r="BF265" s="323"/>
      <c r="BG265" s="323"/>
      <c r="BH265" s="323"/>
      <c r="BI265" s="323"/>
      <c r="BJ265" s="323"/>
      <c r="BK265" s="323"/>
      <c r="BL265" s="323"/>
      <c r="BM265" s="323"/>
      <c r="BN265" s="323"/>
      <c r="BO265" s="323"/>
      <c r="BP265" s="323"/>
      <c r="BQ265" s="323"/>
      <c r="BR265" s="323"/>
    </row>
    <row r="266" spans="4:70">
      <c r="D266" s="333"/>
      <c r="E266" s="333"/>
      <c r="F266" s="333"/>
      <c r="G266" s="333"/>
      <c r="H266" s="333"/>
      <c r="I266" s="333"/>
      <c r="J266" s="333"/>
      <c r="K266" s="333"/>
      <c r="L266" s="333"/>
      <c r="M266" s="333"/>
      <c r="N266" s="333"/>
      <c r="O266" s="597"/>
      <c r="P266" s="333"/>
      <c r="Q266" s="333"/>
      <c r="R266" s="333"/>
      <c r="S266" s="333"/>
      <c r="T266" s="333"/>
      <c r="U266" s="333"/>
      <c r="V266" s="333"/>
      <c r="W266" s="333"/>
      <c r="X266" s="333"/>
      <c r="Y266" s="333"/>
      <c r="Z266" s="333"/>
      <c r="AA266" s="597"/>
      <c r="AB266" s="333"/>
      <c r="AC266" s="333"/>
      <c r="AD266" s="333"/>
      <c r="AE266" s="333"/>
      <c r="AF266" s="333"/>
      <c r="AG266" s="333"/>
      <c r="AH266" s="333"/>
      <c r="AI266" s="333"/>
      <c r="AJ266" s="333"/>
      <c r="AK266" s="333"/>
      <c r="AL266" s="333"/>
      <c r="AM266" s="333"/>
      <c r="AN266" s="323"/>
      <c r="AO266" s="323"/>
      <c r="AP266" s="323"/>
      <c r="AQ266" s="323"/>
      <c r="AR266" s="323"/>
      <c r="AS266" s="323"/>
      <c r="AT266" s="323"/>
      <c r="AU266" s="323"/>
      <c r="AV266" s="323"/>
      <c r="AW266" s="323"/>
      <c r="AX266" s="323"/>
      <c r="AY266" s="323"/>
      <c r="AZ266" s="323"/>
      <c r="BA266" s="323"/>
      <c r="BB266" s="323"/>
      <c r="BC266" s="323"/>
      <c r="BD266" s="323"/>
      <c r="BE266" s="323"/>
      <c r="BF266" s="323"/>
      <c r="BG266" s="323"/>
      <c r="BH266" s="323"/>
      <c r="BI266" s="323"/>
      <c r="BJ266" s="323"/>
      <c r="BK266" s="323"/>
      <c r="BL266" s="323"/>
      <c r="BM266" s="323"/>
      <c r="BN266" s="323"/>
      <c r="BO266" s="323"/>
      <c r="BP266" s="323"/>
      <c r="BQ266" s="323"/>
      <c r="BR266" s="323"/>
    </row>
    <row r="267" spans="4:70">
      <c r="D267" s="333"/>
      <c r="E267" s="333"/>
      <c r="F267" s="333"/>
      <c r="G267" s="333"/>
      <c r="H267" s="333"/>
      <c r="I267" s="333"/>
      <c r="J267" s="333"/>
      <c r="K267" s="333"/>
      <c r="L267" s="333"/>
      <c r="M267" s="333"/>
      <c r="N267" s="333"/>
      <c r="O267" s="597"/>
      <c r="P267" s="333"/>
      <c r="Q267" s="333"/>
      <c r="R267" s="333"/>
      <c r="S267" s="333"/>
      <c r="T267" s="333"/>
      <c r="U267" s="333"/>
      <c r="V267" s="333"/>
      <c r="W267" s="333"/>
      <c r="X267" s="333"/>
      <c r="Y267" s="333"/>
      <c r="Z267" s="333"/>
      <c r="AA267" s="597"/>
      <c r="AB267" s="333"/>
      <c r="AC267" s="333"/>
      <c r="AD267" s="333"/>
      <c r="AE267" s="333"/>
      <c r="AF267" s="333"/>
      <c r="AG267" s="333"/>
      <c r="AH267" s="333"/>
      <c r="AI267" s="333"/>
      <c r="AJ267" s="333"/>
      <c r="AK267" s="333"/>
      <c r="AL267" s="333"/>
      <c r="AM267" s="333"/>
      <c r="AN267" s="323"/>
      <c r="AO267" s="323"/>
      <c r="AP267" s="323"/>
      <c r="AQ267" s="323"/>
      <c r="AR267" s="323"/>
      <c r="AS267" s="323"/>
      <c r="AT267" s="323"/>
      <c r="AU267" s="323"/>
      <c r="AV267" s="323"/>
      <c r="AW267" s="323"/>
      <c r="AX267" s="323"/>
      <c r="AY267" s="323"/>
      <c r="AZ267" s="323"/>
      <c r="BA267" s="323"/>
      <c r="BB267" s="323"/>
      <c r="BC267" s="323"/>
      <c r="BD267" s="323"/>
      <c r="BE267" s="323"/>
      <c r="BF267" s="323"/>
      <c r="BG267" s="323"/>
      <c r="BH267" s="323"/>
      <c r="BI267" s="323"/>
      <c r="BJ267" s="323"/>
      <c r="BK267" s="323"/>
      <c r="BL267" s="323"/>
      <c r="BM267" s="323"/>
      <c r="BN267" s="323"/>
      <c r="BO267" s="323"/>
      <c r="BP267" s="323"/>
      <c r="BQ267" s="323"/>
      <c r="BR267" s="323"/>
    </row>
    <row r="268" spans="4:70">
      <c r="D268" s="333"/>
      <c r="E268" s="333"/>
      <c r="F268" s="333"/>
      <c r="G268" s="333"/>
      <c r="H268" s="333"/>
      <c r="I268" s="333"/>
      <c r="J268" s="333"/>
      <c r="K268" s="333"/>
      <c r="L268" s="333"/>
      <c r="M268" s="333"/>
      <c r="N268" s="333"/>
      <c r="O268" s="597"/>
      <c r="P268" s="333"/>
      <c r="Q268" s="333"/>
      <c r="R268" s="333"/>
      <c r="S268" s="333"/>
      <c r="T268" s="333"/>
      <c r="U268" s="333"/>
      <c r="V268" s="333"/>
      <c r="W268" s="333"/>
      <c r="X268" s="333"/>
      <c r="Y268" s="333"/>
      <c r="Z268" s="333"/>
      <c r="AA268" s="597"/>
      <c r="AB268" s="333"/>
      <c r="AC268" s="333"/>
      <c r="AD268" s="333"/>
      <c r="AE268" s="333"/>
      <c r="AF268" s="333"/>
      <c r="AG268" s="333"/>
      <c r="AH268" s="333"/>
      <c r="AI268" s="333"/>
      <c r="AJ268" s="333"/>
      <c r="AK268" s="333"/>
      <c r="AL268" s="333"/>
      <c r="AM268" s="333"/>
      <c r="AN268" s="323"/>
      <c r="AO268" s="323"/>
      <c r="AP268" s="323"/>
      <c r="AQ268" s="323"/>
      <c r="AR268" s="323"/>
      <c r="AS268" s="323"/>
      <c r="AT268" s="323"/>
      <c r="AU268" s="323"/>
      <c r="AV268" s="323"/>
      <c r="AW268" s="323"/>
      <c r="AX268" s="323"/>
      <c r="AY268" s="323"/>
      <c r="AZ268" s="323"/>
      <c r="BA268" s="323"/>
      <c r="BB268" s="323"/>
      <c r="BC268" s="323"/>
      <c r="BD268" s="323"/>
      <c r="BE268" s="323"/>
      <c r="BF268" s="323"/>
      <c r="BG268" s="323"/>
      <c r="BH268" s="323"/>
      <c r="BI268" s="323"/>
      <c r="BJ268" s="323"/>
      <c r="BK268" s="323"/>
      <c r="BL268" s="323"/>
      <c r="BM268" s="323"/>
      <c r="BN268" s="323"/>
      <c r="BO268" s="323"/>
      <c r="BP268" s="323"/>
      <c r="BQ268" s="323"/>
      <c r="BR268" s="323"/>
    </row>
    <row r="269" spans="4:70">
      <c r="D269" s="333"/>
      <c r="E269" s="333"/>
      <c r="F269" s="333"/>
      <c r="G269" s="333"/>
      <c r="H269" s="333"/>
      <c r="I269" s="333"/>
      <c r="J269" s="333"/>
      <c r="K269" s="333"/>
      <c r="L269" s="333"/>
      <c r="M269" s="333"/>
      <c r="N269" s="333"/>
      <c r="O269" s="597"/>
      <c r="P269" s="333"/>
      <c r="Q269" s="333"/>
      <c r="R269" s="333"/>
      <c r="S269" s="333"/>
      <c r="T269" s="333"/>
      <c r="U269" s="333"/>
      <c r="V269" s="333"/>
      <c r="W269" s="333"/>
      <c r="X269" s="333"/>
      <c r="Y269" s="333"/>
      <c r="Z269" s="333"/>
      <c r="AA269" s="597"/>
      <c r="AB269" s="333"/>
      <c r="AC269" s="333"/>
      <c r="AD269" s="333"/>
      <c r="AE269" s="333"/>
      <c r="AF269" s="333"/>
      <c r="AG269" s="333"/>
      <c r="AH269" s="333"/>
      <c r="AI269" s="333"/>
      <c r="AJ269" s="333"/>
      <c r="AK269" s="333"/>
      <c r="AL269" s="333"/>
      <c r="AM269" s="333"/>
      <c r="AN269" s="323"/>
      <c r="AO269" s="323"/>
      <c r="AP269" s="323"/>
      <c r="AQ269" s="323"/>
      <c r="AR269" s="323"/>
      <c r="AS269" s="323"/>
      <c r="AT269" s="323"/>
      <c r="AU269" s="323"/>
      <c r="AV269" s="323"/>
      <c r="AW269" s="323"/>
      <c r="AX269" s="323"/>
      <c r="AY269" s="323"/>
      <c r="AZ269" s="323"/>
      <c r="BA269" s="323"/>
      <c r="BB269" s="323"/>
      <c r="BC269" s="323"/>
      <c r="BD269" s="323"/>
      <c r="BE269" s="323"/>
      <c r="BF269" s="323"/>
      <c r="BG269" s="323"/>
      <c r="BH269" s="323"/>
      <c r="BI269" s="323"/>
      <c r="BJ269" s="323"/>
      <c r="BK269" s="323"/>
      <c r="BL269" s="323"/>
      <c r="BM269" s="323"/>
      <c r="BN269" s="323"/>
      <c r="BO269" s="323"/>
      <c r="BP269" s="323"/>
      <c r="BQ269" s="323"/>
      <c r="BR269" s="323"/>
    </row>
    <row r="270" spans="4:70">
      <c r="D270" s="333"/>
      <c r="E270" s="333"/>
      <c r="F270" s="333"/>
      <c r="G270" s="333"/>
      <c r="H270" s="333"/>
      <c r="I270" s="333"/>
      <c r="J270" s="333"/>
      <c r="K270" s="333"/>
      <c r="L270" s="333"/>
      <c r="M270" s="333"/>
      <c r="N270" s="333"/>
      <c r="O270" s="597"/>
      <c r="P270" s="333"/>
      <c r="Q270" s="333"/>
      <c r="R270" s="333"/>
      <c r="S270" s="333"/>
      <c r="T270" s="333"/>
      <c r="U270" s="333"/>
      <c r="V270" s="333"/>
      <c r="W270" s="333"/>
      <c r="X270" s="333"/>
      <c r="Y270" s="333"/>
      <c r="Z270" s="333"/>
      <c r="AA270" s="597"/>
      <c r="AB270" s="333"/>
      <c r="AC270" s="333"/>
      <c r="AD270" s="333"/>
      <c r="AE270" s="333"/>
      <c r="AF270" s="333"/>
      <c r="AG270" s="333"/>
      <c r="AH270" s="333"/>
      <c r="AI270" s="333"/>
      <c r="AJ270" s="333"/>
      <c r="AK270" s="333"/>
      <c r="AL270" s="333"/>
      <c r="AM270" s="333"/>
      <c r="AN270" s="323"/>
      <c r="AO270" s="323"/>
      <c r="AP270" s="323"/>
      <c r="AQ270" s="323"/>
      <c r="AR270" s="323"/>
      <c r="AS270" s="323"/>
      <c r="AT270" s="323"/>
      <c r="AU270" s="323"/>
      <c r="AV270" s="323"/>
      <c r="AW270" s="323"/>
      <c r="AX270" s="323"/>
      <c r="AY270" s="323"/>
      <c r="AZ270" s="323"/>
      <c r="BA270" s="323"/>
      <c r="BB270" s="323"/>
      <c r="BC270" s="323"/>
      <c r="BD270" s="323"/>
      <c r="BE270" s="323"/>
      <c r="BF270" s="323"/>
      <c r="BG270" s="323"/>
      <c r="BH270" s="323"/>
      <c r="BI270" s="323"/>
      <c r="BJ270" s="323"/>
      <c r="BK270" s="323"/>
      <c r="BL270" s="323"/>
      <c r="BM270" s="323"/>
      <c r="BN270" s="323"/>
      <c r="BO270" s="323"/>
      <c r="BP270" s="323"/>
      <c r="BQ270" s="323"/>
      <c r="BR270" s="323"/>
    </row>
    <row r="271" spans="4:70">
      <c r="D271" s="333"/>
      <c r="E271" s="333"/>
      <c r="F271" s="333"/>
      <c r="G271" s="333"/>
      <c r="H271" s="333"/>
      <c r="I271" s="333"/>
      <c r="J271" s="333"/>
      <c r="K271" s="333"/>
      <c r="L271" s="333"/>
      <c r="M271" s="333"/>
      <c r="N271" s="333"/>
      <c r="O271" s="597"/>
      <c r="P271" s="333"/>
      <c r="Q271" s="333"/>
      <c r="R271" s="333"/>
      <c r="S271" s="333"/>
      <c r="T271" s="333"/>
      <c r="U271" s="333"/>
      <c r="V271" s="333"/>
      <c r="W271" s="333"/>
      <c r="X271" s="333"/>
      <c r="Y271" s="333"/>
      <c r="Z271" s="333"/>
      <c r="AA271" s="597"/>
      <c r="AB271" s="333"/>
      <c r="AC271" s="333"/>
      <c r="AD271" s="333"/>
      <c r="AE271" s="333"/>
      <c r="AF271" s="333"/>
      <c r="AG271" s="333"/>
      <c r="AH271" s="333"/>
      <c r="AI271" s="333"/>
      <c r="AJ271" s="333"/>
      <c r="AK271" s="333"/>
      <c r="AL271" s="333"/>
      <c r="AM271" s="333"/>
      <c r="AN271" s="323"/>
      <c r="AO271" s="323"/>
      <c r="AP271" s="323"/>
      <c r="AQ271" s="323"/>
      <c r="AR271" s="323"/>
      <c r="AS271" s="323"/>
      <c r="AT271" s="323"/>
      <c r="AU271" s="323"/>
      <c r="AV271" s="323"/>
      <c r="AW271" s="323"/>
      <c r="AX271" s="323"/>
      <c r="AY271" s="323"/>
      <c r="AZ271" s="323"/>
      <c r="BA271" s="323"/>
      <c r="BB271" s="323"/>
      <c r="BC271" s="323"/>
      <c r="BD271" s="323"/>
      <c r="BE271" s="323"/>
      <c r="BF271" s="323"/>
      <c r="BG271" s="323"/>
      <c r="BH271" s="323"/>
      <c r="BI271" s="323"/>
      <c r="BJ271" s="323"/>
      <c r="BK271" s="323"/>
      <c r="BL271" s="323"/>
      <c r="BM271" s="323"/>
      <c r="BN271" s="323"/>
      <c r="BO271" s="323"/>
      <c r="BP271" s="323"/>
      <c r="BQ271" s="323"/>
      <c r="BR271" s="323"/>
    </row>
    <row r="272" spans="4:70">
      <c r="D272" s="333"/>
      <c r="E272" s="333"/>
      <c r="F272" s="333"/>
      <c r="G272" s="333"/>
      <c r="H272" s="333"/>
      <c r="I272" s="333"/>
      <c r="J272" s="333"/>
      <c r="K272" s="333"/>
      <c r="L272" s="333"/>
      <c r="M272" s="333"/>
      <c r="N272" s="333"/>
      <c r="O272" s="597"/>
      <c r="P272" s="333"/>
      <c r="Q272" s="333"/>
      <c r="R272" s="333"/>
      <c r="S272" s="333"/>
      <c r="T272" s="333"/>
      <c r="U272" s="333"/>
      <c r="V272" s="333"/>
      <c r="W272" s="333"/>
      <c r="X272" s="333"/>
      <c r="Y272" s="333"/>
      <c r="Z272" s="333"/>
      <c r="AA272" s="597"/>
      <c r="AB272" s="333"/>
      <c r="AC272" s="333"/>
      <c r="AD272" s="333"/>
      <c r="AE272" s="333"/>
      <c r="AF272" s="333"/>
      <c r="AG272" s="333"/>
      <c r="AH272" s="333"/>
      <c r="AI272" s="333"/>
      <c r="AJ272" s="333"/>
      <c r="AK272" s="333"/>
      <c r="AL272" s="333"/>
      <c r="AM272" s="333"/>
      <c r="AN272" s="323"/>
      <c r="AO272" s="323"/>
      <c r="AP272" s="323"/>
      <c r="AQ272" s="323"/>
      <c r="AR272" s="323"/>
      <c r="AS272" s="323"/>
      <c r="AT272" s="323"/>
      <c r="AU272" s="323"/>
      <c r="AV272" s="323"/>
      <c r="AW272" s="323"/>
      <c r="AX272" s="323"/>
      <c r="AY272" s="323"/>
      <c r="AZ272" s="323"/>
      <c r="BA272" s="323"/>
      <c r="BB272" s="323"/>
      <c r="BC272" s="323"/>
      <c r="BD272" s="323"/>
      <c r="BE272" s="323"/>
      <c r="BF272" s="323"/>
      <c r="BG272" s="323"/>
      <c r="BH272" s="323"/>
      <c r="BI272" s="323"/>
      <c r="BJ272" s="323"/>
      <c r="BK272" s="323"/>
      <c r="BL272" s="323"/>
      <c r="BM272" s="323"/>
      <c r="BN272" s="323"/>
      <c r="BO272" s="323"/>
      <c r="BP272" s="323"/>
      <c r="BQ272" s="323"/>
      <c r="BR272" s="323"/>
    </row>
    <row r="273" spans="4:70">
      <c r="D273" s="333"/>
      <c r="E273" s="333"/>
      <c r="F273" s="333"/>
      <c r="G273" s="333"/>
      <c r="H273" s="333"/>
      <c r="I273" s="333"/>
      <c r="J273" s="333"/>
      <c r="K273" s="333"/>
      <c r="L273" s="333"/>
      <c r="M273" s="333"/>
      <c r="N273" s="333"/>
      <c r="O273" s="597"/>
      <c r="P273" s="333"/>
      <c r="Q273" s="333"/>
      <c r="R273" s="333"/>
      <c r="S273" s="333"/>
      <c r="T273" s="333"/>
      <c r="U273" s="333"/>
      <c r="V273" s="333"/>
      <c r="W273" s="333"/>
      <c r="X273" s="333"/>
      <c r="Y273" s="333"/>
      <c r="Z273" s="333"/>
      <c r="AA273" s="597"/>
      <c r="AB273" s="333"/>
      <c r="AC273" s="333"/>
      <c r="AD273" s="333"/>
      <c r="AE273" s="333"/>
      <c r="AF273" s="333"/>
      <c r="AG273" s="333"/>
      <c r="AH273" s="333"/>
      <c r="AI273" s="333"/>
      <c r="AJ273" s="333"/>
      <c r="AK273" s="333"/>
      <c r="AL273" s="333"/>
      <c r="AM273" s="333"/>
      <c r="AN273" s="323"/>
      <c r="AO273" s="323"/>
      <c r="AP273" s="323"/>
      <c r="AQ273" s="323"/>
      <c r="AR273" s="323"/>
      <c r="AS273" s="323"/>
      <c r="AT273" s="323"/>
      <c r="AU273" s="323"/>
      <c r="AV273" s="323"/>
      <c r="AW273" s="323"/>
      <c r="AX273" s="323"/>
      <c r="AY273" s="323"/>
      <c r="AZ273" s="323"/>
      <c r="BA273" s="323"/>
      <c r="BB273" s="323"/>
      <c r="BC273" s="323"/>
      <c r="BD273" s="323"/>
      <c r="BE273" s="323"/>
      <c r="BF273" s="323"/>
      <c r="BG273" s="323"/>
      <c r="BH273" s="323"/>
      <c r="BI273" s="323"/>
      <c r="BJ273" s="323"/>
      <c r="BK273" s="323"/>
      <c r="BL273" s="323"/>
      <c r="BM273" s="323"/>
      <c r="BN273" s="323"/>
      <c r="BO273" s="323"/>
      <c r="BP273" s="323"/>
      <c r="BQ273" s="323"/>
      <c r="BR273" s="323"/>
    </row>
    <row r="274" spans="4:70">
      <c r="D274" s="333"/>
      <c r="E274" s="333"/>
      <c r="F274" s="333"/>
      <c r="G274" s="333"/>
      <c r="H274" s="333"/>
      <c r="I274" s="333"/>
      <c r="J274" s="333"/>
      <c r="K274" s="333"/>
      <c r="L274" s="333"/>
      <c r="M274" s="333"/>
      <c r="N274" s="333"/>
      <c r="O274" s="597"/>
      <c r="P274" s="333"/>
      <c r="Q274" s="333"/>
      <c r="R274" s="333"/>
      <c r="S274" s="333"/>
      <c r="T274" s="333"/>
      <c r="U274" s="333"/>
      <c r="V274" s="333"/>
      <c r="W274" s="333"/>
      <c r="X274" s="333"/>
      <c r="Y274" s="333"/>
      <c r="Z274" s="333"/>
      <c r="AA274" s="597"/>
      <c r="AB274" s="333"/>
      <c r="AC274" s="333"/>
      <c r="AD274" s="333"/>
      <c r="AE274" s="333"/>
      <c r="AF274" s="333"/>
      <c r="AG274" s="333"/>
      <c r="AH274" s="333"/>
      <c r="AI274" s="333"/>
      <c r="AJ274" s="333"/>
      <c r="AK274" s="333"/>
      <c r="AL274" s="333"/>
      <c r="AM274" s="333"/>
      <c r="AN274" s="323"/>
      <c r="AO274" s="323"/>
      <c r="AP274" s="323"/>
      <c r="AQ274" s="323"/>
      <c r="AR274" s="323"/>
      <c r="AS274" s="323"/>
      <c r="AT274" s="323"/>
      <c r="AU274" s="323"/>
      <c r="AV274" s="323"/>
      <c r="AW274" s="323"/>
      <c r="AX274" s="323"/>
      <c r="AY274" s="323"/>
      <c r="AZ274" s="323"/>
      <c r="BA274" s="323"/>
      <c r="BB274" s="323"/>
      <c r="BC274" s="323"/>
      <c r="BD274" s="323"/>
      <c r="BE274" s="323"/>
      <c r="BF274" s="323"/>
      <c r="BG274" s="323"/>
      <c r="BH274" s="323"/>
      <c r="BI274" s="323"/>
      <c r="BJ274" s="323"/>
      <c r="BK274" s="323"/>
      <c r="BL274" s="323"/>
      <c r="BM274" s="323"/>
      <c r="BN274" s="323"/>
      <c r="BO274" s="323"/>
      <c r="BP274" s="323"/>
      <c r="BQ274" s="323"/>
      <c r="BR274" s="323"/>
    </row>
    <row r="275" spans="4:70">
      <c r="D275" s="333"/>
      <c r="E275" s="333"/>
      <c r="F275" s="333"/>
      <c r="G275" s="333"/>
      <c r="H275" s="333"/>
      <c r="I275" s="333"/>
      <c r="J275" s="333"/>
      <c r="K275" s="333"/>
      <c r="L275" s="333"/>
      <c r="M275" s="333"/>
      <c r="N275" s="333"/>
      <c r="O275" s="597"/>
      <c r="P275" s="333"/>
      <c r="Q275" s="333"/>
      <c r="R275" s="333"/>
      <c r="S275" s="333"/>
      <c r="T275" s="333"/>
      <c r="U275" s="333"/>
      <c r="V275" s="333"/>
      <c r="W275" s="333"/>
      <c r="X275" s="333"/>
      <c r="Y275" s="333"/>
      <c r="Z275" s="333"/>
      <c r="AA275" s="597"/>
      <c r="AB275" s="333"/>
      <c r="AC275" s="333"/>
      <c r="AD275" s="333"/>
      <c r="AE275" s="333"/>
      <c r="AF275" s="333"/>
      <c r="AG275" s="333"/>
      <c r="AH275" s="333"/>
      <c r="AI275" s="333"/>
      <c r="AJ275" s="333"/>
      <c r="AK275" s="333"/>
      <c r="AL275" s="333"/>
      <c r="AM275" s="333"/>
      <c r="AN275" s="323"/>
      <c r="AO275" s="323"/>
      <c r="AP275" s="323"/>
      <c r="AQ275" s="323"/>
      <c r="AR275" s="323"/>
      <c r="AS275" s="323"/>
      <c r="AT275" s="323"/>
      <c r="AU275" s="323"/>
      <c r="AV275" s="323"/>
      <c r="AW275" s="323"/>
      <c r="AX275" s="323"/>
      <c r="AY275" s="323"/>
      <c r="AZ275" s="323"/>
      <c r="BA275" s="323"/>
      <c r="BB275" s="323"/>
      <c r="BC275" s="323"/>
      <c r="BD275" s="323"/>
      <c r="BE275" s="323"/>
      <c r="BF275" s="323"/>
      <c r="BG275" s="323"/>
      <c r="BH275" s="323"/>
      <c r="BI275" s="323"/>
      <c r="BJ275" s="323"/>
      <c r="BK275" s="323"/>
      <c r="BL275" s="323"/>
      <c r="BM275" s="323"/>
      <c r="BN275" s="323"/>
      <c r="BO275" s="323"/>
      <c r="BP275" s="323"/>
      <c r="BQ275" s="323"/>
      <c r="BR275" s="323"/>
    </row>
    <row r="276" spans="4:70">
      <c r="D276" s="333"/>
      <c r="E276" s="333"/>
      <c r="F276" s="333"/>
      <c r="G276" s="333"/>
      <c r="H276" s="333"/>
      <c r="I276" s="333"/>
      <c r="J276" s="333"/>
      <c r="K276" s="333"/>
      <c r="L276" s="333"/>
      <c r="M276" s="333"/>
      <c r="N276" s="333"/>
      <c r="O276" s="597"/>
      <c r="P276" s="333"/>
      <c r="Q276" s="333"/>
      <c r="R276" s="333"/>
      <c r="S276" s="333"/>
      <c r="T276" s="333"/>
      <c r="U276" s="333"/>
      <c r="V276" s="333"/>
      <c r="W276" s="333"/>
      <c r="X276" s="333"/>
      <c r="Y276" s="333"/>
      <c r="Z276" s="333"/>
      <c r="AA276" s="597"/>
      <c r="AB276" s="333"/>
      <c r="AC276" s="333"/>
      <c r="AD276" s="333"/>
      <c r="AE276" s="333"/>
      <c r="AF276" s="333"/>
      <c r="AG276" s="333"/>
      <c r="AH276" s="333"/>
      <c r="AI276" s="333"/>
      <c r="AJ276" s="333"/>
      <c r="AK276" s="333"/>
      <c r="AL276" s="333"/>
      <c r="AM276" s="333"/>
      <c r="AN276" s="323"/>
      <c r="AO276" s="323"/>
      <c r="AP276" s="323"/>
      <c r="AQ276" s="323"/>
      <c r="AR276" s="323"/>
      <c r="AS276" s="323"/>
      <c r="AT276" s="323"/>
      <c r="AU276" s="323"/>
      <c r="AV276" s="323"/>
      <c r="AW276" s="323"/>
      <c r="AX276" s="323"/>
      <c r="AY276" s="323"/>
      <c r="AZ276" s="323"/>
      <c r="BA276" s="323"/>
      <c r="BB276" s="323"/>
      <c r="BC276" s="323"/>
      <c r="BD276" s="323"/>
      <c r="BE276" s="323"/>
      <c r="BF276" s="323"/>
      <c r="BG276" s="323"/>
      <c r="BH276" s="323"/>
      <c r="BI276" s="323"/>
      <c r="BJ276" s="323"/>
      <c r="BK276" s="323"/>
      <c r="BL276" s="323"/>
      <c r="BM276" s="323"/>
      <c r="BN276" s="323"/>
      <c r="BO276" s="323"/>
      <c r="BP276" s="323"/>
      <c r="BQ276" s="323"/>
      <c r="BR276" s="323"/>
    </row>
    <row r="277" spans="4:70">
      <c r="D277" s="333"/>
      <c r="E277" s="333"/>
      <c r="F277" s="333"/>
      <c r="G277" s="333"/>
      <c r="H277" s="333"/>
      <c r="I277" s="333"/>
      <c r="J277" s="333"/>
      <c r="K277" s="333"/>
      <c r="L277" s="333"/>
      <c r="M277" s="333"/>
      <c r="N277" s="333"/>
      <c r="O277" s="597"/>
      <c r="P277" s="333"/>
      <c r="Q277" s="333"/>
      <c r="R277" s="333"/>
      <c r="S277" s="333"/>
      <c r="T277" s="333"/>
      <c r="U277" s="333"/>
      <c r="V277" s="333"/>
      <c r="W277" s="333"/>
      <c r="X277" s="333"/>
      <c r="Y277" s="333"/>
      <c r="Z277" s="333"/>
      <c r="AA277" s="597"/>
      <c r="AB277" s="333"/>
      <c r="AC277" s="333"/>
      <c r="AD277" s="333"/>
      <c r="AE277" s="333"/>
      <c r="AF277" s="333"/>
      <c r="AG277" s="333"/>
      <c r="AH277" s="333"/>
      <c r="AI277" s="333"/>
      <c r="AJ277" s="333"/>
      <c r="AK277" s="333"/>
      <c r="AL277" s="333"/>
      <c r="AM277" s="333"/>
      <c r="AN277" s="323"/>
      <c r="AO277" s="323"/>
      <c r="AP277" s="323"/>
      <c r="AQ277" s="323"/>
      <c r="AR277" s="323"/>
      <c r="AS277" s="323"/>
      <c r="AT277" s="323"/>
      <c r="AU277" s="323"/>
      <c r="AV277" s="323"/>
      <c r="AW277" s="323"/>
      <c r="AX277" s="323"/>
      <c r="AY277" s="323"/>
      <c r="AZ277" s="323"/>
      <c r="BA277" s="323"/>
      <c r="BB277" s="323"/>
      <c r="BC277" s="323"/>
      <c r="BD277" s="323"/>
      <c r="BE277" s="323"/>
      <c r="BF277" s="323"/>
      <c r="BG277" s="323"/>
      <c r="BH277" s="323"/>
      <c r="BI277" s="323"/>
      <c r="BJ277" s="323"/>
      <c r="BK277" s="323"/>
      <c r="BL277" s="323"/>
      <c r="BM277" s="323"/>
      <c r="BN277" s="323"/>
      <c r="BO277" s="323"/>
      <c r="BP277" s="323"/>
      <c r="BQ277" s="323"/>
      <c r="BR277" s="323"/>
    </row>
    <row r="278" spans="4:70">
      <c r="D278" s="333"/>
      <c r="E278" s="333"/>
      <c r="F278" s="333"/>
      <c r="G278" s="333"/>
      <c r="H278" s="333"/>
      <c r="I278" s="333"/>
      <c r="J278" s="333"/>
      <c r="K278" s="333"/>
      <c r="L278" s="333"/>
      <c r="M278" s="333"/>
      <c r="N278" s="333"/>
      <c r="O278" s="597"/>
      <c r="P278" s="333"/>
      <c r="Q278" s="333"/>
      <c r="R278" s="333"/>
      <c r="S278" s="333"/>
      <c r="T278" s="333"/>
      <c r="U278" s="333"/>
      <c r="V278" s="333"/>
      <c r="W278" s="333"/>
      <c r="X278" s="333"/>
      <c r="Y278" s="333"/>
      <c r="Z278" s="333"/>
      <c r="AA278" s="597"/>
      <c r="AB278" s="333"/>
      <c r="AC278" s="333"/>
      <c r="AD278" s="333"/>
      <c r="AE278" s="333"/>
      <c r="AF278" s="333"/>
      <c r="AG278" s="333"/>
      <c r="AH278" s="333"/>
      <c r="AI278" s="333"/>
      <c r="AJ278" s="333"/>
      <c r="AK278" s="333"/>
      <c r="AL278" s="333"/>
      <c r="AM278" s="333"/>
      <c r="AN278" s="323"/>
      <c r="AO278" s="323"/>
      <c r="AP278" s="323"/>
      <c r="AQ278" s="323"/>
      <c r="AR278" s="323"/>
      <c r="AS278" s="323"/>
      <c r="AT278" s="323"/>
      <c r="AU278" s="323"/>
      <c r="AV278" s="323"/>
      <c r="AW278" s="323"/>
      <c r="AX278" s="323"/>
      <c r="AY278" s="323"/>
      <c r="AZ278" s="323"/>
      <c r="BA278" s="323"/>
      <c r="BB278" s="323"/>
      <c r="BC278" s="323"/>
      <c r="BD278" s="323"/>
      <c r="BE278" s="323"/>
      <c r="BF278" s="323"/>
      <c r="BG278" s="323"/>
      <c r="BH278" s="323"/>
      <c r="BI278" s="323"/>
      <c r="BJ278" s="323"/>
      <c r="BK278" s="323"/>
      <c r="BL278" s="323"/>
      <c r="BM278" s="323"/>
      <c r="BN278" s="323"/>
      <c r="BO278" s="323"/>
      <c r="BP278" s="323"/>
      <c r="BQ278" s="323"/>
      <c r="BR278" s="323"/>
    </row>
    <row r="279" spans="4:70">
      <c r="D279" s="333"/>
      <c r="E279" s="333"/>
      <c r="F279" s="333"/>
      <c r="G279" s="333"/>
      <c r="H279" s="333"/>
      <c r="I279" s="333"/>
      <c r="J279" s="333"/>
      <c r="K279" s="333"/>
      <c r="L279" s="333"/>
      <c r="M279" s="333"/>
      <c r="N279" s="333"/>
      <c r="O279" s="597"/>
      <c r="P279" s="333"/>
      <c r="Q279" s="333"/>
      <c r="R279" s="333"/>
      <c r="S279" s="333"/>
      <c r="T279" s="333"/>
      <c r="U279" s="333"/>
      <c r="V279" s="333"/>
      <c r="W279" s="333"/>
      <c r="X279" s="333"/>
      <c r="Y279" s="333"/>
      <c r="Z279" s="333"/>
      <c r="AA279" s="597"/>
      <c r="AB279" s="333"/>
      <c r="AC279" s="333"/>
      <c r="AD279" s="333"/>
      <c r="AE279" s="333"/>
      <c r="AF279" s="333"/>
      <c r="AG279" s="333"/>
      <c r="AH279" s="333"/>
      <c r="AI279" s="333"/>
      <c r="AJ279" s="333"/>
      <c r="AK279" s="333"/>
      <c r="AL279" s="333"/>
      <c r="AM279" s="333"/>
      <c r="AN279" s="323"/>
      <c r="AO279" s="323"/>
      <c r="AP279" s="323"/>
      <c r="AQ279" s="323"/>
      <c r="AR279" s="323"/>
      <c r="AS279" s="323"/>
      <c r="AT279" s="323"/>
      <c r="AU279" s="323"/>
      <c r="AV279" s="323"/>
      <c r="AW279" s="323"/>
      <c r="AX279" s="323"/>
      <c r="AY279" s="323"/>
      <c r="AZ279" s="323"/>
      <c r="BA279" s="323"/>
      <c r="BB279" s="323"/>
      <c r="BC279" s="323"/>
      <c r="BD279" s="323"/>
      <c r="BE279" s="323"/>
      <c r="BF279" s="323"/>
      <c r="BG279" s="323"/>
      <c r="BH279" s="323"/>
      <c r="BI279" s="323"/>
      <c r="BJ279" s="323"/>
      <c r="BK279" s="323"/>
      <c r="BL279" s="323"/>
      <c r="BM279" s="323"/>
      <c r="BN279" s="323"/>
      <c r="BO279" s="323"/>
      <c r="BP279" s="323"/>
      <c r="BQ279" s="323"/>
      <c r="BR279" s="323"/>
    </row>
    <row r="280" spans="4:70">
      <c r="D280" s="333"/>
      <c r="E280" s="333"/>
      <c r="F280" s="333"/>
      <c r="G280" s="333"/>
      <c r="H280" s="333"/>
      <c r="I280" s="333"/>
      <c r="J280" s="333"/>
      <c r="K280" s="333"/>
      <c r="L280" s="333"/>
      <c r="M280" s="333"/>
      <c r="N280" s="333"/>
      <c r="O280" s="597"/>
      <c r="P280" s="333"/>
      <c r="Q280" s="333"/>
      <c r="R280" s="333"/>
      <c r="S280" s="333"/>
      <c r="T280" s="333"/>
      <c r="U280" s="333"/>
      <c r="V280" s="333"/>
      <c r="W280" s="333"/>
      <c r="X280" s="333"/>
      <c r="Y280" s="333"/>
      <c r="Z280" s="333"/>
      <c r="AA280" s="597"/>
      <c r="AB280" s="333"/>
      <c r="AC280" s="333"/>
      <c r="AD280" s="333"/>
      <c r="AE280" s="333"/>
      <c r="AF280" s="333"/>
      <c r="AG280" s="333"/>
      <c r="AH280" s="333"/>
      <c r="AI280" s="333"/>
      <c r="AJ280" s="333"/>
      <c r="AK280" s="333"/>
      <c r="AL280" s="333"/>
      <c r="AM280" s="333"/>
      <c r="AN280" s="323"/>
      <c r="AO280" s="323"/>
      <c r="AP280" s="323"/>
      <c r="AQ280" s="323"/>
      <c r="AR280" s="323"/>
      <c r="AS280" s="323"/>
      <c r="AT280" s="323"/>
      <c r="AU280" s="323"/>
      <c r="AV280" s="323"/>
      <c r="AW280" s="323"/>
      <c r="AX280" s="323"/>
      <c r="AY280" s="323"/>
      <c r="AZ280" s="323"/>
      <c r="BA280" s="323"/>
      <c r="BB280" s="323"/>
      <c r="BC280" s="323"/>
      <c r="BD280" s="323"/>
      <c r="BE280" s="323"/>
      <c r="BF280" s="323"/>
      <c r="BG280" s="323"/>
      <c r="BH280" s="323"/>
      <c r="BI280" s="323"/>
      <c r="BJ280" s="323"/>
      <c r="BK280" s="323"/>
      <c r="BL280" s="323"/>
      <c r="BM280" s="323"/>
      <c r="BN280" s="323"/>
      <c r="BO280" s="323"/>
      <c r="BP280" s="323"/>
      <c r="BQ280" s="323"/>
      <c r="BR280" s="323"/>
    </row>
    <row r="281" spans="4:70">
      <c r="D281" s="333"/>
      <c r="E281" s="333"/>
      <c r="F281" s="333"/>
      <c r="G281" s="333"/>
      <c r="H281" s="333"/>
      <c r="I281" s="333"/>
      <c r="J281" s="333"/>
      <c r="K281" s="333"/>
      <c r="L281" s="333"/>
      <c r="M281" s="333"/>
      <c r="N281" s="333"/>
      <c r="O281" s="597"/>
      <c r="P281" s="333"/>
      <c r="Q281" s="333"/>
      <c r="R281" s="333"/>
      <c r="S281" s="333"/>
      <c r="T281" s="333"/>
      <c r="U281" s="333"/>
      <c r="V281" s="333"/>
      <c r="W281" s="333"/>
      <c r="X281" s="333"/>
      <c r="Y281" s="333"/>
      <c r="Z281" s="333"/>
      <c r="AA281" s="597"/>
      <c r="AB281" s="333"/>
      <c r="AC281" s="333"/>
      <c r="AD281" s="333"/>
      <c r="AE281" s="333"/>
      <c r="AF281" s="333"/>
      <c r="AG281" s="333"/>
      <c r="AH281" s="333"/>
      <c r="AI281" s="333"/>
      <c r="AJ281" s="333"/>
      <c r="AK281" s="333"/>
      <c r="AL281" s="333"/>
      <c r="AM281" s="333"/>
      <c r="AN281" s="323"/>
      <c r="AO281" s="323"/>
      <c r="AP281" s="323"/>
      <c r="AQ281" s="323"/>
      <c r="AR281" s="323"/>
      <c r="AS281" s="323"/>
      <c r="AT281" s="323"/>
      <c r="AU281" s="323"/>
      <c r="AV281" s="323"/>
      <c r="AW281" s="323"/>
      <c r="AX281" s="323"/>
      <c r="AY281" s="323"/>
      <c r="AZ281" s="323"/>
      <c r="BA281" s="323"/>
      <c r="BB281" s="323"/>
      <c r="BC281" s="323"/>
      <c r="BD281" s="323"/>
      <c r="BE281" s="323"/>
      <c r="BF281" s="323"/>
      <c r="BG281" s="323"/>
      <c r="BH281" s="323"/>
      <c r="BI281" s="323"/>
      <c r="BJ281" s="323"/>
      <c r="BK281" s="323"/>
      <c r="BL281" s="323"/>
      <c r="BM281" s="323"/>
      <c r="BN281" s="323"/>
      <c r="BO281" s="323"/>
      <c r="BP281" s="323"/>
      <c r="BQ281" s="323"/>
      <c r="BR281" s="323"/>
    </row>
    <row r="282" spans="4:70">
      <c r="D282" s="333"/>
      <c r="E282" s="333"/>
      <c r="F282" s="333"/>
      <c r="G282" s="333"/>
      <c r="H282" s="333"/>
      <c r="I282" s="333"/>
      <c r="J282" s="333"/>
      <c r="K282" s="333"/>
      <c r="L282" s="333"/>
      <c r="M282" s="333"/>
      <c r="N282" s="333"/>
      <c r="O282" s="597"/>
      <c r="P282" s="333"/>
      <c r="Q282" s="333"/>
      <c r="R282" s="333"/>
      <c r="S282" s="333"/>
      <c r="T282" s="333"/>
      <c r="U282" s="333"/>
      <c r="V282" s="333"/>
      <c r="W282" s="333"/>
      <c r="X282" s="333"/>
      <c r="Y282" s="333"/>
      <c r="Z282" s="333"/>
      <c r="AA282" s="597"/>
      <c r="AB282" s="333"/>
      <c r="AC282" s="333"/>
      <c r="AD282" s="333"/>
      <c r="AE282" s="333"/>
      <c r="AF282" s="333"/>
      <c r="AG282" s="333"/>
      <c r="AH282" s="333"/>
      <c r="AI282" s="333"/>
      <c r="AJ282" s="333"/>
      <c r="AK282" s="333"/>
      <c r="AL282" s="333"/>
      <c r="AM282" s="333"/>
      <c r="AN282" s="323"/>
      <c r="AO282" s="323"/>
      <c r="AP282" s="323"/>
      <c r="AQ282" s="323"/>
      <c r="AR282" s="323"/>
      <c r="AS282" s="323"/>
      <c r="AT282" s="323"/>
      <c r="AU282" s="323"/>
      <c r="AV282" s="323"/>
      <c r="AW282" s="323"/>
      <c r="AX282" s="323"/>
      <c r="AY282" s="323"/>
      <c r="AZ282" s="323"/>
      <c r="BA282" s="323"/>
      <c r="BB282" s="323"/>
      <c r="BC282" s="323"/>
      <c r="BD282" s="323"/>
      <c r="BE282" s="323"/>
      <c r="BF282" s="323"/>
      <c r="BG282" s="323"/>
      <c r="BH282" s="323"/>
      <c r="BI282" s="323"/>
      <c r="BJ282" s="323"/>
      <c r="BK282" s="323"/>
      <c r="BL282" s="323"/>
      <c r="BM282" s="323"/>
      <c r="BN282" s="323"/>
      <c r="BO282" s="323"/>
      <c r="BP282" s="323"/>
      <c r="BQ282" s="323"/>
      <c r="BR282" s="323"/>
    </row>
    <row r="283" spans="4:70">
      <c r="D283" s="333"/>
      <c r="E283" s="333"/>
      <c r="F283" s="333"/>
      <c r="G283" s="333"/>
      <c r="H283" s="333"/>
      <c r="I283" s="333"/>
      <c r="J283" s="333"/>
      <c r="K283" s="333"/>
      <c r="L283" s="333"/>
      <c r="M283" s="333"/>
      <c r="N283" s="333"/>
      <c r="O283" s="597"/>
      <c r="P283" s="333"/>
      <c r="Q283" s="333"/>
      <c r="R283" s="333"/>
      <c r="S283" s="333"/>
      <c r="T283" s="333"/>
      <c r="U283" s="333"/>
      <c r="V283" s="333"/>
      <c r="W283" s="333"/>
      <c r="X283" s="333"/>
      <c r="Y283" s="333"/>
      <c r="Z283" s="333"/>
      <c r="AA283" s="597"/>
      <c r="AB283" s="333"/>
      <c r="AC283" s="333"/>
      <c r="AD283" s="333"/>
      <c r="AE283" s="333"/>
      <c r="AF283" s="333"/>
      <c r="AG283" s="333"/>
      <c r="AH283" s="333"/>
      <c r="AI283" s="333"/>
      <c r="AJ283" s="333"/>
      <c r="AK283" s="333"/>
      <c r="AL283" s="333"/>
      <c r="AM283" s="333"/>
      <c r="AN283" s="323"/>
      <c r="AO283" s="323"/>
      <c r="AP283" s="323"/>
      <c r="AQ283" s="323"/>
      <c r="AR283" s="323"/>
      <c r="AS283" s="323"/>
      <c r="AT283" s="323"/>
      <c r="AU283" s="323"/>
      <c r="AV283" s="323"/>
      <c r="AW283" s="323"/>
      <c r="AX283" s="323"/>
      <c r="AY283" s="323"/>
      <c r="AZ283" s="323"/>
      <c r="BA283" s="323"/>
      <c r="BB283" s="323"/>
      <c r="BC283" s="323"/>
      <c r="BD283" s="323"/>
      <c r="BE283" s="323"/>
      <c r="BF283" s="323"/>
      <c r="BG283" s="323"/>
      <c r="BH283" s="323"/>
      <c r="BI283" s="323"/>
      <c r="BJ283" s="323"/>
      <c r="BK283" s="323"/>
      <c r="BL283" s="323"/>
      <c r="BM283" s="323"/>
      <c r="BN283" s="323"/>
      <c r="BO283" s="323"/>
      <c r="BP283" s="323"/>
      <c r="BQ283" s="323"/>
      <c r="BR283" s="323"/>
    </row>
    <row r="284" spans="4:70">
      <c r="D284" s="333"/>
      <c r="E284" s="333"/>
      <c r="F284" s="333"/>
      <c r="G284" s="333"/>
      <c r="H284" s="333"/>
      <c r="I284" s="333"/>
      <c r="J284" s="333"/>
      <c r="K284" s="333"/>
      <c r="L284" s="333"/>
      <c r="M284" s="333"/>
      <c r="N284" s="333"/>
      <c r="O284" s="597"/>
      <c r="P284" s="333"/>
      <c r="Q284" s="333"/>
      <c r="R284" s="333"/>
      <c r="S284" s="333"/>
      <c r="T284" s="333"/>
      <c r="U284" s="333"/>
      <c r="V284" s="333"/>
      <c r="W284" s="333"/>
      <c r="X284" s="333"/>
      <c r="Y284" s="333"/>
      <c r="Z284" s="333"/>
      <c r="AA284" s="597"/>
      <c r="AB284" s="333"/>
      <c r="AC284" s="333"/>
      <c r="AD284" s="333"/>
      <c r="AE284" s="333"/>
      <c r="AF284" s="333"/>
      <c r="AG284" s="333"/>
      <c r="AH284" s="333"/>
      <c r="AI284" s="333"/>
      <c r="AJ284" s="333"/>
      <c r="AK284" s="333"/>
      <c r="AL284" s="333"/>
      <c r="AM284" s="333"/>
      <c r="AN284" s="323"/>
      <c r="AO284" s="323"/>
      <c r="AP284" s="323"/>
      <c r="AQ284" s="323"/>
      <c r="AR284" s="323"/>
      <c r="AS284" s="323"/>
      <c r="AT284" s="323"/>
      <c r="AU284" s="323"/>
      <c r="AV284" s="323"/>
      <c r="AW284" s="323"/>
      <c r="AX284" s="323"/>
      <c r="AY284" s="323"/>
      <c r="AZ284" s="323"/>
      <c r="BA284" s="323"/>
      <c r="BB284" s="323"/>
      <c r="BC284" s="323"/>
      <c r="BD284" s="323"/>
      <c r="BE284" s="323"/>
      <c r="BF284" s="323"/>
      <c r="BG284" s="323"/>
      <c r="BH284" s="323"/>
      <c r="BI284" s="323"/>
      <c r="BJ284" s="323"/>
      <c r="BK284" s="323"/>
      <c r="BL284" s="323"/>
      <c r="BM284" s="323"/>
      <c r="BN284" s="323"/>
      <c r="BO284" s="323"/>
      <c r="BP284" s="323"/>
      <c r="BQ284" s="323"/>
      <c r="BR284" s="323"/>
    </row>
    <row r="285" spans="4:70">
      <c r="D285" s="333"/>
      <c r="E285" s="333"/>
      <c r="F285" s="333"/>
      <c r="G285" s="333"/>
      <c r="H285" s="333"/>
      <c r="I285" s="333"/>
      <c r="J285" s="333"/>
      <c r="K285" s="333"/>
      <c r="L285" s="333"/>
      <c r="M285" s="333"/>
      <c r="N285" s="333"/>
      <c r="O285" s="597"/>
      <c r="P285" s="333"/>
      <c r="Q285" s="333"/>
      <c r="R285" s="333"/>
      <c r="S285" s="333"/>
      <c r="T285" s="333"/>
      <c r="U285" s="333"/>
      <c r="V285" s="333"/>
      <c r="W285" s="333"/>
      <c r="X285" s="333"/>
      <c r="Y285" s="333"/>
      <c r="Z285" s="333"/>
      <c r="AA285" s="597"/>
      <c r="AB285" s="333"/>
      <c r="AC285" s="333"/>
      <c r="AD285" s="333"/>
      <c r="AE285" s="333"/>
      <c r="AF285" s="333"/>
      <c r="AG285" s="333"/>
      <c r="AH285" s="333"/>
      <c r="AI285" s="333"/>
      <c r="AJ285" s="333"/>
      <c r="AK285" s="333"/>
      <c r="AL285" s="333"/>
      <c r="AM285" s="333"/>
      <c r="AN285" s="323"/>
      <c r="AO285" s="323"/>
      <c r="AP285" s="323"/>
      <c r="AQ285" s="323"/>
      <c r="AR285" s="323"/>
      <c r="AS285" s="323"/>
      <c r="AT285" s="323"/>
      <c r="AU285" s="323"/>
      <c r="AV285" s="323"/>
      <c r="AW285" s="323"/>
      <c r="AX285" s="323"/>
      <c r="AY285" s="323"/>
      <c r="AZ285" s="323"/>
      <c r="BA285" s="323"/>
      <c r="BB285" s="323"/>
      <c r="BC285" s="323"/>
      <c r="BD285" s="323"/>
      <c r="BE285" s="323"/>
      <c r="BF285" s="323"/>
      <c r="BG285" s="323"/>
      <c r="BH285" s="323"/>
      <c r="BI285" s="323"/>
      <c r="BJ285" s="323"/>
      <c r="BK285" s="323"/>
      <c r="BL285" s="323"/>
      <c r="BM285" s="323"/>
      <c r="BN285" s="323"/>
      <c r="BO285" s="323"/>
      <c r="BP285" s="323"/>
      <c r="BQ285" s="323"/>
      <c r="BR285" s="323"/>
    </row>
    <row r="286" spans="4:70">
      <c r="D286" s="333"/>
      <c r="E286" s="333"/>
      <c r="F286" s="333"/>
      <c r="G286" s="333"/>
      <c r="H286" s="333"/>
      <c r="I286" s="333"/>
      <c r="J286" s="333"/>
      <c r="K286" s="333"/>
      <c r="L286" s="333"/>
      <c r="M286" s="333"/>
      <c r="N286" s="333"/>
      <c r="O286" s="597"/>
      <c r="P286" s="333"/>
      <c r="Q286" s="333"/>
      <c r="R286" s="333"/>
      <c r="S286" s="333"/>
      <c r="T286" s="333"/>
      <c r="U286" s="333"/>
      <c r="V286" s="333"/>
      <c r="W286" s="333"/>
      <c r="X286" s="333"/>
      <c r="Y286" s="333"/>
      <c r="Z286" s="333"/>
      <c r="AA286" s="597"/>
      <c r="AB286" s="333"/>
      <c r="AC286" s="333"/>
      <c r="AD286" s="333"/>
      <c r="AE286" s="333"/>
      <c r="AF286" s="333"/>
      <c r="AG286" s="333"/>
      <c r="AH286" s="333"/>
      <c r="AI286" s="333"/>
      <c r="AJ286" s="333"/>
      <c r="AK286" s="333"/>
      <c r="AL286" s="333"/>
      <c r="AM286" s="333"/>
      <c r="AN286" s="323"/>
      <c r="AO286" s="323"/>
      <c r="AP286" s="323"/>
      <c r="AQ286" s="323"/>
      <c r="AR286" s="323"/>
      <c r="AS286" s="323"/>
      <c r="AT286" s="323"/>
      <c r="AU286" s="323"/>
      <c r="AV286" s="323"/>
      <c r="AW286" s="323"/>
      <c r="AX286" s="323"/>
      <c r="AY286" s="323"/>
      <c r="AZ286" s="323"/>
      <c r="BA286" s="323"/>
      <c r="BB286" s="323"/>
      <c r="BC286" s="323"/>
      <c r="BD286" s="323"/>
      <c r="BE286" s="323"/>
      <c r="BF286" s="323"/>
      <c r="BG286" s="323"/>
      <c r="BH286" s="323"/>
      <c r="BI286" s="323"/>
      <c r="BJ286" s="323"/>
      <c r="BK286" s="323"/>
      <c r="BL286" s="323"/>
      <c r="BM286" s="323"/>
      <c r="BN286" s="323"/>
      <c r="BO286" s="323"/>
      <c r="BP286" s="323"/>
      <c r="BQ286" s="323"/>
      <c r="BR286" s="323"/>
    </row>
    <row r="287" spans="4:70">
      <c r="D287" s="333"/>
      <c r="E287" s="333"/>
      <c r="F287" s="333"/>
      <c r="G287" s="333"/>
      <c r="H287" s="333"/>
      <c r="I287" s="333"/>
      <c r="J287" s="333"/>
      <c r="K287" s="333"/>
      <c r="L287" s="333"/>
      <c r="M287" s="333"/>
      <c r="N287" s="333"/>
      <c r="O287" s="597"/>
      <c r="P287" s="333"/>
      <c r="Q287" s="333"/>
      <c r="R287" s="333"/>
      <c r="S287" s="333"/>
      <c r="T287" s="333"/>
      <c r="U287" s="333"/>
      <c r="V287" s="333"/>
      <c r="W287" s="333"/>
      <c r="X287" s="333"/>
      <c r="Y287" s="333"/>
      <c r="Z287" s="333"/>
      <c r="AA287" s="597"/>
      <c r="AB287" s="333"/>
      <c r="AC287" s="333"/>
      <c r="AD287" s="333"/>
      <c r="AE287" s="333"/>
      <c r="AF287" s="333"/>
      <c r="AG287" s="333"/>
      <c r="AH287" s="333"/>
      <c r="AI287" s="333"/>
      <c r="AJ287" s="333"/>
      <c r="AK287" s="333"/>
      <c r="AL287" s="333"/>
      <c r="AM287" s="333"/>
      <c r="AN287" s="323"/>
      <c r="AO287" s="323"/>
      <c r="AP287" s="323"/>
      <c r="AQ287" s="323"/>
      <c r="AR287" s="323"/>
      <c r="AS287" s="323"/>
      <c r="AT287" s="323"/>
      <c r="AU287" s="323"/>
      <c r="AV287" s="323"/>
      <c r="AW287" s="323"/>
      <c r="AX287" s="323"/>
      <c r="AY287" s="323"/>
      <c r="AZ287" s="323"/>
      <c r="BA287" s="323"/>
      <c r="BB287" s="323"/>
      <c r="BC287" s="323"/>
      <c r="BD287" s="323"/>
      <c r="BE287" s="323"/>
      <c r="BF287" s="323"/>
      <c r="BG287" s="323"/>
      <c r="BH287" s="323"/>
      <c r="BI287" s="323"/>
      <c r="BJ287" s="323"/>
      <c r="BK287" s="323"/>
      <c r="BL287" s="323"/>
      <c r="BM287" s="323"/>
      <c r="BN287" s="323"/>
      <c r="BO287" s="323"/>
      <c r="BP287" s="323"/>
      <c r="BQ287" s="323"/>
      <c r="BR287" s="323"/>
    </row>
    <row r="288" spans="4:70">
      <c r="D288" s="333"/>
      <c r="E288" s="333"/>
      <c r="F288" s="333"/>
      <c r="G288" s="333"/>
      <c r="H288" s="333"/>
      <c r="I288" s="333"/>
      <c r="J288" s="333"/>
      <c r="K288" s="333"/>
      <c r="L288" s="333"/>
      <c r="M288" s="333"/>
      <c r="N288" s="333"/>
      <c r="O288" s="597"/>
      <c r="P288" s="333"/>
      <c r="Q288" s="333"/>
      <c r="R288" s="333"/>
      <c r="S288" s="333"/>
      <c r="T288" s="333"/>
      <c r="U288" s="333"/>
      <c r="V288" s="333"/>
      <c r="W288" s="333"/>
      <c r="X288" s="333"/>
      <c r="Y288" s="333"/>
      <c r="Z288" s="333"/>
      <c r="AA288" s="597"/>
      <c r="AB288" s="333"/>
      <c r="AC288" s="333"/>
      <c r="AD288" s="333"/>
      <c r="AE288" s="333"/>
      <c r="AF288" s="333"/>
      <c r="AG288" s="333"/>
      <c r="AH288" s="333"/>
      <c r="AI288" s="333"/>
      <c r="AJ288" s="333"/>
      <c r="AK288" s="333"/>
      <c r="AL288" s="333"/>
      <c r="AM288" s="333"/>
      <c r="AN288" s="323"/>
      <c r="AO288" s="323"/>
      <c r="AP288" s="323"/>
      <c r="AQ288" s="323"/>
      <c r="AR288" s="323"/>
      <c r="AS288" s="323"/>
      <c r="AT288" s="323"/>
      <c r="AU288" s="323"/>
      <c r="AV288" s="323"/>
      <c r="AW288" s="323"/>
      <c r="AX288" s="323"/>
      <c r="AY288" s="323"/>
      <c r="AZ288" s="323"/>
      <c r="BA288" s="323"/>
      <c r="BB288" s="323"/>
      <c r="BC288" s="323"/>
      <c r="BD288" s="323"/>
      <c r="BE288" s="323"/>
      <c r="BF288" s="323"/>
      <c r="BG288" s="323"/>
      <c r="BH288" s="323"/>
      <c r="BI288" s="323"/>
      <c r="BJ288" s="323"/>
      <c r="BK288" s="323"/>
      <c r="BL288" s="323"/>
      <c r="BM288" s="323"/>
      <c r="BN288" s="323"/>
      <c r="BO288" s="323"/>
      <c r="BP288" s="323"/>
      <c r="BQ288" s="323"/>
      <c r="BR288" s="323"/>
    </row>
    <row r="289" spans="4:70">
      <c r="D289" s="333"/>
      <c r="E289" s="333"/>
      <c r="F289" s="333"/>
      <c r="G289" s="333"/>
      <c r="H289" s="333"/>
      <c r="I289" s="333"/>
      <c r="J289" s="333"/>
      <c r="K289" s="333"/>
      <c r="L289" s="333"/>
      <c r="M289" s="333"/>
      <c r="N289" s="333"/>
      <c r="O289" s="597"/>
      <c r="P289" s="333"/>
      <c r="Q289" s="333"/>
      <c r="R289" s="333"/>
      <c r="S289" s="333"/>
      <c r="T289" s="333"/>
      <c r="U289" s="333"/>
      <c r="V289" s="333"/>
      <c r="W289" s="333"/>
      <c r="X289" s="333"/>
      <c r="Y289" s="333"/>
      <c r="Z289" s="333"/>
      <c r="AA289" s="597"/>
      <c r="AB289" s="333"/>
      <c r="AC289" s="333"/>
      <c r="AD289" s="333"/>
      <c r="AE289" s="333"/>
      <c r="AF289" s="333"/>
      <c r="AG289" s="333"/>
      <c r="AH289" s="333"/>
      <c r="AI289" s="333"/>
      <c r="AJ289" s="333"/>
      <c r="AK289" s="333"/>
      <c r="AL289" s="333"/>
      <c r="AM289" s="333"/>
      <c r="AN289" s="323"/>
      <c r="AO289" s="323"/>
      <c r="AP289" s="323"/>
      <c r="AQ289" s="323"/>
      <c r="AR289" s="323"/>
      <c r="AS289" s="323"/>
      <c r="AT289" s="323"/>
      <c r="AU289" s="323"/>
      <c r="AV289" s="323"/>
      <c r="AW289" s="323"/>
      <c r="AX289" s="323"/>
      <c r="AY289" s="323"/>
      <c r="AZ289" s="323"/>
      <c r="BA289" s="323"/>
      <c r="BB289" s="323"/>
      <c r="BC289" s="323"/>
      <c r="BD289" s="323"/>
      <c r="BE289" s="323"/>
      <c r="BF289" s="323"/>
      <c r="BG289" s="323"/>
      <c r="BH289" s="323"/>
      <c r="BI289" s="323"/>
      <c r="BJ289" s="323"/>
      <c r="BK289" s="323"/>
      <c r="BL289" s="323"/>
      <c r="BM289" s="323"/>
      <c r="BN289" s="323"/>
      <c r="BO289" s="323"/>
      <c r="BP289" s="323"/>
      <c r="BQ289" s="323"/>
      <c r="BR289" s="323"/>
    </row>
    <row r="290" spans="4:70">
      <c r="D290" s="333"/>
      <c r="E290" s="333"/>
      <c r="F290" s="333"/>
      <c r="G290" s="333"/>
      <c r="H290" s="333"/>
      <c r="I290" s="333"/>
      <c r="J290" s="333"/>
      <c r="K290" s="333"/>
      <c r="L290" s="333"/>
      <c r="M290" s="333"/>
      <c r="N290" s="333"/>
      <c r="O290" s="597"/>
      <c r="P290" s="333"/>
      <c r="Q290" s="333"/>
      <c r="R290" s="333"/>
      <c r="S290" s="333"/>
      <c r="T290" s="333"/>
      <c r="U290" s="333"/>
      <c r="V290" s="333"/>
      <c r="W290" s="333"/>
      <c r="X290" s="333"/>
      <c r="Y290" s="333"/>
      <c r="Z290" s="333"/>
      <c r="AA290" s="597"/>
      <c r="AB290" s="333"/>
      <c r="AC290" s="333"/>
      <c r="AD290" s="333"/>
      <c r="AE290" s="333"/>
      <c r="AF290" s="333"/>
      <c r="AG290" s="333"/>
      <c r="AH290" s="333"/>
      <c r="AI290" s="333"/>
      <c r="AJ290" s="333"/>
      <c r="AK290" s="333"/>
      <c r="AL290" s="333"/>
      <c r="AM290" s="333"/>
      <c r="AN290" s="323"/>
      <c r="AO290" s="323"/>
      <c r="AP290" s="323"/>
      <c r="AQ290" s="323"/>
      <c r="AR290" s="323"/>
      <c r="AS290" s="323"/>
      <c r="AT290" s="323"/>
      <c r="AU290" s="323"/>
      <c r="AV290" s="323"/>
      <c r="AW290" s="323"/>
      <c r="AX290" s="323"/>
      <c r="AY290" s="323"/>
      <c r="AZ290" s="323"/>
      <c r="BA290" s="323"/>
      <c r="BB290" s="323"/>
      <c r="BC290" s="323"/>
      <c r="BD290" s="323"/>
      <c r="BE290" s="323"/>
      <c r="BF290" s="323"/>
      <c r="BG290" s="323"/>
      <c r="BH290" s="323"/>
      <c r="BI290" s="323"/>
      <c r="BJ290" s="323"/>
      <c r="BK290" s="323"/>
      <c r="BL290" s="323"/>
      <c r="BM290" s="323"/>
      <c r="BN290" s="323"/>
      <c r="BO290" s="323"/>
      <c r="BP290" s="323"/>
      <c r="BQ290" s="323"/>
      <c r="BR290" s="323"/>
    </row>
    <row r="291" spans="4:70">
      <c r="D291" s="333"/>
      <c r="E291" s="333"/>
      <c r="F291" s="333"/>
      <c r="G291" s="333"/>
      <c r="H291" s="333"/>
      <c r="I291" s="333"/>
      <c r="J291" s="333"/>
      <c r="K291" s="333"/>
      <c r="L291" s="333"/>
      <c r="M291" s="333"/>
      <c r="N291" s="333"/>
      <c r="O291" s="597"/>
      <c r="P291" s="333"/>
      <c r="Q291" s="333"/>
      <c r="R291" s="333"/>
      <c r="S291" s="333"/>
      <c r="T291" s="333"/>
      <c r="U291" s="333"/>
      <c r="V291" s="333"/>
      <c r="W291" s="333"/>
      <c r="X291" s="333"/>
      <c r="Y291" s="333"/>
      <c r="Z291" s="333"/>
      <c r="AA291" s="597"/>
      <c r="AB291" s="333"/>
      <c r="AC291" s="333"/>
      <c r="AD291" s="333"/>
      <c r="AE291" s="333"/>
      <c r="AF291" s="333"/>
      <c r="AG291" s="333"/>
      <c r="AH291" s="333"/>
      <c r="AI291" s="333"/>
      <c r="AJ291" s="333"/>
      <c r="AK291" s="333"/>
      <c r="AL291" s="333"/>
      <c r="AM291" s="333"/>
      <c r="AN291" s="323"/>
      <c r="AO291" s="323"/>
      <c r="AP291" s="323"/>
      <c r="AQ291" s="323"/>
      <c r="AR291" s="323"/>
      <c r="AS291" s="323"/>
      <c r="AT291" s="323"/>
      <c r="AU291" s="323"/>
      <c r="AV291" s="323"/>
      <c r="AW291" s="323"/>
      <c r="AX291" s="323"/>
      <c r="AY291" s="323"/>
      <c r="AZ291" s="323"/>
      <c r="BA291" s="323"/>
      <c r="BB291" s="323"/>
      <c r="BC291" s="323"/>
      <c r="BD291" s="323"/>
      <c r="BE291" s="323"/>
      <c r="BF291" s="323"/>
      <c r="BG291" s="323"/>
      <c r="BH291" s="323"/>
      <c r="BI291" s="323"/>
      <c r="BJ291" s="323"/>
      <c r="BK291" s="323"/>
      <c r="BL291" s="323"/>
      <c r="BM291" s="323"/>
      <c r="BN291" s="323"/>
      <c r="BO291" s="323"/>
      <c r="BP291" s="323"/>
      <c r="BQ291" s="323"/>
      <c r="BR291" s="323"/>
    </row>
    <row r="292" spans="4:70">
      <c r="D292" s="333"/>
      <c r="E292" s="333"/>
      <c r="F292" s="333"/>
      <c r="G292" s="333"/>
      <c r="H292" s="333"/>
      <c r="I292" s="333"/>
      <c r="J292" s="333"/>
      <c r="K292" s="333"/>
      <c r="L292" s="333"/>
      <c r="M292" s="333"/>
      <c r="N292" s="333"/>
      <c r="O292" s="597"/>
      <c r="P292" s="333"/>
      <c r="Q292" s="333"/>
      <c r="R292" s="333"/>
      <c r="S292" s="333"/>
      <c r="T292" s="333"/>
      <c r="U292" s="333"/>
      <c r="V292" s="333"/>
      <c r="W292" s="333"/>
      <c r="X292" s="333"/>
      <c r="Y292" s="333"/>
      <c r="Z292" s="333"/>
      <c r="AA292" s="597"/>
      <c r="AB292" s="333"/>
      <c r="AC292" s="333"/>
      <c r="AD292" s="333"/>
      <c r="AE292" s="333"/>
      <c r="AF292" s="333"/>
      <c r="AG292" s="333"/>
      <c r="AH292" s="333"/>
      <c r="AI292" s="333"/>
      <c r="AJ292" s="333"/>
      <c r="AK292" s="333"/>
      <c r="AL292" s="333"/>
      <c r="AM292" s="333"/>
      <c r="AN292" s="323"/>
      <c r="AO292" s="323"/>
      <c r="AP292" s="323"/>
      <c r="AQ292" s="323"/>
      <c r="AR292" s="323"/>
      <c r="AS292" s="323"/>
      <c r="AT292" s="323"/>
      <c r="AU292" s="323"/>
      <c r="AV292" s="323"/>
      <c r="AW292" s="323"/>
      <c r="AX292" s="323"/>
      <c r="AY292" s="323"/>
      <c r="AZ292" s="323"/>
      <c r="BA292" s="323"/>
      <c r="BB292" s="323"/>
      <c r="BC292" s="323"/>
      <c r="BD292" s="323"/>
      <c r="BE292" s="323"/>
      <c r="BF292" s="323"/>
      <c r="BG292" s="323"/>
      <c r="BH292" s="323"/>
      <c r="BI292" s="323"/>
      <c r="BJ292" s="323"/>
      <c r="BK292" s="323"/>
      <c r="BL292" s="323"/>
      <c r="BM292" s="323"/>
      <c r="BN292" s="323"/>
      <c r="BO292" s="323"/>
      <c r="BP292" s="323"/>
      <c r="BQ292" s="323"/>
      <c r="BR292" s="323"/>
    </row>
    <row r="293" spans="4:70">
      <c r="D293" s="333"/>
      <c r="E293" s="333"/>
      <c r="F293" s="333"/>
      <c r="G293" s="333"/>
      <c r="H293" s="333"/>
      <c r="I293" s="333"/>
      <c r="J293" s="333"/>
      <c r="K293" s="333"/>
      <c r="L293" s="333"/>
      <c r="M293" s="333"/>
      <c r="N293" s="333"/>
      <c r="O293" s="597"/>
      <c r="P293" s="333"/>
      <c r="Q293" s="333"/>
      <c r="R293" s="333"/>
      <c r="S293" s="333"/>
      <c r="T293" s="333"/>
      <c r="U293" s="333"/>
      <c r="V293" s="333"/>
      <c r="W293" s="333"/>
      <c r="X293" s="333"/>
      <c r="Y293" s="333"/>
      <c r="Z293" s="333"/>
      <c r="AA293" s="597"/>
      <c r="AB293" s="333"/>
      <c r="AC293" s="333"/>
      <c r="AD293" s="333"/>
      <c r="AE293" s="333"/>
      <c r="AF293" s="333"/>
      <c r="AG293" s="333"/>
      <c r="AH293" s="333"/>
      <c r="AI293" s="333"/>
      <c r="AJ293" s="333"/>
      <c r="AK293" s="333"/>
      <c r="AL293" s="333"/>
      <c r="AM293" s="333"/>
      <c r="AN293" s="323"/>
      <c r="AO293" s="323"/>
      <c r="AP293" s="323"/>
      <c r="AQ293" s="323"/>
      <c r="AR293" s="323"/>
      <c r="AS293" s="323"/>
      <c r="AT293" s="323"/>
      <c r="AU293" s="323"/>
      <c r="AV293" s="323"/>
      <c r="AW293" s="323"/>
      <c r="AX293" s="323"/>
      <c r="AY293" s="323"/>
      <c r="AZ293" s="323"/>
      <c r="BA293" s="323"/>
      <c r="BB293" s="323"/>
      <c r="BC293" s="323"/>
      <c r="BD293" s="323"/>
      <c r="BE293" s="323"/>
      <c r="BF293" s="323"/>
      <c r="BG293" s="323"/>
      <c r="BH293" s="323"/>
      <c r="BI293" s="323"/>
      <c r="BJ293" s="323"/>
      <c r="BK293" s="323"/>
      <c r="BL293" s="323"/>
      <c r="BM293" s="323"/>
      <c r="BN293" s="323"/>
      <c r="BO293" s="323"/>
      <c r="BP293" s="323"/>
      <c r="BQ293" s="323"/>
      <c r="BR293" s="323"/>
    </row>
    <row r="294" spans="4:70">
      <c r="D294" s="333"/>
      <c r="E294" s="333"/>
      <c r="F294" s="333"/>
      <c r="G294" s="333"/>
      <c r="H294" s="333"/>
      <c r="I294" s="333"/>
      <c r="J294" s="333"/>
      <c r="K294" s="333"/>
      <c r="L294" s="333"/>
      <c r="M294" s="333"/>
      <c r="N294" s="333"/>
      <c r="O294" s="597"/>
      <c r="P294" s="333"/>
      <c r="Q294" s="333"/>
      <c r="R294" s="333"/>
      <c r="S294" s="333"/>
      <c r="T294" s="333"/>
      <c r="U294" s="333"/>
      <c r="V294" s="333"/>
      <c r="W294" s="333"/>
      <c r="X294" s="333"/>
      <c r="Y294" s="333"/>
      <c r="Z294" s="333"/>
      <c r="AA294" s="597"/>
      <c r="AB294" s="333"/>
      <c r="AC294" s="333"/>
      <c r="AD294" s="333"/>
      <c r="AE294" s="333"/>
      <c r="AF294" s="333"/>
      <c r="AG294" s="333"/>
      <c r="AH294" s="333"/>
      <c r="AI294" s="333"/>
      <c r="AJ294" s="333"/>
      <c r="AK294" s="333"/>
      <c r="AL294" s="333"/>
      <c r="AM294" s="333"/>
      <c r="AN294" s="323"/>
      <c r="AO294" s="323"/>
      <c r="AP294" s="323"/>
      <c r="AQ294" s="323"/>
      <c r="AR294" s="323"/>
      <c r="AS294" s="323"/>
      <c r="AT294" s="323"/>
      <c r="AU294" s="323"/>
      <c r="AV294" s="323"/>
      <c r="AW294" s="323"/>
      <c r="AX294" s="323"/>
      <c r="AY294" s="323"/>
      <c r="AZ294" s="323"/>
      <c r="BA294" s="323"/>
      <c r="BB294" s="323"/>
      <c r="BC294" s="323"/>
      <c r="BD294" s="323"/>
      <c r="BE294" s="323"/>
      <c r="BF294" s="323"/>
      <c r="BG294" s="323"/>
      <c r="BH294" s="323"/>
      <c r="BI294" s="323"/>
      <c r="BJ294" s="323"/>
      <c r="BK294" s="323"/>
      <c r="BL294" s="323"/>
      <c r="BM294" s="323"/>
      <c r="BN294" s="323"/>
      <c r="BO294" s="323"/>
      <c r="BP294" s="323"/>
      <c r="BQ294" s="323"/>
      <c r="BR294" s="323"/>
    </row>
    <row r="295" spans="4:70">
      <c r="D295" s="333"/>
      <c r="E295" s="333"/>
      <c r="F295" s="333"/>
      <c r="G295" s="333"/>
      <c r="H295" s="333"/>
      <c r="I295" s="333"/>
      <c r="J295" s="333"/>
      <c r="K295" s="333"/>
      <c r="L295" s="333"/>
      <c r="M295" s="333"/>
      <c r="N295" s="333"/>
      <c r="O295" s="597"/>
      <c r="P295" s="333"/>
      <c r="Q295" s="333"/>
      <c r="R295" s="333"/>
      <c r="S295" s="333"/>
      <c r="T295" s="333"/>
      <c r="U295" s="333"/>
      <c r="V295" s="333"/>
      <c r="W295" s="333"/>
      <c r="X295" s="333"/>
      <c r="Y295" s="333"/>
      <c r="Z295" s="333"/>
      <c r="AA295" s="597"/>
      <c r="AB295" s="333"/>
      <c r="AC295" s="333"/>
      <c r="AD295" s="333"/>
      <c r="AE295" s="333"/>
      <c r="AF295" s="333"/>
      <c r="AG295" s="333"/>
      <c r="AH295" s="333"/>
      <c r="AI295" s="333"/>
      <c r="AJ295" s="333"/>
      <c r="AK295" s="333"/>
      <c r="AL295" s="333"/>
      <c r="AM295" s="333"/>
      <c r="AN295" s="323"/>
      <c r="AO295" s="323"/>
      <c r="AP295" s="323"/>
      <c r="AQ295" s="323"/>
      <c r="AR295" s="323"/>
      <c r="AS295" s="323"/>
      <c r="AT295" s="323"/>
      <c r="AU295" s="323"/>
      <c r="AV295" s="323"/>
      <c r="AW295" s="323"/>
      <c r="AX295" s="323"/>
      <c r="AY295" s="323"/>
      <c r="AZ295" s="323"/>
      <c r="BA295" s="323"/>
      <c r="BB295" s="323"/>
      <c r="BC295" s="323"/>
      <c r="BD295" s="323"/>
      <c r="BE295" s="323"/>
      <c r="BF295" s="323"/>
      <c r="BG295" s="323"/>
      <c r="BH295" s="323"/>
      <c r="BI295" s="323"/>
      <c r="BJ295" s="323"/>
      <c r="BK295" s="323"/>
      <c r="BL295" s="323"/>
      <c r="BM295" s="323"/>
      <c r="BN295" s="323"/>
      <c r="BO295" s="323"/>
      <c r="BP295" s="323"/>
      <c r="BQ295" s="323"/>
      <c r="BR295" s="323"/>
    </row>
    <row r="296" spans="4:70">
      <c r="D296" s="333"/>
      <c r="E296" s="333"/>
      <c r="F296" s="333"/>
      <c r="G296" s="333"/>
      <c r="H296" s="333"/>
      <c r="I296" s="333"/>
      <c r="J296" s="333"/>
      <c r="K296" s="333"/>
      <c r="L296" s="333"/>
      <c r="M296" s="333"/>
      <c r="N296" s="333"/>
      <c r="O296" s="597"/>
      <c r="P296" s="333"/>
      <c r="Q296" s="333"/>
      <c r="R296" s="333"/>
      <c r="S296" s="333"/>
      <c r="T296" s="333"/>
      <c r="U296" s="333"/>
      <c r="V296" s="333"/>
      <c r="W296" s="333"/>
      <c r="X296" s="333"/>
      <c r="Y296" s="333"/>
      <c r="Z296" s="333"/>
      <c r="AA296" s="597"/>
      <c r="AB296" s="333"/>
      <c r="AC296" s="333"/>
      <c r="AD296" s="333"/>
      <c r="AE296" s="333"/>
      <c r="AF296" s="333"/>
      <c r="AG296" s="333"/>
      <c r="AH296" s="333"/>
      <c r="AI296" s="333"/>
      <c r="AJ296" s="333"/>
      <c r="AK296" s="333"/>
      <c r="AL296" s="333"/>
      <c r="AM296" s="333"/>
      <c r="AN296" s="323"/>
      <c r="AO296" s="323"/>
      <c r="AP296" s="323"/>
      <c r="AQ296" s="323"/>
      <c r="AR296" s="323"/>
      <c r="AS296" s="323"/>
      <c r="AT296" s="323"/>
      <c r="AU296" s="323"/>
      <c r="AV296" s="323"/>
      <c r="AW296" s="323"/>
      <c r="AX296" s="323"/>
      <c r="AY296" s="323"/>
      <c r="AZ296" s="323"/>
      <c r="BA296" s="323"/>
      <c r="BB296" s="323"/>
      <c r="BC296" s="323"/>
      <c r="BD296" s="323"/>
      <c r="BE296" s="323"/>
      <c r="BF296" s="323"/>
      <c r="BG296" s="323"/>
      <c r="BH296" s="323"/>
      <c r="BI296" s="323"/>
      <c r="BJ296" s="323"/>
      <c r="BK296" s="323"/>
      <c r="BL296" s="323"/>
      <c r="BM296" s="323"/>
      <c r="BN296" s="323"/>
      <c r="BO296" s="323"/>
      <c r="BP296" s="323"/>
      <c r="BQ296" s="323"/>
      <c r="BR296" s="323"/>
    </row>
    <row r="297" spans="4:70">
      <c r="D297" s="333"/>
      <c r="E297" s="333"/>
      <c r="F297" s="333"/>
      <c r="G297" s="333"/>
      <c r="H297" s="333"/>
      <c r="I297" s="333"/>
      <c r="J297" s="333"/>
      <c r="K297" s="333"/>
      <c r="L297" s="333"/>
      <c r="M297" s="333"/>
      <c r="N297" s="333"/>
      <c r="O297" s="597"/>
      <c r="P297" s="333"/>
      <c r="Q297" s="333"/>
      <c r="R297" s="333"/>
      <c r="S297" s="333"/>
      <c r="T297" s="333"/>
      <c r="U297" s="333"/>
      <c r="V297" s="333"/>
      <c r="W297" s="333"/>
      <c r="X297" s="333"/>
      <c r="Y297" s="333"/>
      <c r="Z297" s="333"/>
      <c r="AA297" s="597"/>
      <c r="AB297" s="333"/>
      <c r="AC297" s="333"/>
      <c r="AD297" s="333"/>
      <c r="AE297" s="333"/>
      <c r="AF297" s="333"/>
      <c r="AG297" s="333"/>
      <c r="AH297" s="333"/>
      <c r="AI297" s="333"/>
      <c r="AJ297" s="333"/>
      <c r="AK297" s="333"/>
      <c r="AL297" s="333"/>
      <c r="AM297" s="333"/>
      <c r="AN297" s="323"/>
      <c r="AO297" s="323"/>
      <c r="AP297" s="323"/>
      <c r="AQ297" s="323"/>
      <c r="AR297" s="323"/>
      <c r="AS297" s="323"/>
      <c r="AT297" s="323"/>
      <c r="AU297" s="323"/>
      <c r="AV297" s="323"/>
      <c r="AW297" s="323"/>
      <c r="AX297" s="323"/>
      <c r="AY297" s="323"/>
      <c r="AZ297" s="323"/>
      <c r="BA297" s="323"/>
      <c r="BB297" s="323"/>
      <c r="BC297" s="323"/>
      <c r="BD297" s="323"/>
      <c r="BE297" s="323"/>
      <c r="BF297" s="323"/>
      <c r="BG297" s="323"/>
      <c r="BH297" s="323"/>
      <c r="BI297" s="323"/>
      <c r="BJ297" s="323"/>
      <c r="BK297" s="323"/>
      <c r="BL297" s="323"/>
      <c r="BM297" s="323"/>
      <c r="BN297" s="323"/>
      <c r="BO297" s="323"/>
      <c r="BP297" s="323"/>
      <c r="BQ297" s="323"/>
      <c r="BR297" s="323"/>
    </row>
    <row r="298" spans="4:70">
      <c r="D298" s="333"/>
      <c r="E298" s="333"/>
      <c r="F298" s="333"/>
      <c r="G298" s="333"/>
      <c r="H298" s="333"/>
      <c r="I298" s="333"/>
      <c r="J298" s="333"/>
      <c r="K298" s="333"/>
      <c r="L298" s="333"/>
      <c r="M298" s="333"/>
      <c r="N298" s="333"/>
      <c r="O298" s="597"/>
      <c r="P298" s="333"/>
      <c r="Q298" s="333"/>
      <c r="R298" s="333"/>
      <c r="S298" s="333"/>
      <c r="T298" s="333"/>
      <c r="U298" s="333"/>
      <c r="V298" s="333"/>
      <c r="W298" s="333"/>
      <c r="X298" s="333"/>
      <c r="Y298" s="333"/>
      <c r="Z298" s="333"/>
      <c r="AA298" s="597"/>
      <c r="AB298" s="333"/>
      <c r="AC298" s="333"/>
      <c r="AD298" s="333"/>
      <c r="AE298" s="333"/>
      <c r="AF298" s="333"/>
      <c r="AG298" s="333"/>
      <c r="AH298" s="333"/>
      <c r="AI298" s="333"/>
      <c r="AJ298" s="333"/>
      <c r="AK298" s="333"/>
      <c r="AL298" s="333"/>
      <c r="AM298" s="333"/>
      <c r="AN298" s="323"/>
      <c r="AO298" s="323"/>
      <c r="AP298" s="323"/>
      <c r="AQ298" s="323"/>
      <c r="AR298" s="323"/>
      <c r="AS298" s="323"/>
      <c r="AT298" s="323"/>
      <c r="AU298" s="323"/>
      <c r="AV298" s="323"/>
      <c r="AW298" s="323"/>
      <c r="AX298" s="323"/>
      <c r="AY298" s="323"/>
      <c r="AZ298" s="323"/>
      <c r="BA298" s="323"/>
      <c r="BB298" s="323"/>
      <c r="BC298" s="323"/>
      <c r="BD298" s="323"/>
      <c r="BE298" s="323"/>
      <c r="BF298" s="323"/>
      <c r="BG298" s="323"/>
      <c r="BH298" s="323"/>
      <c r="BI298" s="323"/>
      <c r="BJ298" s="323"/>
      <c r="BK298" s="323"/>
      <c r="BL298" s="323"/>
      <c r="BM298" s="323"/>
      <c r="BN298" s="323"/>
      <c r="BO298" s="323"/>
      <c r="BP298" s="323"/>
      <c r="BQ298" s="323"/>
      <c r="BR298" s="323"/>
    </row>
    <row r="299" spans="4:70">
      <c r="D299" s="333"/>
      <c r="E299" s="333"/>
      <c r="F299" s="333"/>
      <c r="G299" s="333"/>
      <c r="H299" s="333"/>
      <c r="I299" s="333"/>
      <c r="J299" s="333"/>
      <c r="K299" s="333"/>
      <c r="L299" s="333"/>
      <c r="M299" s="333"/>
      <c r="N299" s="333"/>
      <c r="O299" s="597"/>
      <c r="P299" s="333"/>
      <c r="Q299" s="333"/>
      <c r="R299" s="333"/>
      <c r="S299" s="333"/>
      <c r="T299" s="333"/>
      <c r="U299" s="333"/>
      <c r="V299" s="333"/>
      <c r="W299" s="333"/>
      <c r="X299" s="333"/>
      <c r="Y299" s="333"/>
      <c r="Z299" s="333"/>
      <c r="AA299" s="597"/>
      <c r="AB299" s="333"/>
      <c r="AC299" s="333"/>
      <c r="AD299" s="333"/>
      <c r="AE299" s="333"/>
      <c r="AF299" s="333"/>
      <c r="AG299" s="333"/>
      <c r="AH299" s="333"/>
      <c r="AI299" s="333"/>
      <c r="AJ299" s="333"/>
      <c r="AK299" s="333"/>
      <c r="AL299" s="333"/>
      <c r="AM299" s="333"/>
      <c r="AN299" s="333"/>
      <c r="AO299" s="333"/>
      <c r="AP299" s="333"/>
      <c r="AQ299" s="333"/>
      <c r="AR299" s="333"/>
      <c r="AS299" s="333"/>
      <c r="AT299" s="333"/>
      <c r="AU299" s="333"/>
      <c r="AV299" s="333"/>
      <c r="AW299" s="333"/>
      <c r="AX299" s="333"/>
      <c r="AY299" s="333"/>
      <c r="AZ299" s="333"/>
      <c r="BA299" s="333"/>
      <c r="BB299" s="333"/>
      <c r="BC299" s="333"/>
      <c r="BD299" s="333"/>
      <c r="BE299" s="333"/>
      <c r="BF299" s="333"/>
      <c r="BG299" s="333"/>
      <c r="BH299" s="333"/>
      <c r="BI299" s="333"/>
      <c r="BJ299" s="333"/>
      <c r="BK299" s="333"/>
      <c r="BL299" s="333"/>
      <c r="BM299" s="333"/>
      <c r="BN299" s="333"/>
      <c r="BO299" s="333"/>
      <c r="BP299" s="333"/>
      <c r="BQ299" s="333"/>
      <c r="BR299" s="333"/>
    </row>
    <row r="300" spans="4:70">
      <c r="D300" s="333"/>
      <c r="E300" s="333"/>
      <c r="F300" s="333"/>
      <c r="G300" s="333"/>
      <c r="H300" s="333"/>
      <c r="I300" s="333"/>
      <c r="J300" s="333"/>
      <c r="K300" s="333"/>
      <c r="L300" s="333"/>
      <c r="M300" s="333"/>
      <c r="N300" s="333"/>
      <c r="O300" s="597"/>
      <c r="P300" s="333"/>
      <c r="Q300" s="333"/>
      <c r="R300" s="333"/>
      <c r="S300" s="333"/>
      <c r="T300" s="333"/>
      <c r="U300" s="333"/>
      <c r="V300" s="333"/>
      <c r="W300" s="333"/>
      <c r="X300" s="333"/>
      <c r="Y300" s="333"/>
      <c r="Z300" s="333"/>
      <c r="AA300" s="597"/>
      <c r="AB300" s="333"/>
      <c r="AC300" s="333"/>
      <c r="AD300" s="333"/>
      <c r="AE300" s="333"/>
      <c r="AF300" s="333"/>
      <c r="AG300" s="333"/>
      <c r="AH300" s="333"/>
      <c r="AI300" s="333"/>
      <c r="AJ300" s="333"/>
      <c r="AK300" s="333"/>
      <c r="AL300" s="333"/>
      <c r="AM300" s="333"/>
      <c r="AN300" s="333"/>
      <c r="AO300" s="333"/>
      <c r="AP300" s="333"/>
      <c r="AQ300" s="333"/>
      <c r="AR300" s="333"/>
      <c r="AS300" s="333"/>
      <c r="AT300" s="333"/>
      <c r="AU300" s="333"/>
      <c r="AV300" s="333"/>
      <c r="AW300" s="333"/>
      <c r="AX300" s="333"/>
      <c r="AY300" s="333"/>
      <c r="AZ300" s="333"/>
      <c r="BA300" s="333"/>
      <c r="BB300" s="333"/>
      <c r="BC300" s="333"/>
      <c r="BD300" s="333"/>
      <c r="BE300" s="333"/>
      <c r="BF300" s="333"/>
      <c r="BG300" s="333"/>
      <c r="BH300" s="333"/>
      <c r="BI300" s="333"/>
      <c r="BJ300" s="333"/>
      <c r="BK300" s="333"/>
      <c r="BL300" s="333"/>
      <c r="BM300" s="333"/>
      <c r="BN300" s="333"/>
      <c r="BO300" s="333"/>
      <c r="BP300" s="333"/>
      <c r="BQ300" s="333"/>
      <c r="BR300" s="333"/>
    </row>
    <row r="301" spans="4:70">
      <c r="D301" s="333"/>
      <c r="E301" s="333"/>
      <c r="F301" s="333"/>
      <c r="G301" s="333"/>
      <c r="H301" s="333"/>
      <c r="I301" s="333"/>
      <c r="J301" s="333"/>
      <c r="K301" s="333"/>
      <c r="L301" s="333"/>
      <c r="M301" s="333"/>
      <c r="N301" s="333"/>
      <c r="O301" s="597"/>
      <c r="P301" s="333"/>
      <c r="Q301" s="333"/>
      <c r="R301" s="333"/>
      <c r="S301" s="333"/>
      <c r="T301" s="333"/>
      <c r="U301" s="333"/>
      <c r="V301" s="333"/>
      <c r="W301" s="333"/>
      <c r="X301" s="333"/>
      <c r="Y301" s="333"/>
      <c r="Z301" s="333"/>
      <c r="AA301" s="597"/>
      <c r="AB301" s="333"/>
      <c r="AC301" s="333"/>
      <c r="AD301" s="333"/>
      <c r="AE301" s="333"/>
      <c r="AF301" s="333"/>
      <c r="AG301" s="333"/>
      <c r="AH301" s="333"/>
      <c r="AI301" s="333"/>
      <c r="AJ301" s="333"/>
      <c r="AK301" s="333"/>
      <c r="AL301" s="333"/>
      <c r="AM301" s="333"/>
      <c r="AN301" s="333"/>
      <c r="AO301" s="333"/>
      <c r="AP301" s="333"/>
      <c r="AQ301" s="333"/>
      <c r="AR301" s="333"/>
      <c r="AS301" s="333"/>
      <c r="AT301" s="333"/>
      <c r="AU301" s="333"/>
      <c r="AV301" s="333"/>
      <c r="AW301" s="333"/>
      <c r="AX301" s="333"/>
      <c r="AY301" s="333"/>
      <c r="AZ301" s="333"/>
      <c r="BA301" s="333"/>
      <c r="BB301" s="333"/>
      <c r="BC301" s="333"/>
      <c r="BD301" s="333"/>
      <c r="BE301" s="333"/>
      <c r="BF301" s="333"/>
      <c r="BG301" s="333"/>
      <c r="BH301" s="333"/>
      <c r="BI301" s="333"/>
      <c r="BJ301" s="333"/>
      <c r="BK301" s="333"/>
      <c r="BL301" s="333"/>
      <c r="BM301" s="333"/>
      <c r="BN301" s="333"/>
      <c r="BO301" s="333"/>
      <c r="BP301" s="333"/>
      <c r="BQ301" s="333"/>
      <c r="BR301" s="333"/>
    </row>
    <row r="302" spans="4:70">
      <c r="D302" s="333"/>
      <c r="E302" s="333"/>
      <c r="F302" s="333"/>
      <c r="G302" s="333"/>
      <c r="H302" s="333"/>
      <c r="I302" s="333"/>
      <c r="J302" s="333"/>
      <c r="K302" s="333"/>
      <c r="L302" s="333"/>
      <c r="M302" s="333"/>
      <c r="N302" s="333"/>
      <c r="O302" s="597"/>
      <c r="P302" s="333"/>
      <c r="Q302" s="333"/>
      <c r="R302" s="333"/>
      <c r="S302" s="333"/>
      <c r="T302" s="333"/>
      <c r="U302" s="333"/>
      <c r="V302" s="333"/>
      <c r="W302" s="333"/>
      <c r="X302" s="333"/>
      <c r="Y302" s="333"/>
      <c r="Z302" s="333"/>
      <c r="AA302" s="597"/>
      <c r="AB302" s="333"/>
      <c r="AC302" s="333"/>
      <c r="AD302" s="333"/>
      <c r="AE302" s="333"/>
      <c r="AF302" s="333"/>
      <c r="AG302" s="333"/>
      <c r="AH302" s="333"/>
      <c r="AI302" s="333"/>
      <c r="AJ302" s="333"/>
      <c r="AK302" s="333"/>
      <c r="AL302" s="333"/>
      <c r="AM302" s="333"/>
      <c r="AN302" s="333"/>
      <c r="AO302" s="333"/>
      <c r="AP302" s="333"/>
      <c r="AQ302" s="333"/>
      <c r="AR302" s="333"/>
      <c r="AS302" s="333"/>
      <c r="AT302" s="333"/>
      <c r="AU302" s="333"/>
      <c r="AV302" s="333"/>
      <c r="AW302" s="333"/>
      <c r="AX302" s="333"/>
      <c r="AY302" s="333"/>
      <c r="AZ302" s="333"/>
      <c r="BA302" s="333"/>
      <c r="BB302" s="333"/>
      <c r="BC302" s="333"/>
      <c r="BD302" s="333"/>
      <c r="BE302" s="333"/>
      <c r="BF302" s="333"/>
      <c r="BG302" s="333"/>
      <c r="BH302" s="333"/>
      <c r="BI302" s="333"/>
      <c r="BJ302" s="333"/>
      <c r="BK302" s="333"/>
      <c r="BL302" s="333"/>
      <c r="BM302" s="333"/>
      <c r="BN302" s="333"/>
      <c r="BO302" s="333"/>
      <c r="BP302" s="333"/>
      <c r="BQ302" s="333"/>
      <c r="BR302" s="333"/>
    </row>
    <row r="303" spans="4:70">
      <c r="D303" s="333"/>
      <c r="E303" s="333"/>
      <c r="F303" s="333"/>
      <c r="G303" s="333"/>
      <c r="H303" s="333"/>
      <c r="I303" s="333"/>
      <c r="J303" s="333"/>
      <c r="K303" s="333"/>
      <c r="L303" s="333"/>
      <c r="M303" s="333"/>
      <c r="N303" s="333"/>
      <c r="O303" s="597"/>
      <c r="P303" s="333"/>
      <c r="Q303" s="333"/>
      <c r="R303" s="333"/>
      <c r="S303" s="333"/>
      <c r="T303" s="333"/>
      <c r="U303" s="333"/>
      <c r="V303" s="333"/>
      <c r="W303" s="333"/>
      <c r="X303" s="333"/>
      <c r="Y303" s="333"/>
      <c r="Z303" s="333"/>
      <c r="AA303" s="597"/>
      <c r="AB303" s="333"/>
      <c r="AC303" s="333"/>
      <c r="AD303" s="333"/>
      <c r="AE303" s="333"/>
      <c r="AF303" s="333"/>
      <c r="AG303" s="333"/>
      <c r="AH303" s="333"/>
      <c r="AI303" s="333"/>
      <c r="AJ303" s="333"/>
      <c r="AK303" s="333"/>
      <c r="AL303" s="333"/>
      <c r="AM303" s="333"/>
      <c r="AN303" s="333"/>
      <c r="AO303" s="333"/>
      <c r="AP303" s="333"/>
      <c r="AQ303" s="333"/>
      <c r="AR303" s="333"/>
      <c r="AS303" s="333"/>
      <c r="AT303" s="333"/>
      <c r="AU303" s="333"/>
      <c r="AV303" s="333"/>
      <c r="AW303" s="333"/>
      <c r="AX303" s="333"/>
      <c r="AY303" s="333"/>
      <c r="AZ303" s="333"/>
      <c r="BA303" s="333"/>
      <c r="BB303" s="333"/>
      <c r="BC303" s="333"/>
      <c r="BD303" s="333"/>
      <c r="BE303" s="333"/>
      <c r="BF303" s="333"/>
      <c r="BG303" s="333"/>
      <c r="BH303" s="333"/>
      <c r="BI303" s="333"/>
      <c r="BJ303" s="333"/>
      <c r="BK303" s="333"/>
      <c r="BL303" s="333"/>
      <c r="BM303" s="333"/>
      <c r="BN303" s="333"/>
      <c r="BO303" s="333"/>
      <c r="BP303" s="333"/>
      <c r="BQ303" s="333"/>
      <c r="BR303" s="333"/>
    </row>
    <row r="304" spans="4:70">
      <c r="D304" s="333"/>
      <c r="E304" s="333"/>
      <c r="F304" s="333"/>
      <c r="G304" s="333"/>
      <c r="H304" s="333"/>
      <c r="I304" s="333"/>
      <c r="J304" s="333"/>
      <c r="K304" s="333"/>
      <c r="L304" s="333"/>
      <c r="M304" s="333"/>
      <c r="N304" s="333"/>
      <c r="O304" s="597"/>
      <c r="P304" s="333"/>
      <c r="Q304" s="333"/>
      <c r="R304" s="333"/>
      <c r="S304" s="333"/>
      <c r="T304" s="333"/>
      <c r="U304" s="333"/>
      <c r="V304" s="333"/>
      <c r="W304" s="333"/>
      <c r="X304" s="333"/>
      <c r="Y304" s="333"/>
      <c r="Z304" s="333"/>
      <c r="AA304" s="597"/>
      <c r="AB304" s="333"/>
      <c r="AC304" s="333"/>
      <c r="AD304" s="333"/>
      <c r="AE304" s="333"/>
      <c r="AF304" s="333"/>
      <c r="AG304" s="333"/>
      <c r="AH304" s="333"/>
      <c r="AI304" s="333"/>
      <c r="AJ304" s="333"/>
      <c r="AK304" s="333"/>
      <c r="AL304" s="333"/>
      <c r="AM304" s="333"/>
      <c r="AN304" s="333"/>
      <c r="AO304" s="333"/>
      <c r="AP304" s="333"/>
      <c r="AQ304" s="333"/>
      <c r="AR304" s="333"/>
      <c r="AS304" s="333"/>
      <c r="AT304" s="333"/>
      <c r="AU304" s="333"/>
      <c r="AV304" s="333"/>
      <c r="AW304" s="333"/>
      <c r="AX304" s="333"/>
      <c r="AY304" s="333"/>
      <c r="AZ304" s="333"/>
      <c r="BA304" s="333"/>
      <c r="BB304" s="333"/>
      <c r="BC304" s="333"/>
      <c r="BD304" s="333"/>
      <c r="BE304" s="333"/>
      <c r="BF304" s="333"/>
      <c r="BG304" s="333"/>
      <c r="BH304" s="333"/>
      <c r="BI304" s="333"/>
      <c r="BJ304" s="333"/>
      <c r="BK304" s="333"/>
      <c r="BL304" s="333"/>
      <c r="BM304" s="333"/>
      <c r="BN304" s="333"/>
      <c r="BO304" s="333"/>
      <c r="BP304" s="333"/>
      <c r="BQ304" s="333"/>
      <c r="BR304" s="333"/>
    </row>
    <row r="305" spans="4:70">
      <c r="D305" s="333"/>
      <c r="E305" s="333"/>
      <c r="F305" s="333"/>
      <c r="G305" s="333"/>
      <c r="H305" s="333"/>
      <c r="I305" s="333"/>
      <c r="J305" s="333"/>
      <c r="K305" s="333"/>
      <c r="L305" s="333"/>
      <c r="M305" s="333"/>
      <c r="N305" s="333"/>
      <c r="O305" s="597"/>
      <c r="P305" s="333"/>
      <c r="Q305" s="333"/>
      <c r="R305" s="333"/>
      <c r="S305" s="333"/>
      <c r="T305" s="333"/>
      <c r="U305" s="333"/>
      <c r="V305" s="333"/>
      <c r="W305" s="333"/>
      <c r="X305" s="333"/>
      <c r="Y305" s="333"/>
      <c r="Z305" s="333"/>
      <c r="AA305" s="597"/>
      <c r="AB305" s="333"/>
      <c r="AC305" s="333"/>
      <c r="AD305" s="333"/>
      <c r="AE305" s="333"/>
      <c r="AF305" s="333"/>
      <c r="AG305" s="333"/>
      <c r="AH305" s="333"/>
      <c r="AI305" s="333"/>
      <c r="AJ305" s="333"/>
      <c r="AK305" s="333"/>
      <c r="AL305" s="333"/>
      <c r="AM305" s="333"/>
      <c r="AN305" s="333"/>
      <c r="AO305" s="333"/>
      <c r="AP305" s="333"/>
      <c r="AQ305" s="333"/>
      <c r="AR305" s="333"/>
      <c r="AS305" s="333"/>
      <c r="AT305" s="333"/>
      <c r="AU305" s="333"/>
      <c r="AV305" s="333"/>
      <c r="AW305" s="333"/>
      <c r="AX305" s="333"/>
      <c r="AY305" s="333"/>
      <c r="AZ305" s="333"/>
      <c r="BA305" s="333"/>
      <c r="BB305" s="333"/>
      <c r="BC305" s="333"/>
      <c r="BD305" s="333"/>
      <c r="BE305" s="333"/>
      <c r="BF305" s="333"/>
      <c r="BG305" s="333"/>
      <c r="BH305" s="333"/>
      <c r="BI305" s="333"/>
      <c r="BJ305" s="333"/>
      <c r="BK305" s="333"/>
      <c r="BL305" s="333"/>
      <c r="BM305" s="333"/>
      <c r="BN305" s="333"/>
      <c r="BO305" s="333"/>
      <c r="BP305" s="333"/>
      <c r="BQ305" s="333"/>
      <c r="BR305" s="333"/>
    </row>
    <row r="306" spans="4:70">
      <c r="D306" s="333"/>
      <c r="E306" s="333"/>
      <c r="F306" s="333"/>
      <c r="G306" s="333"/>
      <c r="H306" s="333"/>
      <c r="I306" s="333"/>
      <c r="J306" s="333"/>
      <c r="K306" s="333"/>
      <c r="L306" s="333"/>
      <c r="M306" s="333"/>
      <c r="N306" s="333"/>
      <c r="O306" s="597"/>
      <c r="P306" s="333"/>
      <c r="Q306" s="333"/>
      <c r="R306" s="333"/>
      <c r="S306" s="333"/>
      <c r="T306" s="333"/>
      <c r="U306" s="333"/>
      <c r="V306" s="333"/>
      <c r="W306" s="333"/>
      <c r="X306" s="333"/>
      <c r="Y306" s="333"/>
      <c r="Z306" s="333"/>
      <c r="AA306" s="597"/>
      <c r="AB306" s="333"/>
      <c r="AC306" s="333"/>
      <c r="AD306" s="333"/>
      <c r="AE306" s="333"/>
      <c r="AF306" s="333"/>
      <c r="AG306" s="333"/>
      <c r="AH306" s="333"/>
      <c r="AI306" s="333"/>
      <c r="AJ306" s="333"/>
      <c r="AK306" s="333"/>
      <c r="AL306" s="333"/>
      <c r="AM306" s="333"/>
      <c r="AN306" s="333"/>
      <c r="AO306" s="333"/>
      <c r="AP306" s="333"/>
      <c r="AQ306" s="333"/>
      <c r="AR306" s="333"/>
      <c r="AS306" s="333"/>
      <c r="AT306" s="333"/>
      <c r="AU306" s="333"/>
      <c r="AV306" s="333"/>
      <c r="AW306" s="333"/>
      <c r="AX306" s="333"/>
      <c r="AY306" s="333"/>
      <c r="AZ306" s="333"/>
      <c r="BA306" s="333"/>
      <c r="BB306" s="333"/>
      <c r="BC306" s="333"/>
      <c r="BD306" s="333"/>
      <c r="BE306" s="333"/>
      <c r="BF306" s="333"/>
      <c r="BG306" s="333"/>
      <c r="BH306" s="333"/>
      <c r="BI306" s="333"/>
      <c r="BJ306" s="333"/>
      <c r="BK306" s="333"/>
      <c r="BL306" s="333"/>
      <c r="BM306" s="333"/>
      <c r="BN306" s="333"/>
      <c r="BO306" s="333"/>
      <c r="BP306" s="333"/>
      <c r="BQ306" s="333"/>
      <c r="BR306" s="333"/>
    </row>
    <row r="307" spans="4:70">
      <c r="D307" s="333"/>
      <c r="E307" s="333"/>
      <c r="F307" s="333"/>
      <c r="G307" s="333"/>
      <c r="H307" s="333"/>
      <c r="I307" s="333"/>
      <c r="J307" s="333"/>
      <c r="K307" s="333"/>
      <c r="L307" s="333"/>
      <c r="M307" s="333"/>
      <c r="N307" s="333"/>
      <c r="O307" s="597"/>
      <c r="P307" s="333"/>
      <c r="Q307" s="333"/>
      <c r="R307" s="333"/>
      <c r="S307" s="333"/>
      <c r="T307" s="333"/>
      <c r="U307" s="333"/>
      <c r="V307" s="333"/>
      <c r="W307" s="333"/>
      <c r="X307" s="333"/>
      <c r="Y307" s="333"/>
      <c r="Z307" s="333"/>
      <c r="AA307" s="597"/>
      <c r="AB307" s="333"/>
      <c r="AC307" s="333"/>
      <c r="AD307" s="333"/>
      <c r="AE307" s="333"/>
      <c r="AF307" s="333"/>
      <c r="AG307" s="333"/>
      <c r="AH307" s="333"/>
      <c r="AI307" s="333"/>
      <c r="AJ307" s="333"/>
      <c r="AK307" s="333"/>
      <c r="AL307" s="333"/>
      <c r="AM307" s="333"/>
      <c r="AN307" s="333"/>
      <c r="AO307" s="333"/>
      <c r="AP307" s="333"/>
      <c r="AQ307" s="333"/>
      <c r="AR307" s="333"/>
      <c r="AS307" s="333"/>
      <c r="AT307" s="333"/>
      <c r="AU307" s="333"/>
      <c r="AV307" s="333"/>
      <c r="AW307" s="333"/>
      <c r="AX307" s="333"/>
      <c r="AY307" s="333"/>
      <c r="AZ307" s="333"/>
      <c r="BA307" s="333"/>
      <c r="BB307" s="333"/>
      <c r="BC307" s="333"/>
      <c r="BD307" s="333"/>
      <c r="BE307" s="333"/>
      <c r="BF307" s="333"/>
      <c r="BG307" s="333"/>
      <c r="BH307" s="333"/>
      <c r="BI307" s="333"/>
      <c r="BJ307" s="333"/>
      <c r="BK307" s="333"/>
      <c r="BL307" s="333"/>
      <c r="BM307" s="333"/>
      <c r="BN307" s="333"/>
      <c r="BO307" s="333"/>
      <c r="BP307" s="333"/>
      <c r="BQ307" s="333"/>
      <c r="BR307" s="333"/>
    </row>
    <row r="308" spans="4:70">
      <c r="D308" s="333"/>
      <c r="E308" s="333"/>
      <c r="F308" s="333"/>
      <c r="G308" s="333"/>
      <c r="H308" s="333"/>
      <c r="I308" s="333"/>
      <c r="J308" s="333"/>
      <c r="K308" s="333"/>
      <c r="L308" s="333"/>
      <c r="M308" s="333"/>
      <c r="N308" s="333"/>
      <c r="O308" s="597"/>
      <c r="P308" s="333"/>
      <c r="Q308" s="333"/>
      <c r="R308" s="333"/>
      <c r="S308" s="333"/>
      <c r="T308" s="333"/>
      <c r="U308" s="333"/>
      <c r="V308" s="333"/>
      <c r="W308" s="333"/>
      <c r="X308" s="333"/>
      <c r="Y308" s="333"/>
      <c r="Z308" s="333"/>
      <c r="AA308" s="597"/>
      <c r="AB308" s="333"/>
      <c r="AC308" s="333"/>
      <c r="AD308" s="333"/>
      <c r="AE308" s="333"/>
      <c r="AF308" s="333"/>
      <c r="AG308" s="333"/>
      <c r="AH308" s="333"/>
      <c r="AI308" s="333"/>
      <c r="AJ308" s="333"/>
      <c r="AK308" s="333"/>
      <c r="AL308" s="333"/>
      <c r="AM308" s="333"/>
      <c r="AN308" s="333"/>
      <c r="AO308" s="333"/>
      <c r="AP308" s="333"/>
      <c r="AQ308" s="333"/>
      <c r="AR308" s="333"/>
      <c r="AS308" s="333"/>
      <c r="AT308" s="333"/>
      <c r="AU308" s="333"/>
      <c r="AV308" s="333"/>
      <c r="AW308" s="333"/>
      <c r="AX308" s="333"/>
      <c r="AY308" s="333"/>
      <c r="AZ308" s="333"/>
      <c r="BA308" s="333"/>
      <c r="BB308" s="333"/>
      <c r="BC308" s="333"/>
      <c r="BD308" s="333"/>
      <c r="BE308" s="333"/>
      <c r="BF308" s="333"/>
      <c r="BG308" s="333"/>
      <c r="BH308" s="333"/>
      <c r="BI308" s="333"/>
      <c r="BJ308" s="333"/>
      <c r="BK308" s="333"/>
      <c r="BL308" s="333"/>
      <c r="BM308" s="333"/>
      <c r="BN308" s="333"/>
      <c r="BO308" s="333"/>
      <c r="BP308" s="333"/>
      <c r="BQ308" s="333"/>
      <c r="BR308" s="333"/>
    </row>
    <row r="309" spans="4:70">
      <c r="D309" s="333"/>
      <c r="E309" s="333"/>
      <c r="F309" s="333"/>
      <c r="G309" s="333"/>
      <c r="H309" s="333"/>
      <c r="I309" s="333"/>
      <c r="J309" s="333"/>
      <c r="K309" s="333"/>
      <c r="L309" s="333"/>
      <c r="M309" s="333"/>
      <c r="N309" s="333"/>
      <c r="O309" s="597"/>
      <c r="P309" s="333"/>
      <c r="Q309" s="333"/>
      <c r="R309" s="333"/>
      <c r="S309" s="333"/>
      <c r="T309" s="333"/>
      <c r="U309" s="333"/>
      <c r="V309" s="333"/>
      <c r="W309" s="333"/>
      <c r="X309" s="333"/>
      <c r="Y309" s="333"/>
      <c r="Z309" s="333"/>
      <c r="AA309" s="597"/>
      <c r="AB309" s="333"/>
      <c r="AC309" s="333"/>
      <c r="AD309" s="333"/>
      <c r="AE309" s="333"/>
      <c r="AF309" s="333"/>
      <c r="AG309" s="333"/>
      <c r="AH309" s="333"/>
      <c r="AI309" s="333"/>
      <c r="AJ309" s="333"/>
      <c r="AK309" s="333"/>
      <c r="AL309" s="333"/>
      <c r="AM309" s="333"/>
      <c r="AN309" s="333"/>
      <c r="AO309" s="333"/>
      <c r="AP309" s="333"/>
      <c r="AQ309" s="333"/>
      <c r="AR309" s="333"/>
      <c r="AS309" s="333"/>
      <c r="AT309" s="333"/>
      <c r="AU309" s="333"/>
      <c r="AV309" s="333"/>
      <c r="AW309" s="333"/>
      <c r="AX309" s="333"/>
      <c r="AY309" s="333"/>
      <c r="AZ309" s="333"/>
      <c r="BA309" s="333"/>
      <c r="BB309" s="333"/>
      <c r="BC309" s="333"/>
      <c r="BD309" s="333"/>
      <c r="BE309" s="333"/>
      <c r="BF309" s="333"/>
      <c r="BG309" s="333"/>
      <c r="BH309" s="333"/>
      <c r="BI309" s="333"/>
      <c r="BJ309" s="333"/>
      <c r="BK309" s="333"/>
      <c r="BL309" s="333"/>
      <c r="BM309" s="333"/>
      <c r="BN309" s="333"/>
      <c r="BO309" s="333"/>
      <c r="BP309" s="333"/>
      <c r="BQ309" s="333"/>
      <c r="BR309" s="333"/>
    </row>
    <row r="310" spans="4:70">
      <c r="D310" s="333"/>
      <c r="E310" s="333"/>
      <c r="F310" s="333"/>
      <c r="G310" s="333"/>
      <c r="H310" s="333"/>
      <c r="I310" s="333"/>
      <c r="J310" s="333"/>
      <c r="K310" s="333"/>
      <c r="L310" s="333"/>
      <c r="M310" s="333"/>
      <c r="N310" s="333"/>
      <c r="O310" s="597"/>
      <c r="P310" s="333"/>
      <c r="Q310" s="333"/>
      <c r="R310" s="333"/>
      <c r="S310" s="333"/>
      <c r="T310" s="333"/>
      <c r="U310" s="333"/>
      <c r="V310" s="333"/>
      <c r="W310" s="333"/>
      <c r="X310" s="333"/>
      <c r="Y310" s="333"/>
      <c r="Z310" s="333"/>
      <c r="AA310" s="597"/>
      <c r="AB310" s="333"/>
      <c r="AC310" s="333"/>
      <c r="AD310" s="333"/>
      <c r="AE310" s="333"/>
      <c r="AF310" s="333"/>
      <c r="AG310" s="333"/>
      <c r="AH310" s="333"/>
      <c r="AI310" s="333"/>
      <c r="AJ310" s="333"/>
      <c r="AK310" s="333"/>
      <c r="AL310" s="333"/>
      <c r="AM310" s="333"/>
      <c r="AN310" s="333"/>
      <c r="AO310" s="333"/>
      <c r="AP310" s="333"/>
      <c r="AQ310" s="333"/>
      <c r="AR310" s="333"/>
      <c r="AS310" s="333"/>
      <c r="AT310" s="333"/>
      <c r="AU310" s="333"/>
      <c r="AV310" s="333"/>
      <c r="AW310" s="333"/>
      <c r="AX310" s="333"/>
      <c r="AY310" s="333"/>
      <c r="AZ310" s="333"/>
      <c r="BA310" s="333"/>
      <c r="BB310" s="333"/>
      <c r="BC310" s="333"/>
      <c r="BD310" s="333"/>
      <c r="BE310" s="333"/>
      <c r="BF310" s="333"/>
      <c r="BG310" s="333"/>
      <c r="BH310" s="333"/>
      <c r="BI310" s="333"/>
      <c r="BJ310" s="333"/>
      <c r="BK310" s="333"/>
      <c r="BL310" s="333"/>
      <c r="BM310" s="333"/>
      <c r="BN310" s="333"/>
      <c r="BO310" s="333"/>
      <c r="BP310" s="333"/>
      <c r="BQ310" s="333"/>
      <c r="BR310" s="333"/>
    </row>
    <row r="311" spans="4:70">
      <c r="D311" s="333"/>
      <c r="E311" s="333"/>
      <c r="F311" s="333"/>
      <c r="G311" s="333"/>
      <c r="H311" s="333"/>
      <c r="I311" s="333"/>
      <c r="J311" s="333"/>
      <c r="K311" s="333"/>
      <c r="L311" s="333"/>
      <c r="M311" s="333"/>
      <c r="N311" s="333"/>
      <c r="O311" s="597"/>
      <c r="P311" s="333"/>
      <c r="Q311" s="333"/>
      <c r="R311" s="333"/>
      <c r="S311" s="333"/>
      <c r="T311" s="333"/>
      <c r="U311" s="333"/>
      <c r="V311" s="333"/>
      <c r="W311" s="333"/>
      <c r="X311" s="333"/>
      <c r="Y311" s="333"/>
      <c r="Z311" s="333"/>
      <c r="AA311" s="597"/>
      <c r="AB311" s="333"/>
      <c r="AC311" s="333"/>
      <c r="AD311" s="333"/>
      <c r="AE311" s="333"/>
      <c r="AF311" s="333"/>
      <c r="AG311" s="333"/>
      <c r="AH311" s="333"/>
      <c r="AI311" s="333"/>
      <c r="AJ311" s="333"/>
      <c r="AK311" s="333"/>
      <c r="AL311" s="333"/>
      <c r="AM311" s="333"/>
      <c r="AN311" s="333"/>
      <c r="AO311" s="333"/>
      <c r="AP311" s="333"/>
      <c r="AQ311" s="333"/>
      <c r="AR311" s="333"/>
      <c r="AS311" s="333"/>
      <c r="AT311" s="333"/>
      <c r="AU311" s="333"/>
      <c r="AV311" s="333"/>
      <c r="AW311" s="333"/>
      <c r="AX311" s="333"/>
      <c r="AY311" s="333"/>
      <c r="AZ311" s="333"/>
      <c r="BA311" s="333"/>
      <c r="BB311" s="333"/>
      <c r="BC311" s="333"/>
      <c r="BD311" s="333"/>
      <c r="BE311" s="333"/>
      <c r="BF311" s="333"/>
      <c r="BG311" s="333"/>
      <c r="BH311" s="333"/>
      <c r="BI311" s="333"/>
      <c r="BJ311" s="333"/>
      <c r="BK311" s="333"/>
      <c r="BL311" s="333"/>
      <c r="BM311" s="333"/>
      <c r="BN311" s="333"/>
      <c r="BO311" s="333"/>
      <c r="BP311" s="333"/>
      <c r="BQ311" s="333"/>
      <c r="BR311" s="333"/>
    </row>
    <row r="312" spans="4:70">
      <c r="D312" s="333"/>
      <c r="E312" s="333"/>
      <c r="F312" s="333"/>
      <c r="G312" s="333"/>
      <c r="H312" s="333"/>
      <c r="I312" s="333"/>
      <c r="J312" s="333"/>
      <c r="K312" s="333"/>
      <c r="L312" s="333"/>
      <c r="M312" s="333"/>
      <c r="N312" s="333"/>
      <c r="O312" s="597"/>
      <c r="P312" s="333"/>
      <c r="Q312" s="333"/>
      <c r="R312" s="333"/>
      <c r="S312" s="333"/>
      <c r="T312" s="333"/>
      <c r="U312" s="333"/>
      <c r="V312" s="333"/>
      <c r="W312" s="333"/>
      <c r="X312" s="333"/>
      <c r="Y312" s="333"/>
      <c r="Z312" s="333"/>
      <c r="AA312" s="597"/>
      <c r="AB312" s="333"/>
      <c r="AC312" s="333"/>
      <c r="AD312" s="333"/>
      <c r="AE312" s="333"/>
      <c r="AF312" s="333"/>
      <c r="AG312" s="333"/>
      <c r="AH312" s="333"/>
      <c r="AI312" s="333"/>
      <c r="AJ312" s="333"/>
      <c r="AK312" s="333"/>
      <c r="AL312" s="333"/>
      <c r="AM312" s="333"/>
      <c r="AN312" s="333"/>
      <c r="AO312" s="333"/>
      <c r="AP312" s="333"/>
      <c r="AQ312" s="333"/>
      <c r="AR312" s="333"/>
      <c r="AS312" s="333"/>
      <c r="AT312" s="333"/>
      <c r="AU312" s="333"/>
      <c r="AV312" s="333"/>
      <c r="AW312" s="333"/>
      <c r="AX312" s="333"/>
      <c r="AY312" s="333"/>
      <c r="AZ312" s="333"/>
      <c r="BA312" s="333"/>
      <c r="BB312" s="333"/>
      <c r="BC312" s="333"/>
      <c r="BD312" s="333"/>
      <c r="BE312" s="333"/>
      <c r="BF312" s="333"/>
      <c r="BG312" s="333"/>
      <c r="BH312" s="333"/>
      <c r="BI312" s="333"/>
      <c r="BJ312" s="333"/>
      <c r="BK312" s="333"/>
      <c r="BL312" s="333"/>
      <c r="BM312" s="333"/>
      <c r="BN312" s="333"/>
      <c r="BO312" s="333"/>
      <c r="BP312" s="333"/>
      <c r="BQ312" s="333"/>
      <c r="BR312" s="333"/>
    </row>
    <row r="1059" spans="1:1">
      <c r="A1059" s="295">
        <v>30217</v>
      </c>
    </row>
  </sheetData>
  <sheetProtection formatCells="0" formatColumns="0" formatRows="0" insertColumns="0" insertRows="0" insertHyperlinks="0" deleteColumns="0" deleteRows="0" sort="0" autoFilter="0" pivotTables="0"/>
  <mergeCells count="23">
    <mergeCell ref="AB99:AM99"/>
    <mergeCell ref="D134:O134"/>
    <mergeCell ref="P134:AA134"/>
    <mergeCell ref="AB134:AM134"/>
    <mergeCell ref="D99:O99"/>
    <mergeCell ref="F74:G74"/>
    <mergeCell ref="F75:G75"/>
    <mergeCell ref="F76:G76"/>
    <mergeCell ref="B82:D82"/>
    <mergeCell ref="P99:AA99"/>
    <mergeCell ref="B9:I9"/>
    <mergeCell ref="F73:G73"/>
    <mergeCell ref="L12:O12"/>
    <mergeCell ref="L26:O26"/>
    <mergeCell ref="B28:E28"/>
    <mergeCell ref="G28:J28"/>
    <mergeCell ref="G37:J37"/>
    <mergeCell ref="G44:J44"/>
    <mergeCell ref="B37:E37"/>
    <mergeCell ref="B44:E44"/>
    <mergeCell ref="B52:L52"/>
    <mergeCell ref="B72:D72"/>
    <mergeCell ref="F72:J72"/>
  </mergeCells>
  <pageMargins left="0.75000000000000011" right="0.75000000000000011" top="1" bottom="1" header="0.5" footer="0.5"/>
  <pageSetup paperSize="9" orientation="portrait" horizontalDpi="4294967292" verticalDpi="4294967292" r:id="rId1"/>
  <colBreaks count="3" manualBreakCount="3">
    <brk id="15" max="1048575" man="1"/>
    <brk id="27" max="1048575" man="1"/>
    <brk id="39" max="1048575" man="1"/>
  </colBreaks>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5F58-4A68-4C99-B96B-1CBB83968632}">
  <sheetPr>
    <tabColor rgb="FF5928A0"/>
  </sheetPr>
  <dimension ref="A1:BR985"/>
  <sheetViews>
    <sheetView showGridLines="0" zoomScale="63" zoomScaleNormal="55" zoomScalePageLayoutView="120" workbookViewId="0">
      <pane xSplit="2" topLeftCell="C1" activePane="topRight" state="frozen"/>
      <selection activeCell="A48" sqref="A48"/>
      <selection pane="topRight" activeCell="Z102" sqref="Z102"/>
    </sheetView>
  </sheetViews>
  <sheetFormatPr defaultColWidth="10.69921875" defaultRowHeight="15.6" outlineLevelRow="1"/>
  <cols>
    <col min="1" max="1" width="4.19921875" style="593" customWidth="1"/>
    <col min="2" max="2" width="34.69921875" style="593" customWidth="1"/>
    <col min="3" max="7" width="14.69921875" style="593" customWidth="1"/>
    <col min="8" max="8" width="20.796875" style="593" customWidth="1"/>
    <col min="9" max="14" width="14.69921875" style="593" customWidth="1"/>
    <col min="15" max="15" width="14.69921875" style="594" customWidth="1"/>
    <col min="16" max="16" width="16.296875" style="593" customWidth="1"/>
    <col min="17" max="17" width="17.69921875" style="593" customWidth="1"/>
    <col min="18" max="18" width="16.19921875" style="593" customWidth="1"/>
    <col min="19" max="26" width="14.69921875" style="593" customWidth="1"/>
    <col min="27" max="27" width="14.69921875" style="594" customWidth="1"/>
    <col min="28" max="39" width="14.69921875" style="593" customWidth="1"/>
    <col min="40" max="16384" width="10.69921875" style="593"/>
  </cols>
  <sheetData>
    <row r="1" spans="1:66" s="295" customFormat="1" ht="27" customHeight="1">
      <c r="A1" s="592" t="str">
        <f>"v"&amp;'COPYRIGHT PROTECTION'!C14&amp;" "&amp;'COPYRIGHT PROTECTION'!C6</f>
        <v xml:space="preserve">v2023.2 © Simon Hulme and Chris Drew, 2011-2023     IF PART OF AN ACADEMIC ASSIGNMENT, PLEASE DO NOT DELETE THIS SINGLE LINE.  DELETING IT MAY INVALIDATE YOUR SUBMISSION. </v>
      </c>
    </row>
    <row r="2" spans="1:66" s="642" customFormat="1" ht="28.8">
      <c r="B2" s="643" t="s">
        <v>522</v>
      </c>
      <c r="G2" s="644"/>
      <c r="AN2" s="593"/>
      <c r="AO2" s="593"/>
      <c r="AP2" s="593"/>
      <c r="AQ2" s="593"/>
      <c r="AR2" s="593"/>
      <c r="AS2" s="593"/>
      <c r="AT2" s="593"/>
      <c r="AU2" s="593"/>
      <c r="AV2" s="593"/>
      <c r="AW2" s="593"/>
      <c r="AX2" s="593"/>
      <c r="AY2" s="593"/>
      <c r="AZ2" s="593"/>
      <c r="BA2" s="593"/>
      <c r="BB2" s="593"/>
      <c r="BC2" s="593"/>
      <c r="BD2" s="593"/>
      <c r="BE2" s="593"/>
      <c r="BF2" s="593"/>
      <c r="BG2" s="593"/>
      <c r="BH2" s="593"/>
      <c r="BI2" s="593"/>
      <c r="BJ2" s="593"/>
      <c r="BK2" s="593"/>
      <c r="BL2" s="593"/>
      <c r="BM2" s="593"/>
      <c r="BN2" s="593"/>
    </row>
    <row r="3" spans="1:66" ht="15" customHeight="1">
      <c r="O3" s="593"/>
      <c r="AA3" s="593"/>
    </row>
    <row r="4" spans="1:66" s="642" customFormat="1" ht="25.8" hidden="1">
      <c r="B4" s="645" t="s">
        <v>85</v>
      </c>
      <c r="C4" s="646"/>
      <c r="AN4" s="593"/>
      <c r="AO4" s="593"/>
      <c r="AP4" s="593"/>
      <c r="AQ4" s="593"/>
      <c r="AR4" s="593"/>
      <c r="AS4" s="593"/>
      <c r="AT4" s="593"/>
      <c r="AU4" s="593"/>
      <c r="AV4" s="593"/>
      <c r="AW4" s="593"/>
      <c r="AX4" s="593"/>
      <c r="AY4" s="593"/>
      <c r="AZ4" s="593"/>
      <c r="BA4" s="593"/>
      <c r="BB4" s="593"/>
      <c r="BC4" s="593"/>
      <c r="BD4" s="593"/>
      <c r="BE4" s="593"/>
      <c r="BF4" s="593"/>
      <c r="BG4" s="593"/>
      <c r="BH4" s="593"/>
      <c r="BI4" s="593"/>
      <c r="BJ4" s="593"/>
      <c r="BK4" s="593"/>
      <c r="BL4" s="593"/>
      <c r="BM4" s="593"/>
      <c r="BN4" s="593"/>
    </row>
    <row r="5" spans="1:66" ht="6" customHeight="1">
      <c r="O5" s="593"/>
      <c r="AA5" s="593"/>
    </row>
    <row r="6" spans="1:66">
      <c r="O6" s="593"/>
      <c r="AA6" s="593"/>
    </row>
    <row r="7" spans="1:66" s="333" customFormat="1" ht="16.2" thickBot="1">
      <c r="B7" s="684"/>
      <c r="C7" s="684"/>
      <c r="D7" s="790"/>
      <c r="E7" s="790"/>
      <c r="F7" s="790"/>
      <c r="G7" s="684"/>
      <c r="H7" s="684"/>
      <c r="I7" s="684"/>
      <c r="J7" s="665"/>
      <c r="K7" s="357"/>
      <c r="L7" s="357"/>
      <c r="M7" s="357"/>
      <c r="N7" s="357"/>
      <c r="O7" s="357"/>
      <c r="P7" s="357"/>
      <c r="Q7" s="357"/>
      <c r="R7" s="357"/>
      <c r="S7" s="357"/>
      <c r="Z7" s="603"/>
      <c r="AA7" s="598"/>
      <c r="AB7" s="598"/>
      <c r="AN7" s="323"/>
      <c r="AO7" s="323"/>
      <c r="AP7" s="323"/>
      <c r="AQ7" s="323"/>
      <c r="AR7" s="323"/>
      <c r="AS7" s="323"/>
      <c r="AT7" s="323"/>
      <c r="AU7" s="323"/>
      <c r="AV7" s="323"/>
      <c r="AW7" s="323"/>
      <c r="AX7" s="323"/>
      <c r="AY7" s="323"/>
      <c r="AZ7" s="323"/>
      <c r="BA7" s="323"/>
      <c r="BB7" s="323"/>
      <c r="BC7" s="323"/>
      <c r="BD7" s="323"/>
      <c r="BE7" s="323"/>
      <c r="BF7" s="323"/>
      <c r="BG7" s="323"/>
      <c r="BH7" s="323"/>
      <c r="BI7" s="323"/>
      <c r="BJ7" s="323"/>
      <c r="BK7" s="323"/>
      <c r="BL7" s="323"/>
      <c r="BM7" s="323"/>
      <c r="BN7" s="323"/>
    </row>
    <row r="8" spans="1:66" s="323" customFormat="1" ht="42.6" thickTop="1">
      <c r="B8" s="794" t="s">
        <v>494</v>
      </c>
      <c r="C8" s="894">
        <v>2024</v>
      </c>
      <c r="D8" s="894">
        <v>2025</v>
      </c>
      <c r="E8" s="895">
        <v>2026</v>
      </c>
      <c r="F8" s="790"/>
      <c r="G8" s="684"/>
      <c r="H8" s="794" t="s">
        <v>396</v>
      </c>
      <c r="I8" s="795" t="s">
        <v>403</v>
      </c>
      <c r="J8" s="795" t="s">
        <v>357</v>
      </c>
      <c r="K8" s="795" t="s">
        <v>358</v>
      </c>
      <c r="L8" s="795" t="s">
        <v>359</v>
      </c>
      <c r="M8" s="795">
        <v>2024</v>
      </c>
      <c r="N8" s="795">
        <v>2025</v>
      </c>
      <c r="O8" s="795">
        <v>2026</v>
      </c>
      <c r="P8" s="795" t="s">
        <v>413</v>
      </c>
      <c r="Q8" s="795" t="s">
        <v>414</v>
      </c>
      <c r="R8" s="796" t="s">
        <v>417</v>
      </c>
      <c r="S8" s="322"/>
      <c r="U8" s="600"/>
      <c r="Z8" s="598"/>
      <c r="AA8" s="598"/>
      <c r="AB8" s="598"/>
    </row>
    <row r="9" spans="1:66" s="323" customFormat="1" ht="17.55" customHeight="1">
      <c r="B9" s="1287" t="s">
        <v>488</v>
      </c>
      <c r="C9" s="1288"/>
      <c r="D9" s="1288"/>
      <c r="E9" s="1289"/>
      <c r="F9" s="790"/>
      <c r="G9" s="684"/>
      <c r="H9" s="1284" t="s">
        <v>489</v>
      </c>
      <c r="I9" s="1285"/>
      <c r="J9" s="1285"/>
      <c r="K9" s="1285"/>
      <c r="L9" s="1285"/>
      <c r="M9" s="1285"/>
      <c r="N9" s="1285"/>
      <c r="O9" s="1285"/>
      <c r="P9" s="1285"/>
      <c r="Q9" s="1285"/>
      <c r="R9" s="1286"/>
      <c r="S9" s="322"/>
      <c r="U9" s="600"/>
      <c r="Z9" s="598"/>
      <c r="AA9" s="598"/>
      <c r="AB9" s="598"/>
    </row>
    <row r="10" spans="1:66" s="323" customFormat="1">
      <c r="B10" s="896" t="s">
        <v>489</v>
      </c>
      <c r="C10" s="598">
        <f>'Profit &amp; Loss Ecommerce'!G20</f>
        <v>297220</v>
      </c>
      <c r="D10" s="598">
        <f>'Profit &amp; Loss Ecommerce'!H20</f>
        <v>333200</v>
      </c>
      <c r="E10" s="897">
        <f>'Profit &amp; Loss Ecommerce'!I20</f>
        <v>573640</v>
      </c>
      <c r="H10" s="648" t="s">
        <v>402</v>
      </c>
      <c r="I10" s="663">
        <v>800</v>
      </c>
      <c r="J10" s="663">
        <v>12</v>
      </c>
      <c r="K10" s="663">
        <v>13</v>
      </c>
      <c r="L10" s="663">
        <v>22</v>
      </c>
      <c r="M10" s="684">
        <v>9600</v>
      </c>
      <c r="N10" s="684">
        <v>10400</v>
      </c>
      <c r="O10" s="684">
        <v>17600</v>
      </c>
      <c r="P10" s="714">
        <v>4</v>
      </c>
      <c r="Q10" s="684" t="s">
        <v>416</v>
      </c>
      <c r="R10" s="685" t="s">
        <v>350</v>
      </c>
      <c r="S10" s="322"/>
      <c r="U10" s="600" t="s">
        <v>463</v>
      </c>
      <c r="Z10" s="598"/>
      <c r="AA10" s="598"/>
      <c r="AB10" s="598"/>
    </row>
    <row r="11" spans="1:66" s="323" customFormat="1">
      <c r="B11" s="898" t="s">
        <v>490</v>
      </c>
      <c r="C11" s="697">
        <f>'Profit &amp; Loss Store'!G23</f>
        <v>0</v>
      </c>
      <c r="D11" s="697">
        <f>'Profit &amp; Loss Store'!H23</f>
        <v>0</v>
      </c>
      <c r="E11" s="698">
        <f>'Profit &amp; Loss Store'!I23</f>
        <v>408700</v>
      </c>
      <c r="H11" s="648" t="s">
        <v>404</v>
      </c>
      <c r="I11" s="792">
        <v>1200</v>
      </c>
      <c r="J11" s="663">
        <v>1</v>
      </c>
      <c r="K11" s="663">
        <v>0</v>
      </c>
      <c r="L11" s="663">
        <v>0</v>
      </c>
      <c r="M11" s="684">
        <v>1200</v>
      </c>
      <c r="N11" s="684">
        <v>0</v>
      </c>
      <c r="O11" s="684">
        <v>0</v>
      </c>
      <c r="P11" s="714">
        <v>5</v>
      </c>
      <c r="Q11" s="684" t="s">
        <v>416</v>
      </c>
      <c r="R11" s="902" t="s">
        <v>350</v>
      </c>
      <c r="S11" s="322"/>
      <c r="Z11" s="598"/>
      <c r="AA11" s="598"/>
      <c r="AB11" s="598"/>
    </row>
    <row r="12" spans="1:66" s="323" customFormat="1">
      <c r="B12" s="898" t="s">
        <v>365</v>
      </c>
      <c r="C12" s="697">
        <f>SUM(C10:C11)</f>
        <v>297220</v>
      </c>
      <c r="D12" s="697">
        <f t="shared" ref="D12:E12" si="0">SUM(D10:D11)</f>
        <v>333200</v>
      </c>
      <c r="E12" s="698">
        <f t="shared" si="0"/>
        <v>982340</v>
      </c>
      <c r="H12" s="648" t="s">
        <v>405</v>
      </c>
      <c r="I12" s="792">
        <v>80</v>
      </c>
      <c r="J12" s="663">
        <v>3</v>
      </c>
      <c r="K12" s="663">
        <v>0</v>
      </c>
      <c r="L12" s="663">
        <v>1</v>
      </c>
      <c r="M12" s="684">
        <v>240</v>
      </c>
      <c r="N12" s="684">
        <v>0</v>
      </c>
      <c r="O12" s="684">
        <v>80</v>
      </c>
      <c r="P12" s="714">
        <v>5</v>
      </c>
      <c r="Q12" s="684" t="s">
        <v>416</v>
      </c>
      <c r="R12" s="902" t="s">
        <v>350</v>
      </c>
      <c r="S12" s="322"/>
      <c r="Z12" s="598"/>
      <c r="AA12" s="598"/>
      <c r="AB12" s="598"/>
    </row>
    <row r="13" spans="1:66" s="333" customFormat="1">
      <c r="A13" s="370"/>
      <c r="B13" s="1290" t="s">
        <v>384</v>
      </c>
      <c r="C13" s="1291"/>
      <c r="D13" s="1291"/>
      <c r="E13" s="1292"/>
      <c r="F13" s="322"/>
      <c r="G13" s="322"/>
      <c r="H13" s="648" t="s">
        <v>406</v>
      </c>
      <c r="I13" s="663">
        <v>300</v>
      </c>
      <c r="J13" s="663">
        <v>2</v>
      </c>
      <c r="K13" s="663">
        <v>6</v>
      </c>
      <c r="L13" s="663">
        <v>10</v>
      </c>
      <c r="M13" s="665">
        <v>600</v>
      </c>
      <c r="N13" s="665">
        <v>1800</v>
      </c>
      <c r="O13" s="665">
        <v>3000</v>
      </c>
      <c r="P13" s="714">
        <v>4</v>
      </c>
      <c r="Q13" s="665" t="s">
        <v>416</v>
      </c>
      <c r="R13" s="717" t="s">
        <v>350</v>
      </c>
      <c r="S13" s="357"/>
      <c r="Z13" s="603"/>
      <c r="AA13" s="598"/>
      <c r="AB13" s="598"/>
      <c r="AN13" s="323"/>
      <c r="AO13" s="323"/>
      <c r="AP13" s="323"/>
      <c r="AQ13" s="323"/>
      <c r="AR13" s="323"/>
      <c r="AS13" s="323"/>
      <c r="AT13" s="323"/>
      <c r="AU13" s="323"/>
      <c r="AV13" s="323"/>
      <c r="AW13" s="323"/>
      <c r="AX13" s="323"/>
      <c r="AY13" s="323"/>
      <c r="AZ13" s="323"/>
      <c r="BA13" s="323"/>
      <c r="BB13" s="323"/>
      <c r="BC13" s="323"/>
      <c r="BD13" s="323"/>
      <c r="BE13" s="323"/>
      <c r="BF13" s="323"/>
      <c r="BG13" s="323"/>
      <c r="BH13" s="323"/>
      <c r="BI13" s="323"/>
      <c r="BJ13" s="323"/>
      <c r="BK13" s="323"/>
      <c r="BL13" s="323"/>
      <c r="BM13" s="323"/>
      <c r="BN13" s="323"/>
    </row>
    <row r="14" spans="1:66" s="333" customFormat="1" ht="31.2">
      <c r="A14" s="370"/>
      <c r="B14" s="896" t="s">
        <v>489</v>
      </c>
      <c r="C14" s="684">
        <f>'Profit &amp; Loss Ecommerce'!M33</f>
        <v>3150</v>
      </c>
      <c r="D14" s="684">
        <f>'Profit &amp; Loss Ecommerce'!N33</f>
        <v>3150</v>
      </c>
      <c r="E14" s="685">
        <f>'Profit &amp; Loss Ecommerce'!O33</f>
        <v>3150</v>
      </c>
      <c r="F14" s="357"/>
      <c r="G14" s="322"/>
      <c r="H14" s="648" t="s">
        <v>407</v>
      </c>
      <c r="I14" s="663">
        <v>30000</v>
      </c>
      <c r="J14" s="663">
        <v>1</v>
      </c>
      <c r="K14" s="663">
        <v>1</v>
      </c>
      <c r="L14" s="663">
        <v>2</v>
      </c>
      <c r="M14" s="684">
        <v>30000</v>
      </c>
      <c r="N14" s="665">
        <v>30000</v>
      </c>
      <c r="O14" s="665">
        <v>60000</v>
      </c>
      <c r="P14" s="714" t="s">
        <v>350</v>
      </c>
      <c r="Q14" s="665" t="s">
        <v>415</v>
      </c>
      <c r="R14" s="716">
        <v>0.4</v>
      </c>
      <c r="S14" s="357"/>
      <c r="U14" s="323"/>
      <c r="V14" s="323"/>
      <c r="W14" s="323"/>
      <c r="X14" s="323"/>
      <c r="Y14" s="323"/>
      <c r="Z14" s="323"/>
      <c r="AA14" s="598"/>
      <c r="AB14" s="598"/>
      <c r="AN14" s="323"/>
      <c r="AO14" s="323"/>
      <c r="AP14" s="323"/>
      <c r="AQ14" s="323"/>
      <c r="AR14" s="323"/>
      <c r="AS14" s="323"/>
      <c r="AT14" s="323"/>
      <c r="AU14" s="323"/>
      <c r="AV14" s="323"/>
      <c r="AW14" s="323"/>
      <c r="AX14" s="323"/>
      <c r="AY14" s="323"/>
      <c r="AZ14" s="323"/>
      <c r="BA14" s="323"/>
      <c r="BB14" s="323"/>
      <c r="BC14" s="323"/>
      <c r="BD14" s="323"/>
      <c r="BE14" s="323"/>
      <c r="BF14" s="323"/>
      <c r="BG14" s="323"/>
      <c r="BH14" s="323"/>
      <c r="BI14" s="323"/>
      <c r="BJ14" s="323"/>
      <c r="BK14" s="323"/>
      <c r="BL14" s="323"/>
      <c r="BM14" s="323"/>
      <c r="BN14" s="323"/>
    </row>
    <row r="15" spans="1:66" s="333" customFormat="1">
      <c r="A15" s="370"/>
      <c r="B15" s="898" t="s">
        <v>490</v>
      </c>
      <c r="C15" s="598">
        <f>'Profit &amp; Loss Store'!M37</f>
        <v>0</v>
      </c>
      <c r="D15" s="598">
        <f>'Profit &amp; Loss Store'!N37</f>
        <v>0</v>
      </c>
      <c r="E15" s="897">
        <f>'Profit &amp; Loss Store'!O37</f>
        <v>3150</v>
      </c>
      <c r="F15" s="357"/>
      <c r="G15" s="322"/>
      <c r="H15" s="648" t="s">
        <v>408</v>
      </c>
      <c r="I15" s="663">
        <v>100</v>
      </c>
      <c r="J15" s="663">
        <v>12</v>
      </c>
      <c r="K15" s="663">
        <v>1</v>
      </c>
      <c r="L15" s="663">
        <v>10</v>
      </c>
      <c r="M15" s="684">
        <v>1200</v>
      </c>
      <c r="N15" s="665">
        <v>100</v>
      </c>
      <c r="O15" s="665">
        <v>1000</v>
      </c>
      <c r="P15" s="714">
        <v>4</v>
      </c>
      <c r="Q15" s="665" t="s">
        <v>416</v>
      </c>
      <c r="R15" s="717" t="s">
        <v>350</v>
      </c>
      <c r="S15" s="357"/>
      <c r="U15" s="323"/>
      <c r="V15" s="323"/>
      <c r="W15" s="323"/>
      <c r="X15" s="323"/>
      <c r="Y15" s="323"/>
      <c r="Z15" s="323"/>
      <c r="AA15" s="598"/>
      <c r="AB15" s="598"/>
      <c r="AN15" s="323"/>
      <c r="AO15" s="323"/>
      <c r="AP15" s="323"/>
      <c r="AQ15" s="323"/>
      <c r="AR15" s="323"/>
      <c r="AS15" s="323"/>
      <c r="AT15" s="323"/>
      <c r="AU15" s="323"/>
      <c r="AV15" s="323"/>
      <c r="AW15" s="323"/>
      <c r="AX15" s="323"/>
      <c r="AY15" s="323"/>
      <c r="AZ15" s="323"/>
      <c r="BA15" s="323"/>
      <c r="BB15" s="323"/>
      <c r="BC15" s="323"/>
      <c r="BD15" s="323"/>
      <c r="BE15" s="323"/>
      <c r="BF15" s="323"/>
      <c r="BG15" s="323"/>
      <c r="BH15" s="323"/>
      <c r="BI15" s="323"/>
      <c r="BJ15" s="323"/>
      <c r="BK15" s="323"/>
      <c r="BL15" s="323"/>
      <c r="BM15" s="323"/>
      <c r="BN15" s="323"/>
    </row>
    <row r="16" spans="1:66" s="333" customFormat="1">
      <c r="A16" s="370"/>
      <c r="B16" s="898" t="s">
        <v>19</v>
      </c>
      <c r="C16" s="697">
        <f>SUM(C14:C15)</f>
        <v>3150</v>
      </c>
      <c r="D16" s="697">
        <f t="shared" ref="D16:E16" si="1">SUM(D14:D15)</f>
        <v>3150</v>
      </c>
      <c r="E16" s="698">
        <f t="shared" si="1"/>
        <v>6300</v>
      </c>
      <c r="F16" s="357"/>
      <c r="G16" s="322"/>
      <c r="H16" s="651" t="s">
        <v>409</v>
      </c>
      <c r="I16" s="792">
        <v>80</v>
      </c>
      <c r="J16" s="792">
        <v>12</v>
      </c>
      <c r="K16" s="792">
        <v>1</v>
      </c>
      <c r="L16" s="792">
        <v>10</v>
      </c>
      <c r="M16" s="603">
        <v>960</v>
      </c>
      <c r="N16" s="603">
        <v>80</v>
      </c>
      <c r="O16" s="603">
        <v>800</v>
      </c>
      <c r="P16" s="793">
        <v>7</v>
      </c>
      <c r="Q16" s="598" t="s">
        <v>416</v>
      </c>
      <c r="R16" s="903" t="s">
        <v>350</v>
      </c>
      <c r="S16" s="357"/>
      <c r="U16" s="323"/>
      <c r="V16" s="323"/>
      <c r="W16" s="323"/>
      <c r="X16" s="323"/>
      <c r="Y16" s="323"/>
      <c r="Z16" s="323"/>
      <c r="AA16" s="598"/>
      <c r="AB16" s="598"/>
      <c r="AN16" s="323"/>
      <c r="AO16" s="323"/>
      <c r="AP16" s="323"/>
      <c r="AQ16" s="323"/>
      <c r="AR16" s="323"/>
      <c r="AS16" s="323"/>
      <c r="AT16" s="323"/>
      <c r="AU16" s="323"/>
      <c r="AV16" s="323"/>
      <c r="AW16" s="323"/>
      <c r="AX16" s="323"/>
      <c r="AY16" s="323"/>
      <c r="AZ16" s="323"/>
      <c r="BA16" s="323"/>
      <c r="BB16" s="323"/>
      <c r="BC16" s="323"/>
      <c r="BD16" s="323"/>
      <c r="BE16" s="323"/>
      <c r="BF16" s="323"/>
      <c r="BG16" s="323"/>
      <c r="BH16" s="323"/>
      <c r="BI16" s="323"/>
      <c r="BJ16" s="323"/>
      <c r="BK16" s="323"/>
      <c r="BL16" s="323"/>
      <c r="BM16" s="323"/>
      <c r="BN16" s="323"/>
    </row>
    <row r="17" spans="2:66" s="333" customFormat="1">
      <c r="B17" s="1290" t="s">
        <v>491</v>
      </c>
      <c r="C17" s="1291"/>
      <c r="D17" s="1291"/>
      <c r="E17" s="1292"/>
      <c r="H17" s="651" t="s">
        <v>410</v>
      </c>
      <c r="I17" s="792">
        <v>2000</v>
      </c>
      <c r="J17" s="792">
        <v>1</v>
      </c>
      <c r="K17" s="792">
        <v>1</v>
      </c>
      <c r="L17" s="792">
        <v>0</v>
      </c>
      <c r="M17" s="603">
        <v>2000</v>
      </c>
      <c r="N17" s="603">
        <v>2000</v>
      </c>
      <c r="O17" s="603">
        <v>0</v>
      </c>
      <c r="P17" s="793" t="s">
        <v>350</v>
      </c>
      <c r="Q17" s="598" t="s">
        <v>415</v>
      </c>
      <c r="R17" s="904">
        <v>0.1</v>
      </c>
      <c r="S17" s="323"/>
      <c r="T17" s="323"/>
      <c r="U17" s="323"/>
      <c r="V17" s="323"/>
      <c r="W17" s="323"/>
      <c r="X17" s="323"/>
      <c r="Y17" s="323"/>
      <c r="Z17" s="323"/>
      <c r="AA17" s="598"/>
      <c r="AB17" s="598"/>
      <c r="AN17" s="323"/>
      <c r="AO17" s="323"/>
      <c r="AP17" s="323"/>
      <c r="AQ17" s="323"/>
      <c r="AR17" s="323"/>
      <c r="AS17" s="323"/>
      <c r="AT17" s="323"/>
      <c r="AU17" s="323"/>
      <c r="AV17" s="323"/>
      <c r="AW17" s="323"/>
      <c r="AX17" s="323"/>
      <c r="AY17" s="323"/>
      <c r="AZ17" s="323"/>
      <c r="BA17" s="323"/>
      <c r="BB17" s="323"/>
      <c r="BC17" s="323"/>
      <c r="BD17" s="323"/>
      <c r="BE17" s="323"/>
      <c r="BF17" s="323"/>
      <c r="BG17" s="323"/>
      <c r="BH17" s="323"/>
      <c r="BI17" s="323"/>
      <c r="BJ17" s="323"/>
      <c r="BK17" s="323"/>
      <c r="BL17" s="323"/>
      <c r="BM17" s="323"/>
      <c r="BN17" s="323"/>
    </row>
    <row r="18" spans="2:66" s="333" customFormat="1">
      <c r="B18" s="896" t="s">
        <v>489</v>
      </c>
      <c r="C18" s="598">
        <f>'Profit &amp; Loss Ecommerce'!H31</f>
        <v>8600</v>
      </c>
      <c r="D18" s="598">
        <f>'Profit &amp; Loss Ecommerce'!I31</f>
        <v>3600</v>
      </c>
      <c r="E18" s="897">
        <f>'Profit &amp; Loss Ecommerce'!J31</f>
        <v>3600</v>
      </c>
      <c r="H18" s="651"/>
      <c r="I18" s="792"/>
      <c r="J18" s="792"/>
      <c r="K18" s="792"/>
      <c r="L18" s="792"/>
      <c r="M18" s="603"/>
      <c r="N18" s="603"/>
      <c r="O18" s="603"/>
      <c r="P18" s="793"/>
      <c r="Q18" s="598"/>
      <c r="R18" s="904"/>
      <c r="S18" s="323"/>
      <c r="T18" s="323"/>
      <c r="U18" s="323"/>
      <c r="V18" s="323"/>
      <c r="W18" s="323"/>
      <c r="X18" s="323"/>
      <c r="Y18" s="323"/>
      <c r="Z18" s="323"/>
      <c r="AA18" s="598"/>
      <c r="AB18" s="598"/>
      <c r="AN18" s="323"/>
      <c r="AO18" s="323"/>
      <c r="AP18" s="323"/>
      <c r="AQ18" s="323"/>
      <c r="AR18" s="323"/>
      <c r="AS18" s="323"/>
      <c r="AT18" s="323"/>
      <c r="AU18" s="323"/>
      <c r="AV18" s="323"/>
      <c r="AW18" s="323"/>
      <c r="AX18" s="323"/>
      <c r="AY18" s="323"/>
      <c r="AZ18" s="323"/>
      <c r="BA18" s="323"/>
      <c r="BB18" s="323"/>
      <c r="BC18" s="323"/>
      <c r="BD18" s="323"/>
      <c r="BE18" s="323"/>
      <c r="BF18" s="323"/>
      <c r="BG18" s="323"/>
      <c r="BH18" s="323"/>
      <c r="BI18" s="323"/>
      <c r="BJ18" s="323"/>
      <c r="BK18" s="323"/>
      <c r="BL18" s="323"/>
      <c r="BM18" s="323"/>
      <c r="BN18" s="323"/>
    </row>
    <row r="19" spans="2:66" s="333" customFormat="1">
      <c r="B19" s="898" t="s">
        <v>490</v>
      </c>
      <c r="C19" s="598">
        <f>'Profit &amp; Loss Store'!H35</f>
        <v>0</v>
      </c>
      <c r="D19" s="598">
        <f>'Profit &amp; Loss Store'!I35</f>
        <v>0</v>
      </c>
      <c r="E19" s="897">
        <f>'Profit &amp; Loss Store'!J35</f>
        <v>1800</v>
      </c>
      <c r="H19" s="651" t="s">
        <v>411</v>
      </c>
      <c r="I19" s="792">
        <v>900</v>
      </c>
      <c r="J19" s="792">
        <v>4</v>
      </c>
      <c r="K19" s="792">
        <v>0</v>
      </c>
      <c r="L19" s="792">
        <v>0</v>
      </c>
      <c r="M19" s="603">
        <v>3600</v>
      </c>
      <c r="N19" s="603">
        <v>0</v>
      </c>
      <c r="O19" s="603">
        <v>0</v>
      </c>
      <c r="P19" s="793">
        <v>5</v>
      </c>
      <c r="Q19" s="598" t="s">
        <v>416</v>
      </c>
      <c r="R19" s="903" t="s">
        <v>350</v>
      </c>
      <c r="S19" s="323"/>
      <c r="T19" s="323"/>
      <c r="U19" s="323"/>
      <c r="V19" s="323"/>
      <c r="W19" s="323"/>
      <c r="X19" s="323"/>
      <c r="Y19" s="323"/>
      <c r="Z19" s="323"/>
      <c r="AA19" s="598"/>
      <c r="AB19" s="598"/>
      <c r="AN19" s="323"/>
      <c r="AO19" s="323"/>
      <c r="AP19" s="323"/>
      <c r="AQ19" s="323"/>
      <c r="AR19" s="323"/>
      <c r="AS19" s="323"/>
      <c r="AT19" s="323"/>
      <c r="AU19" s="323"/>
      <c r="AV19" s="323"/>
      <c r="AW19" s="323"/>
      <c r="AX19" s="323"/>
      <c r="AY19" s="323"/>
      <c r="AZ19" s="323"/>
      <c r="BA19" s="323"/>
      <c r="BB19" s="323"/>
      <c r="BC19" s="323"/>
      <c r="BD19" s="323"/>
      <c r="BE19" s="323"/>
      <c r="BF19" s="323"/>
      <c r="BG19" s="323"/>
      <c r="BH19" s="323"/>
      <c r="BI19" s="323"/>
      <c r="BJ19" s="323"/>
      <c r="BK19" s="323"/>
      <c r="BL19" s="323"/>
      <c r="BM19" s="323"/>
      <c r="BN19" s="323"/>
    </row>
    <row r="20" spans="2:66" s="333" customFormat="1">
      <c r="B20" s="898" t="s">
        <v>365</v>
      </c>
      <c r="C20" s="697">
        <f>SUM(C18:C19)</f>
        <v>8600</v>
      </c>
      <c r="D20" s="697">
        <f t="shared" ref="D20:E20" si="2">SUM(D18:D19)</f>
        <v>3600</v>
      </c>
      <c r="E20" s="698">
        <f t="shared" si="2"/>
        <v>5400</v>
      </c>
      <c r="H20" s="651" t="s">
        <v>412</v>
      </c>
      <c r="I20" s="792">
        <v>40</v>
      </c>
      <c r="J20" s="792">
        <v>10</v>
      </c>
      <c r="K20" s="792">
        <v>0</v>
      </c>
      <c r="L20" s="792">
        <v>0</v>
      </c>
      <c r="M20" s="603">
        <v>400</v>
      </c>
      <c r="N20" s="603">
        <v>0</v>
      </c>
      <c r="O20" s="603">
        <v>0</v>
      </c>
      <c r="P20" s="793">
        <v>8</v>
      </c>
      <c r="Q20" s="598" t="s">
        <v>416</v>
      </c>
      <c r="R20" s="897" t="s">
        <v>350</v>
      </c>
      <c r="S20" s="323"/>
      <c r="T20" s="323"/>
      <c r="U20" s="323"/>
      <c r="V20" s="323"/>
      <c r="W20" s="323"/>
      <c r="X20" s="323"/>
      <c r="Y20" s="323"/>
      <c r="Z20" s="323"/>
      <c r="AA20" s="598"/>
      <c r="AB20" s="598"/>
      <c r="AN20" s="323"/>
      <c r="AO20" s="323"/>
      <c r="AP20" s="323"/>
      <c r="AQ20" s="323"/>
      <c r="AR20" s="323"/>
      <c r="AS20" s="323"/>
      <c r="AT20" s="323"/>
      <c r="AU20" s="323"/>
      <c r="AV20" s="323"/>
      <c r="AW20" s="323"/>
      <c r="AX20" s="323"/>
      <c r="AY20" s="323"/>
      <c r="AZ20" s="323"/>
      <c r="BA20" s="323"/>
      <c r="BB20" s="323"/>
      <c r="BC20" s="323"/>
      <c r="BD20" s="323"/>
      <c r="BE20" s="323"/>
      <c r="BF20" s="323"/>
      <c r="BG20" s="323"/>
      <c r="BH20" s="323"/>
      <c r="BI20" s="323"/>
      <c r="BJ20" s="323"/>
      <c r="BK20" s="323"/>
      <c r="BL20" s="323"/>
      <c r="BM20" s="323"/>
      <c r="BN20" s="323"/>
    </row>
    <row r="21" spans="2:66" s="333" customFormat="1" ht="21">
      <c r="B21" s="1290" t="s">
        <v>391</v>
      </c>
      <c r="C21" s="1291"/>
      <c r="D21" s="1291"/>
      <c r="E21" s="1292"/>
      <c r="H21" s="1284" t="s">
        <v>490</v>
      </c>
      <c r="I21" s="1285"/>
      <c r="J21" s="1285"/>
      <c r="K21" s="1285"/>
      <c r="L21" s="1285"/>
      <c r="M21" s="1285"/>
      <c r="N21" s="1285"/>
      <c r="O21" s="1285"/>
      <c r="P21" s="1285"/>
      <c r="Q21" s="1285"/>
      <c r="R21" s="1286"/>
      <c r="S21" s="323"/>
      <c r="T21" s="323"/>
      <c r="U21" s="323"/>
      <c r="V21" s="323"/>
      <c r="W21" s="323"/>
      <c r="X21" s="323"/>
      <c r="Y21" s="323"/>
      <c r="Z21" s="323"/>
      <c r="AA21" s="598"/>
      <c r="AB21" s="598"/>
      <c r="AN21" s="323"/>
      <c r="AO21" s="323"/>
      <c r="AP21" s="323"/>
      <c r="AQ21" s="323"/>
      <c r="AR21" s="323"/>
      <c r="AS21" s="323"/>
      <c r="AT21" s="323"/>
      <c r="AU21" s="323"/>
      <c r="AV21" s="323"/>
      <c r="AW21" s="323"/>
      <c r="AX21" s="323"/>
      <c r="AY21" s="323"/>
      <c r="AZ21" s="323"/>
      <c r="BA21" s="323"/>
      <c r="BB21" s="323"/>
      <c r="BC21" s="323"/>
      <c r="BD21" s="323"/>
      <c r="BE21" s="323"/>
      <c r="BF21" s="323"/>
      <c r="BG21" s="323"/>
      <c r="BH21" s="323"/>
      <c r="BI21" s="323"/>
      <c r="BJ21" s="323"/>
      <c r="BK21" s="323"/>
      <c r="BL21" s="323"/>
      <c r="BM21" s="323"/>
      <c r="BN21" s="323"/>
    </row>
    <row r="22" spans="2:66" s="333" customFormat="1">
      <c r="B22" s="896" t="s">
        <v>489</v>
      </c>
      <c r="C22" s="598">
        <f>'Profit &amp; Loss Ecommerce'!H37</f>
        <v>30000</v>
      </c>
      <c r="D22" s="598">
        <f>'Profit &amp; Loss Ecommerce'!I37</f>
        <v>30000</v>
      </c>
      <c r="E22" s="897">
        <f>'Profit &amp; Loss Ecommerce'!J37</f>
        <v>30000</v>
      </c>
      <c r="H22" s="651" t="s">
        <v>402</v>
      </c>
      <c r="I22" s="663">
        <v>800</v>
      </c>
      <c r="J22" s="714">
        <v>0</v>
      </c>
      <c r="K22" s="714">
        <v>0</v>
      </c>
      <c r="L22" s="714">
        <v>5</v>
      </c>
      <c r="M22" s="684">
        <f t="shared" ref="M22:N24" si="3">$C25*J22</f>
        <v>0</v>
      </c>
      <c r="N22" s="684">
        <f t="shared" si="3"/>
        <v>0</v>
      </c>
      <c r="O22" s="665">
        <f>$I22*L22</f>
        <v>4000</v>
      </c>
      <c r="P22" s="714">
        <v>4</v>
      </c>
      <c r="Q22" s="665" t="s">
        <v>416</v>
      </c>
      <c r="R22" s="715" t="s">
        <v>350</v>
      </c>
      <c r="S22" s="323"/>
      <c r="T22" s="323"/>
      <c r="U22" s="323"/>
      <c r="V22" s="323"/>
      <c r="W22" s="323"/>
      <c r="X22" s="323"/>
      <c r="Y22" s="323"/>
      <c r="Z22" s="323"/>
      <c r="AA22" s="598"/>
      <c r="AB22" s="598"/>
      <c r="AN22" s="323"/>
      <c r="AO22" s="323"/>
      <c r="AP22" s="323"/>
      <c r="AQ22" s="323"/>
      <c r="AR22" s="323"/>
      <c r="AS22" s="323"/>
      <c r="AT22" s="323"/>
      <c r="AU22" s="323"/>
      <c r="AV22" s="323"/>
      <c r="AW22" s="323"/>
      <c r="AX22" s="323"/>
      <c r="AY22" s="323"/>
      <c r="AZ22" s="323"/>
      <c r="BA22" s="323"/>
      <c r="BB22" s="323"/>
      <c r="BC22" s="323"/>
      <c r="BD22" s="323"/>
      <c r="BE22" s="323"/>
      <c r="BF22" s="323"/>
      <c r="BG22" s="323"/>
      <c r="BH22" s="323"/>
      <c r="BI22" s="323"/>
      <c r="BJ22" s="323"/>
      <c r="BK22" s="323"/>
      <c r="BL22" s="323"/>
      <c r="BM22" s="323"/>
      <c r="BN22" s="323"/>
    </row>
    <row r="23" spans="2:66" s="333" customFormat="1">
      <c r="B23" s="898" t="s">
        <v>490</v>
      </c>
      <c r="C23" s="598">
        <f>'Profit &amp; Loss Store'!H41</f>
        <v>0</v>
      </c>
      <c r="D23" s="598">
        <f>'Profit &amp; Loss Store'!I41</f>
        <v>0</v>
      </c>
      <c r="E23" s="897">
        <f>'Profit &amp; Loss Store'!J41</f>
        <v>3300</v>
      </c>
      <c r="H23" s="651" t="s">
        <v>404</v>
      </c>
      <c r="I23" s="663">
        <v>1200</v>
      </c>
      <c r="J23" s="714">
        <v>0</v>
      </c>
      <c r="K23" s="714">
        <v>0</v>
      </c>
      <c r="L23" s="714">
        <v>1</v>
      </c>
      <c r="M23" s="684">
        <f t="shared" si="3"/>
        <v>0</v>
      </c>
      <c r="N23" s="684">
        <f t="shared" si="3"/>
        <v>0</v>
      </c>
      <c r="O23" s="665">
        <f t="shared" ref="O23:O35" si="4">$I23*L23</f>
        <v>1200</v>
      </c>
      <c r="P23" s="714">
        <v>5</v>
      </c>
      <c r="Q23" s="665" t="s">
        <v>416</v>
      </c>
      <c r="R23" s="715" t="s">
        <v>350</v>
      </c>
      <c r="S23" s="323"/>
      <c r="T23" s="323"/>
      <c r="U23" s="323"/>
      <c r="V23" s="323"/>
      <c r="W23" s="323"/>
      <c r="X23" s="323"/>
      <c r="Y23" s="323"/>
      <c r="Z23" s="323"/>
      <c r="AA23" s="598"/>
      <c r="AB23" s="598"/>
      <c r="AN23" s="323"/>
      <c r="AO23" s="323"/>
      <c r="AP23" s="323"/>
      <c r="AQ23" s="323"/>
      <c r="AR23" s="323"/>
      <c r="AS23" s="323"/>
      <c r="AT23" s="323"/>
      <c r="AU23" s="323"/>
      <c r="AV23" s="323"/>
      <c r="AW23" s="323"/>
      <c r="AX23" s="323"/>
      <c r="AY23" s="323"/>
      <c r="AZ23" s="323"/>
      <c r="BA23" s="323"/>
      <c r="BB23" s="323"/>
      <c r="BC23" s="323"/>
      <c r="BD23" s="323"/>
      <c r="BE23" s="323"/>
      <c r="BF23" s="323"/>
      <c r="BG23" s="323"/>
      <c r="BH23" s="323"/>
      <c r="BI23" s="323"/>
      <c r="BJ23" s="323"/>
      <c r="BK23" s="323"/>
      <c r="BL23" s="323"/>
      <c r="BM23" s="323"/>
      <c r="BN23" s="323"/>
    </row>
    <row r="24" spans="2:66" s="333" customFormat="1">
      <c r="B24" s="898" t="s">
        <v>365</v>
      </c>
      <c r="C24" s="697">
        <f>SUM(C22:C23)</f>
        <v>30000</v>
      </c>
      <c r="D24" s="697">
        <f t="shared" ref="D24:E24" si="5">SUM(D22:D23)</f>
        <v>30000</v>
      </c>
      <c r="E24" s="698">
        <f t="shared" si="5"/>
        <v>33300</v>
      </c>
      <c r="H24" s="651" t="s">
        <v>405</v>
      </c>
      <c r="I24" s="663">
        <v>80</v>
      </c>
      <c r="J24" s="714">
        <v>0</v>
      </c>
      <c r="K24" s="714">
        <v>0</v>
      </c>
      <c r="L24" s="714">
        <v>5</v>
      </c>
      <c r="M24" s="684">
        <f t="shared" si="3"/>
        <v>0</v>
      </c>
      <c r="N24" s="684">
        <f t="shared" si="3"/>
        <v>0</v>
      </c>
      <c r="O24" s="665">
        <f t="shared" si="4"/>
        <v>400</v>
      </c>
      <c r="P24" s="714">
        <v>5</v>
      </c>
      <c r="Q24" s="665" t="s">
        <v>416</v>
      </c>
      <c r="R24" s="715" t="s">
        <v>350</v>
      </c>
      <c r="S24" s="323"/>
      <c r="T24" s="323"/>
      <c r="U24" s="323"/>
      <c r="V24" s="323"/>
      <c r="W24" s="323"/>
      <c r="X24" s="323"/>
      <c r="Y24" s="323"/>
      <c r="Z24" s="323"/>
      <c r="AA24" s="598"/>
      <c r="AB24" s="598"/>
      <c r="AN24" s="323"/>
      <c r="AO24" s="323"/>
      <c r="AP24" s="323"/>
      <c r="AQ24" s="323"/>
      <c r="AR24" s="323"/>
      <c r="AS24" s="323"/>
      <c r="AT24" s="323"/>
      <c r="AU24" s="323"/>
      <c r="AV24" s="323"/>
      <c r="AW24" s="323"/>
      <c r="AX24" s="323"/>
      <c r="AY24" s="323"/>
      <c r="AZ24" s="323"/>
      <c r="BA24" s="323"/>
      <c r="BB24" s="323"/>
      <c r="BC24" s="323"/>
      <c r="BD24" s="323"/>
      <c r="BE24" s="323"/>
      <c r="BF24" s="323"/>
      <c r="BG24" s="323"/>
      <c r="BH24" s="323"/>
      <c r="BI24" s="323"/>
      <c r="BJ24" s="323"/>
      <c r="BK24" s="323"/>
      <c r="BL24" s="323"/>
      <c r="BM24" s="323"/>
      <c r="BN24" s="323"/>
    </row>
    <row r="25" spans="2:66" s="333" customFormat="1">
      <c r="B25" s="1290" t="s">
        <v>493</v>
      </c>
      <c r="C25" s="1291"/>
      <c r="D25" s="1291"/>
      <c r="E25" s="1292"/>
      <c r="H25" s="651" t="s">
        <v>406</v>
      </c>
      <c r="I25" s="663">
        <v>300</v>
      </c>
      <c r="J25" s="714">
        <v>0</v>
      </c>
      <c r="K25" s="714">
        <v>0</v>
      </c>
      <c r="L25" s="714">
        <v>5</v>
      </c>
      <c r="M25" s="684">
        <f t="shared" ref="M25:N27" si="6">$C29*J25</f>
        <v>0</v>
      </c>
      <c r="N25" s="684">
        <f t="shared" si="6"/>
        <v>0</v>
      </c>
      <c r="O25" s="665">
        <f t="shared" si="4"/>
        <v>1500</v>
      </c>
      <c r="P25" s="714">
        <v>4</v>
      </c>
      <c r="Q25" s="665" t="s">
        <v>416</v>
      </c>
      <c r="R25" s="715" t="s">
        <v>350</v>
      </c>
      <c r="S25" s="323"/>
      <c r="T25" s="323"/>
      <c r="U25" s="323"/>
      <c r="V25" s="323"/>
      <c r="W25" s="323"/>
      <c r="X25" s="323"/>
      <c r="Y25" s="323"/>
      <c r="Z25" s="323"/>
      <c r="AA25" s="598"/>
      <c r="AB25" s="598"/>
      <c r="AN25" s="323"/>
      <c r="AO25" s="323"/>
      <c r="AP25" s="323"/>
      <c r="AQ25" s="323"/>
      <c r="AR25" s="323"/>
      <c r="AS25" s="323"/>
      <c r="AT25" s="323"/>
      <c r="AU25" s="323"/>
      <c r="AV25" s="323"/>
      <c r="AW25" s="323"/>
      <c r="AX25" s="323"/>
      <c r="AY25" s="323"/>
      <c r="AZ25" s="323"/>
      <c r="BA25" s="323"/>
      <c r="BB25" s="323"/>
      <c r="BC25" s="323"/>
      <c r="BD25" s="323"/>
      <c r="BE25" s="323"/>
      <c r="BF25" s="323"/>
      <c r="BG25" s="323"/>
      <c r="BH25" s="323"/>
      <c r="BI25" s="323"/>
      <c r="BJ25" s="323"/>
      <c r="BK25" s="323"/>
      <c r="BL25" s="323"/>
      <c r="BM25" s="323"/>
      <c r="BN25" s="323"/>
    </row>
    <row r="26" spans="2:66" s="333" customFormat="1" ht="31.2">
      <c r="B26" s="896" t="s">
        <v>489</v>
      </c>
      <c r="C26" s="598">
        <f>'Profit &amp; Loss Ecommerce'!M43</f>
        <v>18100</v>
      </c>
      <c r="D26" s="598">
        <f>'Profit &amp; Loss Ecommerce'!N43</f>
        <v>21700</v>
      </c>
      <c r="E26" s="897">
        <f>'Profit &amp; Loss Ecommerce'!O43</f>
        <v>26020</v>
      </c>
      <c r="H26" s="651" t="s">
        <v>407</v>
      </c>
      <c r="I26" s="663">
        <v>30000</v>
      </c>
      <c r="J26" s="714">
        <v>0</v>
      </c>
      <c r="K26" s="714">
        <v>0</v>
      </c>
      <c r="L26" s="714">
        <v>2</v>
      </c>
      <c r="M26" s="684">
        <f t="shared" si="6"/>
        <v>0</v>
      </c>
      <c r="N26" s="684">
        <f t="shared" si="6"/>
        <v>0</v>
      </c>
      <c r="O26" s="665">
        <f t="shared" si="4"/>
        <v>60000</v>
      </c>
      <c r="P26" s="714" t="str">
        <f>"-"</f>
        <v>-</v>
      </c>
      <c r="Q26" s="665" t="s">
        <v>415</v>
      </c>
      <c r="R26" s="716">
        <v>0.4</v>
      </c>
      <c r="S26" s="323"/>
      <c r="T26" s="323"/>
      <c r="U26" s="323"/>
      <c r="V26" s="323"/>
      <c r="W26" s="323"/>
      <c r="X26" s="323"/>
      <c r="Y26" s="323"/>
      <c r="Z26" s="323"/>
      <c r="AA26" s="598"/>
      <c r="AB26" s="598"/>
      <c r="AN26" s="323"/>
      <c r="AO26" s="323"/>
      <c r="AP26" s="323"/>
      <c r="AQ26" s="323"/>
      <c r="AR26" s="323"/>
      <c r="AS26" s="323"/>
      <c r="AT26" s="323"/>
      <c r="AU26" s="323"/>
      <c r="AV26" s="323"/>
      <c r="AW26" s="323"/>
      <c r="AX26" s="323"/>
      <c r="AY26" s="323"/>
      <c r="AZ26" s="323"/>
      <c r="BA26" s="323"/>
      <c r="BB26" s="323"/>
      <c r="BC26" s="323"/>
      <c r="BD26" s="323"/>
      <c r="BE26" s="323"/>
      <c r="BF26" s="323"/>
      <c r="BG26" s="323"/>
      <c r="BH26" s="323"/>
      <c r="BI26" s="323"/>
      <c r="BJ26" s="323"/>
      <c r="BK26" s="323"/>
      <c r="BL26" s="323"/>
      <c r="BM26" s="323"/>
      <c r="BN26" s="323"/>
    </row>
    <row r="27" spans="2:66" s="333" customFormat="1">
      <c r="B27" s="898" t="s">
        <v>490</v>
      </c>
      <c r="C27" s="598">
        <f>'Profit &amp; Loss Store'!H50</f>
        <v>0</v>
      </c>
      <c r="D27" s="598">
        <f>'Profit &amp; Loss Store'!I50</f>
        <v>0</v>
      </c>
      <c r="E27" s="897">
        <f>'Profit &amp; Loss Store'!J50</f>
        <v>740</v>
      </c>
      <c r="H27" s="651" t="s">
        <v>408</v>
      </c>
      <c r="I27" s="663">
        <v>100</v>
      </c>
      <c r="J27" s="714">
        <v>0</v>
      </c>
      <c r="K27" s="714">
        <v>0</v>
      </c>
      <c r="L27" s="714">
        <v>10</v>
      </c>
      <c r="M27" s="684">
        <f t="shared" si="6"/>
        <v>0</v>
      </c>
      <c r="N27" s="684">
        <f t="shared" si="6"/>
        <v>0</v>
      </c>
      <c r="O27" s="665">
        <f t="shared" si="4"/>
        <v>1000</v>
      </c>
      <c r="P27" s="714">
        <v>4</v>
      </c>
      <c r="Q27" s="665" t="s">
        <v>416</v>
      </c>
      <c r="R27" s="717" t="s">
        <v>350</v>
      </c>
      <c r="S27" s="323"/>
      <c r="T27" s="323"/>
      <c r="U27" s="323"/>
      <c r="V27" s="323"/>
      <c r="W27" s="323"/>
      <c r="X27" s="323"/>
      <c r="Y27" s="323"/>
      <c r="Z27" s="323"/>
      <c r="AA27" s="598"/>
      <c r="AB27" s="598"/>
      <c r="AN27" s="323"/>
      <c r="AO27" s="323"/>
      <c r="AP27" s="323"/>
      <c r="AQ27" s="323"/>
      <c r="AR27" s="323"/>
      <c r="AS27" s="323"/>
      <c r="AT27" s="323"/>
      <c r="AU27" s="323"/>
      <c r="AV27" s="323"/>
      <c r="AW27" s="323"/>
      <c r="AX27" s="323"/>
      <c r="AY27" s="323"/>
      <c r="AZ27" s="323"/>
      <c r="BA27" s="323"/>
      <c r="BB27" s="323"/>
      <c r="BC27" s="323"/>
      <c r="BD27" s="323"/>
      <c r="BE27" s="323"/>
      <c r="BF27" s="323"/>
      <c r="BG27" s="323"/>
      <c r="BH27" s="323"/>
      <c r="BI27" s="323"/>
      <c r="BJ27" s="323"/>
      <c r="BK27" s="323"/>
      <c r="BL27" s="323"/>
      <c r="BM27" s="323"/>
      <c r="BN27" s="323"/>
    </row>
    <row r="28" spans="2:66" s="333" customFormat="1">
      <c r="B28" s="898" t="s">
        <v>365</v>
      </c>
      <c r="C28" s="697">
        <f>SUM(C26:C27)</f>
        <v>18100</v>
      </c>
      <c r="D28" s="697">
        <f t="shared" ref="D28:E28" si="7">SUM(D26:D27)</f>
        <v>21700</v>
      </c>
      <c r="E28" s="698">
        <f t="shared" si="7"/>
        <v>26760</v>
      </c>
      <c r="H28" s="651" t="s">
        <v>409</v>
      </c>
      <c r="I28" s="663">
        <v>80</v>
      </c>
      <c r="J28" s="714">
        <v>0</v>
      </c>
      <c r="K28" s="714">
        <v>0</v>
      </c>
      <c r="L28" s="714">
        <v>10</v>
      </c>
      <c r="M28" s="684">
        <f t="shared" ref="M28:N30" si="8">$C33*J28</f>
        <v>0</v>
      </c>
      <c r="N28" s="684">
        <f t="shared" si="8"/>
        <v>0</v>
      </c>
      <c r="O28" s="665">
        <f t="shared" si="4"/>
        <v>800</v>
      </c>
      <c r="P28" s="714">
        <v>7</v>
      </c>
      <c r="Q28" s="665" t="s">
        <v>416</v>
      </c>
      <c r="R28" s="717" t="s">
        <v>350</v>
      </c>
      <c r="S28" s="323"/>
      <c r="T28" s="323"/>
      <c r="U28" s="323"/>
      <c r="V28" s="323"/>
      <c r="W28" s="323"/>
      <c r="X28" s="323"/>
      <c r="Y28" s="323"/>
      <c r="Z28" s="323"/>
      <c r="AA28" s="598"/>
      <c r="AB28" s="598"/>
      <c r="AN28" s="323"/>
      <c r="AO28" s="323"/>
      <c r="AP28" s="323"/>
      <c r="AQ28" s="323"/>
      <c r="AR28" s="323"/>
      <c r="AS28" s="323"/>
      <c r="AT28" s="323"/>
      <c r="AU28" s="323"/>
      <c r="AV28" s="323"/>
      <c r="AW28" s="323"/>
      <c r="AX28" s="323"/>
      <c r="AY28" s="323"/>
      <c r="AZ28" s="323"/>
      <c r="BA28" s="323"/>
      <c r="BB28" s="323"/>
      <c r="BC28" s="323"/>
      <c r="BD28" s="323"/>
      <c r="BE28" s="323"/>
      <c r="BF28" s="323"/>
      <c r="BG28" s="323"/>
      <c r="BH28" s="323"/>
      <c r="BI28" s="323"/>
      <c r="BJ28" s="323"/>
      <c r="BK28" s="323"/>
      <c r="BL28" s="323"/>
      <c r="BM28" s="323"/>
      <c r="BN28" s="323"/>
    </row>
    <row r="29" spans="2:66" s="333" customFormat="1">
      <c r="B29" s="1287" t="s">
        <v>392</v>
      </c>
      <c r="C29" s="1288"/>
      <c r="D29" s="1288"/>
      <c r="E29" s="1289"/>
      <c r="H29" s="651" t="s">
        <v>410</v>
      </c>
      <c r="I29" s="663">
        <v>2000</v>
      </c>
      <c r="J29" s="714">
        <v>0</v>
      </c>
      <c r="K29" s="714">
        <v>0</v>
      </c>
      <c r="L29" s="714">
        <v>3</v>
      </c>
      <c r="M29" s="684">
        <f t="shared" si="8"/>
        <v>0</v>
      </c>
      <c r="N29" s="684">
        <f t="shared" si="8"/>
        <v>0</v>
      </c>
      <c r="O29" s="665">
        <f t="shared" si="4"/>
        <v>6000</v>
      </c>
      <c r="P29" s="714" t="str">
        <f>"-"</f>
        <v>-</v>
      </c>
      <c r="Q29" s="665" t="s">
        <v>415</v>
      </c>
      <c r="R29" s="716">
        <v>0.1</v>
      </c>
      <c r="S29" s="323"/>
      <c r="T29" s="323"/>
      <c r="U29" s="323"/>
      <c r="V29" s="323"/>
      <c r="W29" s="323"/>
      <c r="X29" s="323"/>
      <c r="Y29" s="323"/>
      <c r="Z29" s="323"/>
      <c r="AA29" s="598"/>
      <c r="AB29" s="598"/>
      <c r="AN29" s="323"/>
      <c r="AO29" s="323"/>
      <c r="AP29" s="323"/>
      <c r="AQ29" s="323"/>
      <c r="AR29" s="323"/>
      <c r="AS29" s="323"/>
      <c r="AT29" s="323"/>
      <c r="AU29" s="323"/>
      <c r="AV29" s="323"/>
      <c r="AW29" s="323"/>
      <c r="AX29" s="323"/>
      <c r="AY29" s="323"/>
      <c r="AZ29" s="323"/>
      <c r="BA29" s="323"/>
      <c r="BB29" s="323"/>
      <c r="BC29" s="323"/>
      <c r="BD29" s="323"/>
      <c r="BE29" s="323"/>
      <c r="BF29" s="323"/>
      <c r="BG29" s="323"/>
      <c r="BH29" s="323"/>
      <c r="BI29" s="323"/>
      <c r="BJ29" s="323"/>
      <c r="BK29" s="323"/>
      <c r="BL29" s="323"/>
      <c r="BM29" s="323"/>
      <c r="BN29" s="323"/>
    </row>
    <row r="30" spans="2:66" s="333" customFormat="1">
      <c r="B30" s="898" t="s">
        <v>489</v>
      </c>
      <c r="C30" s="598">
        <f>'Profit &amp; Loss Ecommerce'!H43</f>
        <v>9000</v>
      </c>
      <c r="D30" s="598">
        <f>'Profit &amp; Loss Ecommerce'!I43</f>
        <v>9000</v>
      </c>
      <c r="E30" s="897">
        <f>'Profit &amp; Loss Ecommerce'!J43</f>
        <v>9000</v>
      </c>
      <c r="H30" s="651" t="s">
        <v>411</v>
      </c>
      <c r="I30" s="663">
        <v>900</v>
      </c>
      <c r="J30" s="714">
        <v>0</v>
      </c>
      <c r="K30" s="714">
        <v>0</v>
      </c>
      <c r="L30" s="714">
        <v>3</v>
      </c>
      <c r="M30" s="684">
        <f t="shared" si="8"/>
        <v>0</v>
      </c>
      <c r="N30" s="684">
        <f t="shared" si="8"/>
        <v>0</v>
      </c>
      <c r="O30" s="665">
        <f t="shared" si="4"/>
        <v>2700</v>
      </c>
      <c r="P30" s="714">
        <v>5</v>
      </c>
      <c r="Q30" s="665" t="s">
        <v>416</v>
      </c>
      <c r="R30" s="717" t="s">
        <v>350</v>
      </c>
      <c r="S30" s="323"/>
      <c r="T30" s="323"/>
      <c r="U30" s="323"/>
      <c r="V30" s="323"/>
      <c r="W30" s="323"/>
      <c r="X30" s="323"/>
      <c r="Y30" s="323"/>
      <c r="Z30" s="323"/>
      <c r="AA30" s="598"/>
      <c r="AB30" s="598"/>
      <c r="AN30" s="323"/>
      <c r="AO30" s="323"/>
      <c r="AP30" s="323"/>
      <c r="AQ30" s="323"/>
      <c r="AR30" s="323"/>
      <c r="AS30" s="323"/>
      <c r="AT30" s="323"/>
      <c r="AU30" s="323"/>
      <c r="AV30" s="323"/>
      <c r="AW30" s="323"/>
      <c r="AX30" s="323"/>
      <c r="AY30" s="323"/>
      <c r="AZ30" s="323"/>
      <c r="BA30" s="323"/>
      <c r="BB30" s="323"/>
      <c r="BC30" s="323"/>
      <c r="BD30" s="323"/>
      <c r="BE30" s="323"/>
      <c r="BF30" s="323"/>
      <c r="BG30" s="323"/>
      <c r="BH30" s="323"/>
      <c r="BI30" s="323"/>
      <c r="BJ30" s="323"/>
      <c r="BK30" s="323"/>
      <c r="BL30" s="323"/>
      <c r="BM30" s="323"/>
      <c r="BN30" s="323"/>
    </row>
    <row r="31" spans="2:66" s="333" customFormat="1">
      <c r="B31" s="898" t="s">
        <v>490</v>
      </c>
      <c r="C31" s="603">
        <f>'Profit &amp; Loss Store'!C48</f>
        <v>0</v>
      </c>
      <c r="D31" s="603">
        <f>'Profit &amp; Loss Store'!D48</f>
        <v>0</v>
      </c>
      <c r="E31" s="899">
        <f>'Profit &amp; Loss Store'!E48</f>
        <v>1500</v>
      </c>
      <c r="H31" s="653" t="s">
        <v>412</v>
      </c>
      <c r="I31" s="663">
        <v>40</v>
      </c>
      <c r="J31" s="714">
        <v>0</v>
      </c>
      <c r="K31" s="714">
        <v>0</v>
      </c>
      <c r="L31" s="714">
        <v>5</v>
      </c>
      <c r="M31" s="684">
        <f>$I31*J31</f>
        <v>0</v>
      </c>
      <c r="N31" s="684">
        <f t="shared" ref="N31" si="9">$I31*K31</f>
        <v>0</v>
      </c>
      <c r="O31" s="665">
        <f t="shared" si="4"/>
        <v>200</v>
      </c>
      <c r="P31" s="714">
        <v>8</v>
      </c>
      <c r="Q31" s="665" t="s">
        <v>416</v>
      </c>
      <c r="R31" s="899" t="s">
        <v>350</v>
      </c>
      <c r="S31" s="323"/>
      <c r="T31" s="323"/>
      <c r="U31" s="323"/>
      <c r="V31" s="323"/>
      <c r="W31" s="323"/>
      <c r="X31" s="323"/>
      <c r="Y31" s="323"/>
      <c r="Z31" s="323"/>
      <c r="AA31" s="598"/>
      <c r="AB31" s="598"/>
      <c r="AN31" s="323"/>
      <c r="AO31" s="323"/>
      <c r="AP31" s="323"/>
      <c r="AQ31" s="323"/>
      <c r="AR31" s="323"/>
      <c r="AS31" s="323"/>
      <c r="AT31" s="323"/>
      <c r="AU31" s="323"/>
      <c r="AV31" s="323"/>
      <c r="AW31" s="323"/>
      <c r="AX31" s="323"/>
      <c r="AY31" s="323"/>
      <c r="AZ31" s="323"/>
      <c r="BA31" s="323"/>
      <c r="BB31" s="323"/>
      <c r="BC31" s="323"/>
      <c r="BD31" s="323"/>
      <c r="BE31" s="323"/>
      <c r="BF31" s="323"/>
      <c r="BG31" s="323"/>
      <c r="BH31" s="323"/>
      <c r="BI31" s="323"/>
      <c r="BJ31" s="323"/>
      <c r="BK31" s="323"/>
      <c r="BL31" s="323"/>
      <c r="BM31" s="323"/>
      <c r="BN31" s="323"/>
    </row>
    <row r="32" spans="2:66" s="333" customFormat="1">
      <c r="B32" s="898" t="s">
        <v>365</v>
      </c>
      <c r="C32" s="697">
        <f>SUM(C30:C31)</f>
        <v>9000</v>
      </c>
      <c r="D32" s="697">
        <f t="shared" ref="D32:E32" si="10">SUM(D30:D31)</f>
        <v>9000</v>
      </c>
      <c r="E32" s="698">
        <f t="shared" si="10"/>
        <v>10500</v>
      </c>
      <c r="H32" s="651" t="s">
        <v>477</v>
      </c>
      <c r="I32" s="663">
        <v>200</v>
      </c>
      <c r="J32" s="714">
        <v>0</v>
      </c>
      <c r="K32" s="714">
        <v>0</v>
      </c>
      <c r="L32" s="714">
        <v>4</v>
      </c>
      <c r="M32" s="684">
        <v>0</v>
      </c>
      <c r="N32" s="684">
        <v>0</v>
      </c>
      <c r="O32" s="665">
        <f t="shared" si="4"/>
        <v>800</v>
      </c>
      <c r="P32" s="714">
        <v>4</v>
      </c>
      <c r="Q32" s="665" t="s">
        <v>416</v>
      </c>
      <c r="R32" s="717" t="s">
        <v>350</v>
      </c>
      <c r="S32" s="323"/>
      <c r="T32" s="323"/>
      <c r="U32" s="323"/>
      <c r="V32" s="323"/>
      <c r="W32" s="323"/>
      <c r="X32" s="323"/>
      <c r="Y32" s="323"/>
      <c r="Z32" s="323"/>
      <c r="AA32" s="598"/>
      <c r="AB32" s="598"/>
      <c r="AN32" s="323"/>
      <c r="AO32" s="323"/>
      <c r="AP32" s="323"/>
      <c r="AQ32" s="323"/>
      <c r="AR32" s="323"/>
      <c r="AS32" s="323"/>
      <c r="AT32" s="323"/>
      <c r="AU32" s="323"/>
      <c r="AV32" s="323"/>
      <c r="AW32" s="323"/>
      <c r="AX32" s="323"/>
      <c r="AY32" s="323"/>
      <c r="AZ32" s="323"/>
      <c r="BA32" s="323"/>
      <c r="BB32" s="323"/>
      <c r="BC32" s="323"/>
      <c r="BD32" s="323"/>
      <c r="BE32" s="323"/>
      <c r="BF32" s="323"/>
      <c r="BG32" s="323"/>
      <c r="BH32" s="323"/>
      <c r="BI32" s="323"/>
      <c r="BJ32" s="323"/>
      <c r="BK32" s="323"/>
      <c r="BL32" s="323"/>
      <c r="BM32" s="323"/>
      <c r="BN32" s="323"/>
    </row>
    <row r="33" spans="2:66" s="333" customFormat="1" ht="24.45" customHeight="1">
      <c r="B33" s="1287" t="s">
        <v>240</v>
      </c>
      <c r="C33" s="1288"/>
      <c r="D33" s="1288"/>
      <c r="E33" s="1289"/>
      <c r="F33"/>
      <c r="H33" s="651" t="s">
        <v>478</v>
      </c>
      <c r="I33" s="663">
        <v>850</v>
      </c>
      <c r="J33" s="714">
        <v>0</v>
      </c>
      <c r="K33" s="714">
        <v>0</v>
      </c>
      <c r="L33" s="714">
        <v>2</v>
      </c>
      <c r="M33" s="684">
        <v>0</v>
      </c>
      <c r="N33" s="684">
        <v>0</v>
      </c>
      <c r="O33" s="665">
        <f t="shared" si="4"/>
        <v>1700</v>
      </c>
      <c r="P33" s="714">
        <v>7</v>
      </c>
      <c r="Q33" s="665" t="s">
        <v>416</v>
      </c>
      <c r="R33" s="717" t="s">
        <v>350</v>
      </c>
      <c r="S33" s="323"/>
      <c r="T33" s="323"/>
      <c r="U33" s="323"/>
      <c r="V33" s="323"/>
      <c r="W33" s="323"/>
      <c r="X33" s="323"/>
      <c r="Y33" s="323"/>
      <c r="Z33" s="323"/>
      <c r="AA33" s="598"/>
      <c r="AB33" s="598"/>
      <c r="AN33" s="323"/>
      <c r="AO33" s="323"/>
      <c r="AP33" s="323"/>
      <c r="AQ33" s="323"/>
      <c r="AR33" s="323"/>
      <c r="AS33" s="323"/>
      <c r="AT33" s="323"/>
      <c r="AU33" s="323"/>
      <c r="AV33" s="323"/>
      <c r="AW33" s="323"/>
      <c r="AX33" s="323"/>
      <c r="AY33" s="323"/>
      <c r="AZ33" s="323"/>
      <c r="BA33" s="323"/>
      <c r="BB33" s="323"/>
      <c r="BC33" s="323"/>
      <c r="BD33" s="323"/>
      <c r="BE33" s="323"/>
      <c r="BF33" s="323"/>
      <c r="BG33" s="323"/>
      <c r="BH33" s="323"/>
      <c r="BI33" s="323"/>
      <c r="BJ33" s="323"/>
      <c r="BK33" s="323"/>
      <c r="BL33" s="323"/>
      <c r="BM33" s="323"/>
      <c r="BN33" s="323"/>
    </row>
    <row r="34" spans="2:66" s="333" customFormat="1">
      <c r="B34" s="898" t="s">
        <v>489</v>
      </c>
      <c r="C34" s="603">
        <f>'Profit &amp; Loss Ecommerce'!C31</f>
        <v>2300</v>
      </c>
      <c r="D34" s="603">
        <f>'Profit &amp; Loss Ecommerce'!D31</f>
        <v>2300</v>
      </c>
      <c r="E34" s="899">
        <f>'Profit &amp; Loss Ecommerce'!E31</f>
        <v>2300</v>
      </c>
      <c r="H34" s="651" t="s">
        <v>479</v>
      </c>
      <c r="I34" s="663">
        <v>3000</v>
      </c>
      <c r="J34" s="714">
        <v>0</v>
      </c>
      <c r="K34" s="714">
        <v>0</v>
      </c>
      <c r="L34" s="714">
        <v>4</v>
      </c>
      <c r="M34" s="684">
        <v>0</v>
      </c>
      <c r="N34" s="684">
        <v>0</v>
      </c>
      <c r="O34" s="665">
        <f t="shared" si="4"/>
        <v>12000</v>
      </c>
      <c r="P34" s="714">
        <v>10</v>
      </c>
      <c r="Q34" s="665" t="s">
        <v>415</v>
      </c>
      <c r="R34" s="716">
        <v>0.2</v>
      </c>
      <c r="S34" s="323"/>
      <c r="T34" s="323"/>
      <c r="U34" s="323"/>
      <c r="V34" s="323"/>
      <c r="W34" s="323"/>
      <c r="X34" s="323"/>
      <c r="Y34" s="323"/>
      <c r="Z34" s="323"/>
      <c r="AA34" s="598"/>
      <c r="AB34" s="598"/>
      <c r="AN34" s="323"/>
      <c r="AO34" s="323"/>
      <c r="AP34" s="323"/>
      <c r="AQ34" s="323"/>
      <c r="AR34" s="323"/>
      <c r="AS34" s="323"/>
      <c r="AT34" s="323"/>
      <c r="AU34" s="323"/>
      <c r="AV34" s="323"/>
      <c r="AW34" s="323"/>
      <c r="AX34" s="323"/>
      <c r="AY34" s="323"/>
      <c r="AZ34" s="323"/>
      <c r="BA34" s="323"/>
      <c r="BB34" s="323"/>
      <c r="BC34" s="323"/>
      <c r="BD34" s="323"/>
      <c r="BE34" s="323"/>
      <c r="BF34" s="323"/>
      <c r="BG34" s="323"/>
      <c r="BH34" s="323"/>
      <c r="BI34" s="323"/>
      <c r="BJ34" s="323"/>
      <c r="BK34" s="323"/>
      <c r="BL34" s="323"/>
      <c r="BM34" s="323"/>
      <c r="BN34" s="323"/>
    </row>
    <row r="35" spans="2:66" s="333" customFormat="1" ht="31.2">
      <c r="B35" s="898" t="s">
        <v>490</v>
      </c>
      <c r="C35" s="603">
        <f>'Profit &amp; Loss Store'!C33</f>
        <v>0</v>
      </c>
      <c r="D35" s="603">
        <f>'Profit &amp; Loss Store'!D33</f>
        <v>0</v>
      </c>
      <c r="E35" s="899">
        <f>'Profit &amp; Loss Store'!E33</f>
        <v>700</v>
      </c>
      <c r="H35" s="651" t="s">
        <v>476</v>
      </c>
      <c r="I35" s="663">
        <v>150</v>
      </c>
      <c r="J35" s="714">
        <v>0</v>
      </c>
      <c r="K35" s="714">
        <v>0</v>
      </c>
      <c r="L35" s="714">
        <v>30</v>
      </c>
      <c r="M35" s="684">
        <v>0</v>
      </c>
      <c r="N35" s="684">
        <v>0</v>
      </c>
      <c r="O35" s="665">
        <f t="shared" si="4"/>
        <v>4500</v>
      </c>
      <c r="P35" s="714">
        <v>4</v>
      </c>
      <c r="Q35" s="665" t="s">
        <v>416</v>
      </c>
      <c r="R35" s="717" t="s">
        <v>350</v>
      </c>
      <c r="S35" s="323"/>
      <c r="T35" s="323"/>
      <c r="U35" s="323"/>
      <c r="V35" s="323"/>
      <c r="W35" s="323"/>
      <c r="X35" s="323"/>
      <c r="Y35" s="323"/>
      <c r="Z35" s="323"/>
      <c r="AA35" s="598"/>
      <c r="AB35" s="598"/>
      <c r="AN35" s="323"/>
      <c r="AO35" s="323"/>
      <c r="AP35" s="323"/>
      <c r="AQ35" s="323"/>
      <c r="AR35" s="323"/>
      <c r="AS35" s="323"/>
      <c r="AT35" s="323"/>
      <c r="AU35" s="323"/>
      <c r="AV35" s="323"/>
      <c r="AW35" s="323"/>
      <c r="AX35" s="323"/>
      <c r="AY35" s="323"/>
      <c r="AZ35" s="323"/>
      <c r="BA35" s="323"/>
      <c r="BB35" s="323"/>
      <c r="BC35" s="323"/>
      <c r="BD35" s="323"/>
      <c r="BE35" s="323"/>
      <c r="BF35" s="323"/>
      <c r="BG35" s="323"/>
      <c r="BH35" s="323"/>
      <c r="BI35" s="323"/>
      <c r="BJ35" s="323"/>
      <c r="BK35" s="323"/>
      <c r="BL35" s="323"/>
      <c r="BM35" s="323"/>
      <c r="BN35" s="323"/>
    </row>
    <row r="36" spans="2:66" s="333" customFormat="1" ht="16.2" thickBot="1">
      <c r="B36" s="898" t="s">
        <v>365</v>
      </c>
      <c r="C36" s="697">
        <f>SUM(C34:C35)</f>
        <v>2300</v>
      </c>
      <c r="D36" s="697">
        <f t="shared" ref="D36:E36" si="11">SUM(D34:D35)</f>
        <v>2300</v>
      </c>
      <c r="E36" s="698">
        <f t="shared" si="11"/>
        <v>3000</v>
      </c>
      <c r="H36" s="905" t="s">
        <v>365</v>
      </c>
      <c r="I36" s="906"/>
      <c r="J36" s="906"/>
      <c r="K36" s="906"/>
      <c r="L36" s="906"/>
      <c r="M36" s="906">
        <f>SUM(M10:M20)+SUM(M22:M35)</f>
        <v>49800</v>
      </c>
      <c r="N36" s="906">
        <f t="shared" ref="N36" si="12">SUM(N10:N20)+SUM(N22:N35)</f>
        <v>44380</v>
      </c>
      <c r="O36" s="906">
        <f>SUM(O10:O20)+SUM(O22:O35)</f>
        <v>179280</v>
      </c>
      <c r="P36" s="906"/>
      <c r="Q36" s="900"/>
      <c r="R36" s="901"/>
      <c r="S36" s="323"/>
      <c r="T36" s="323"/>
      <c r="U36" s="323"/>
      <c r="V36" s="323"/>
      <c r="W36" s="323"/>
      <c r="X36" s="323"/>
      <c r="Y36" s="323"/>
      <c r="Z36" s="323"/>
      <c r="AA36" s="598"/>
      <c r="AB36" s="598"/>
      <c r="AN36" s="323"/>
      <c r="AO36" s="323"/>
      <c r="AP36" s="323"/>
      <c r="AQ36" s="323"/>
      <c r="AR36" s="323"/>
      <c r="AS36" s="323"/>
      <c r="AT36" s="323"/>
      <c r="AU36" s="323"/>
      <c r="AV36" s="323"/>
      <c r="AW36" s="323"/>
      <c r="AX36" s="323"/>
      <c r="AY36" s="323"/>
      <c r="AZ36" s="323"/>
      <c r="BA36" s="323"/>
      <c r="BB36" s="323"/>
      <c r="BC36" s="323"/>
      <c r="BD36" s="323"/>
      <c r="BE36" s="323"/>
      <c r="BF36" s="323"/>
      <c r="BG36" s="323"/>
      <c r="BH36" s="323"/>
      <c r="BI36" s="323"/>
      <c r="BJ36" s="323"/>
      <c r="BK36" s="323"/>
      <c r="BL36" s="323"/>
      <c r="BM36" s="323"/>
      <c r="BN36" s="323"/>
    </row>
    <row r="37" spans="2:66" s="333" customFormat="1" ht="16.2" thickTop="1">
      <c r="B37" s="1295" t="s">
        <v>480</v>
      </c>
      <c r="C37" s="1296"/>
      <c r="D37" s="1296"/>
      <c r="E37" s="1297"/>
      <c r="Q37" s="603"/>
      <c r="R37" s="603"/>
      <c r="S37" s="323"/>
      <c r="T37" s="323"/>
      <c r="U37" s="323"/>
      <c r="V37" s="323"/>
      <c r="W37" s="323"/>
      <c r="X37" s="323"/>
      <c r="Y37" s="323"/>
      <c r="Z37" s="323"/>
      <c r="AA37" s="598"/>
      <c r="AB37" s="598"/>
      <c r="AN37" s="323"/>
      <c r="AO37" s="323"/>
      <c r="AP37" s="323"/>
      <c r="AQ37" s="323"/>
      <c r="AR37" s="323"/>
      <c r="AS37" s="323"/>
      <c r="AT37" s="323"/>
      <c r="AU37" s="323"/>
      <c r="AV37" s="323"/>
      <c r="AW37" s="323"/>
      <c r="AX37" s="323"/>
      <c r="AY37" s="323"/>
      <c r="AZ37" s="323"/>
      <c r="BA37" s="323"/>
      <c r="BB37" s="323"/>
      <c r="BC37" s="323"/>
      <c r="BD37" s="323"/>
      <c r="BE37" s="323"/>
      <c r="BF37" s="323"/>
      <c r="BG37" s="323"/>
      <c r="BH37" s="323"/>
      <c r="BI37" s="323"/>
      <c r="BJ37" s="323"/>
      <c r="BK37" s="323"/>
      <c r="BL37" s="323"/>
      <c r="BM37" s="323"/>
      <c r="BN37" s="323"/>
    </row>
    <row r="38" spans="2:66" s="333" customFormat="1" ht="16.2" thickBot="1">
      <c r="B38" s="898" t="s">
        <v>490</v>
      </c>
      <c r="C38" s="603">
        <f>'Profit &amp; Loss Store'!C41</f>
        <v>0</v>
      </c>
      <c r="D38" s="603">
        <f>'Profit &amp; Loss Store'!D41</f>
        <v>0</v>
      </c>
      <c r="E38" s="899">
        <f>'Profit &amp; Loss Store'!E41</f>
        <v>750</v>
      </c>
      <c r="Q38" s="603"/>
      <c r="S38" s="323"/>
      <c r="T38" s="323"/>
      <c r="U38" s="323"/>
      <c r="V38" s="323"/>
      <c r="W38" s="323"/>
      <c r="X38" s="323"/>
      <c r="Y38" s="323"/>
      <c r="Z38" s="323"/>
      <c r="AA38" s="598"/>
      <c r="AB38" s="598"/>
      <c r="AN38" s="323"/>
      <c r="AO38" s="323"/>
      <c r="AP38" s="323"/>
      <c r="AQ38" s="323"/>
      <c r="AR38" s="323"/>
      <c r="AS38" s="323"/>
      <c r="AT38" s="323"/>
      <c r="AU38" s="323"/>
      <c r="AV38" s="323"/>
      <c r="AW38" s="323"/>
      <c r="AX38" s="323"/>
      <c r="AY38" s="323"/>
      <c r="AZ38" s="323"/>
      <c r="BA38" s="323"/>
      <c r="BB38" s="323"/>
      <c r="BC38" s="323"/>
      <c r="BD38" s="323"/>
      <c r="BE38" s="323"/>
      <c r="BF38" s="323"/>
      <c r="BG38" s="323"/>
      <c r="BH38" s="323"/>
      <c r="BI38" s="323"/>
      <c r="BJ38" s="323"/>
      <c r="BK38" s="323"/>
      <c r="BL38" s="323"/>
      <c r="BM38" s="323"/>
      <c r="BN38" s="323"/>
    </row>
    <row r="39" spans="2:66" s="333" customFormat="1" ht="26.55" customHeight="1" thickTop="1">
      <c r="B39" s="1290" t="s">
        <v>489</v>
      </c>
      <c r="C39" s="1291"/>
      <c r="D39" s="1291"/>
      <c r="E39" s="1292"/>
      <c r="F39"/>
      <c r="H39" s="1298" t="s">
        <v>175</v>
      </c>
      <c r="I39" s="1299"/>
      <c r="J39" s="1300"/>
      <c r="K39" s="357"/>
      <c r="L39" s="1301" t="s">
        <v>137</v>
      </c>
      <c r="M39" s="1302"/>
      <c r="N39" s="1302"/>
      <c r="O39" s="1302"/>
      <c r="P39" s="1303"/>
      <c r="S39" s="323"/>
      <c r="T39" s="323"/>
      <c r="U39" s="323"/>
      <c r="V39" s="323"/>
      <c r="W39" s="323"/>
      <c r="X39" s="323"/>
      <c r="Y39" s="323"/>
      <c r="Z39" s="323"/>
      <c r="AA39" s="598"/>
      <c r="AB39" s="598"/>
      <c r="AN39" s="323"/>
      <c r="AO39" s="323"/>
      <c r="AP39" s="323"/>
      <c r="AQ39" s="323"/>
      <c r="AR39" s="323"/>
      <c r="AS39" s="323"/>
      <c r="AT39" s="323"/>
      <c r="AU39" s="323"/>
      <c r="AV39" s="323"/>
      <c r="AW39" s="323"/>
      <c r="AX39" s="323"/>
      <c r="AY39" s="323"/>
      <c r="AZ39" s="323"/>
      <c r="BA39" s="323"/>
      <c r="BB39" s="323"/>
      <c r="BC39" s="323"/>
      <c r="BD39" s="323"/>
      <c r="BE39" s="323"/>
      <c r="BF39" s="323"/>
      <c r="BG39" s="323"/>
      <c r="BH39" s="323"/>
      <c r="BI39" s="323"/>
      <c r="BJ39" s="323"/>
      <c r="BK39" s="323"/>
      <c r="BL39" s="323"/>
      <c r="BM39" s="323"/>
      <c r="BN39" s="323"/>
    </row>
    <row r="40" spans="2:66" s="333" customFormat="1" ht="19.8" customHeight="1" thickBot="1">
      <c r="B40" s="885" t="s">
        <v>489</v>
      </c>
      <c r="C40" s="900">
        <f>'Profit &amp; Loss Ecommerce'!C43</f>
        <v>700</v>
      </c>
      <c r="D40" s="900">
        <f>'Profit &amp; Loss Ecommerce'!D43</f>
        <v>700</v>
      </c>
      <c r="E40" s="901">
        <f>'Profit &amp; Loss Ecommerce'!E43</f>
        <v>700</v>
      </c>
      <c r="H40" s="1290" t="s">
        <v>465</v>
      </c>
      <c r="I40" s="1291"/>
      <c r="J40" s="1292"/>
      <c r="K40" s="357"/>
      <c r="L40" s="1261" t="s">
        <v>466</v>
      </c>
      <c r="M40" s="1262"/>
      <c r="N40" s="723">
        <f>'Profit &amp; Loss Ecommerce'!H65</f>
        <v>2024</v>
      </c>
      <c r="O40" s="723">
        <f>'Profit &amp; Loss Ecommerce'!I65</f>
        <v>2025</v>
      </c>
      <c r="P40" s="724">
        <f>'Profit &amp; Loss Ecommerce'!J65</f>
        <v>2026</v>
      </c>
      <c r="S40" s="323"/>
      <c r="T40" s="323"/>
      <c r="U40" s="323"/>
      <c r="V40" s="323"/>
      <c r="W40" s="323"/>
      <c r="X40" s="323"/>
      <c r="Y40" s="323"/>
      <c r="Z40" s="323"/>
      <c r="AA40" s="598"/>
      <c r="AB40" s="598"/>
      <c r="AN40" s="323"/>
      <c r="AO40" s="323"/>
      <c r="AP40" s="323"/>
      <c r="AQ40" s="323"/>
      <c r="AR40" s="323"/>
      <c r="AS40" s="323"/>
      <c r="AT40" s="323"/>
      <c r="AU40" s="323"/>
      <c r="AV40" s="323"/>
      <c r="AW40" s="323"/>
      <c r="AX40" s="323"/>
      <c r="AY40" s="323"/>
      <c r="AZ40" s="323"/>
      <c r="BA40" s="323"/>
      <c r="BB40" s="323"/>
      <c r="BC40" s="323"/>
      <c r="BD40" s="323"/>
      <c r="BE40" s="323"/>
      <c r="BF40" s="323"/>
      <c r="BG40" s="323"/>
      <c r="BH40" s="323"/>
      <c r="BI40" s="323"/>
      <c r="BJ40" s="323"/>
      <c r="BK40" s="323"/>
      <c r="BL40" s="323"/>
      <c r="BM40" s="323"/>
      <c r="BN40" s="323"/>
    </row>
    <row r="41" spans="2:66" s="333" customFormat="1" ht="19.8" customHeight="1" thickTop="1">
      <c r="B41" s="791"/>
      <c r="H41" s="1307" t="s">
        <v>32</v>
      </c>
      <c r="I41" s="1308"/>
      <c r="J41" s="686">
        <v>500000</v>
      </c>
      <c r="K41" s="357"/>
      <c r="L41" s="1264" t="s">
        <v>0</v>
      </c>
      <c r="M41" s="1265"/>
      <c r="N41" s="727">
        <f>'Profit &amp; Loss Ecommerce'!H66</f>
        <v>113227.4018640656</v>
      </c>
      <c r="O41" s="727">
        <f>'Profit &amp; Loss Ecommerce'!I66</f>
        <v>117470.0197945481</v>
      </c>
      <c r="P41" s="728">
        <f>'Profit &amp; Loss Ecommerce'!J66</f>
        <v>121947.37568505153</v>
      </c>
      <c r="S41" s="323"/>
      <c r="T41" s="323"/>
      <c r="U41" s="323"/>
      <c r="V41" s="323"/>
      <c r="W41" s="323"/>
      <c r="X41" s="323"/>
      <c r="Y41" s="323"/>
      <c r="Z41" s="323"/>
      <c r="AA41" s="598"/>
      <c r="AB41" s="598"/>
      <c r="AN41" s="323"/>
      <c r="AO41" s="323"/>
      <c r="AP41" s="323"/>
      <c r="AQ41" s="323"/>
      <c r="AR41" s="323"/>
      <c r="AS41" s="323"/>
      <c r="AT41" s="323"/>
      <c r="AU41" s="323"/>
      <c r="AV41" s="323"/>
      <c r="AW41" s="323"/>
      <c r="AX41" s="323"/>
      <c r="AY41" s="323"/>
      <c r="AZ41" s="323"/>
      <c r="BA41" s="323"/>
      <c r="BB41" s="323"/>
      <c r="BC41" s="323"/>
      <c r="BD41" s="323"/>
      <c r="BE41" s="323"/>
      <c r="BF41" s="323"/>
      <c r="BG41" s="323"/>
      <c r="BH41" s="323"/>
      <c r="BI41" s="323"/>
      <c r="BJ41" s="323"/>
      <c r="BK41" s="323"/>
      <c r="BL41" s="323"/>
      <c r="BM41" s="323"/>
      <c r="BN41" s="323"/>
    </row>
    <row r="42" spans="2:66" s="333" customFormat="1">
      <c r="B42" s="791"/>
      <c r="G42" s="603"/>
      <c r="H42" s="1309" t="s">
        <v>29</v>
      </c>
      <c r="I42" s="1310"/>
      <c r="J42" s="731">
        <v>0.05</v>
      </c>
      <c r="K42" s="357"/>
      <c r="L42" s="1264" t="s">
        <v>1</v>
      </c>
      <c r="M42" s="1265"/>
      <c r="N42" s="727">
        <f>'Profit &amp; Loss Ecommerce'!H67</f>
        <v>22949.775373266384</v>
      </c>
      <c r="O42" s="727">
        <f>'Profit &amp; Loss Ecommerce'!I67</f>
        <v>22573.618596221386</v>
      </c>
      <c r="P42" s="728">
        <f>'Profit &amp; Loss Ecommerce'!J67</f>
        <v>22195.894499272035</v>
      </c>
      <c r="Q42" s="323"/>
      <c r="R42" s="323"/>
      <c r="S42" s="323"/>
      <c r="T42" s="323"/>
      <c r="U42" s="323"/>
      <c r="V42" s="323"/>
      <c r="W42" s="323"/>
      <c r="X42" s="323"/>
      <c r="Y42" s="323"/>
      <c r="Z42" s="323"/>
      <c r="AA42" s="598"/>
      <c r="AB42" s="598"/>
      <c r="AN42" s="323"/>
      <c r="AO42" s="323"/>
      <c r="AP42" s="323"/>
      <c r="AQ42" s="323"/>
      <c r="AR42" s="323"/>
      <c r="AS42" s="323"/>
      <c r="AT42" s="323"/>
      <c r="AU42" s="323"/>
      <c r="AV42" s="323"/>
      <c r="AW42" s="323"/>
      <c r="AX42" s="323"/>
      <c r="AY42" s="323"/>
      <c r="AZ42" s="323"/>
      <c r="BA42" s="323"/>
      <c r="BB42" s="323"/>
      <c r="BC42" s="323"/>
      <c r="BD42" s="323"/>
      <c r="BE42" s="323"/>
      <c r="BF42" s="323"/>
      <c r="BG42" s="323"/>
      <c r="BH42" s="323"/>
      <c r="BI42" s="323"/>
      <c r="BJ42" s="323"/>
      <c r="BK42" s="323"/>
      <c r="BL42" s="323"/>
      <c r="BM42" s="323"/>
      <c r="BN42" s="323"/>
    </row>
    <row r="43" spans="2:66" s="333" customFormat="1" ht="16.2" thickBot="1">
      <c r="B43" s="357"/>
      <c r="C43" s="357"/>
      <c r="D43" s="357"/>
      <c r="E43" s="652"/>
      <c r="H43" s="1266" t="s">
        <v>59</v>
      </c>
      <c r="I43" s="1267"/>
      <c r="J43" s="734">
        <v>60</v>
      </c>
      <c r="K43" s="357"/>
      <c r="L43" s="1266" t="s">
        <v>2</v>
      </c>
      <c r="M43" s="1267"/>
      <c r="N43" s="736">
        <f>'Profit &amp; Loss Ecommerce'!H68</f>
        <v>90277.626490799215</v>
      </c>
      <c r="O43" s="736">
        <f>'Profit &amp; Loss Ecommerce'!I68</f>
        <v>94896.401198326726</v>
      </c>
      <c r="P43" s="737">
        <f>'Profit &amp; Loss Ecommerce'!J68</f>
        <v>99751.481185779499</v>
      </c>
      <c r="Q43" s="323"/>
      <c r="R43" s="323"/>
      <c r="S43" s="323"/>
      <c r="T43" s="323"/>
      <c r="U43" s="323"/>
      <c r="V43" s="323"/>
      <c r="W43" s="323"/>
      <c r="X43" s="323"/>
      <c r="Y43" s="323"/>
      <c r="Z43" s="323"/>
      <c r="AA43" s="598"/>
      <c r="AB43" s="598"/>
      <c r="AN43" s="323"/>
      <c r="AO43" s="323"/>
      <c r="AP43" s="323"/>
      <c r="AQ43" s="323"/>
      <c r="AR43" s="323"/>
      <c r="AS43" s="323"/>
      <c r="AT43" s="323"/>
      <c r="AU43" s="323"/>
      <c r="AV43" s="323"/>
      <c r="AW43" s="323"/>
      <c r="AX43" s="323"/>
      <c r="AY43" s="323"/>
      <c r="AZ43" s="323"/>
      <c r="BA43" s="323"/>
      <c r="BB43" s="323"/>
      <c r="BC43" s="323"/>
      <c r="BD43" s="323"/>
      <c r="BE43" s="323"/>
      <c r="BF43" s="323"/>
      <c r="BG43" s="323"/>
      <c r="BH43" s="323"/>
      <c r="BI43" s="323"/>
      <c r="BJ43" s="323"/>
      <c r="BK43" s="323"/>
      <c r="BL43" s="323"/>
      <c r="BM43" s="323"/>
      <c r="BN43" s="323"/>
    </row>
    <row r="44" spans="2:66" s="333" customFormat="1" ht="16.8" thickTop="1" thickBot="1">
      <c r="B44" s="748" t="s">
        <v>3</v>
      </c>
      <c r="C44" s="749"/>
      <c r="D44" s="750">
        <v>0.2</v>
      </c>
      <c r="E44" s="357"/>
      <c r="H44" s="1304" t="s">
        <v>102</v>
      </c>
      <c r="I44" s="1305"/>
      <c r="J44" s="1306"/>
      <c r="K44" s="357"/>
      <c r="L44" s="357"/>
      <c r="M44" s="357"/>
      <c r="N44" s="357"/>
      <c r="O44" s="357"/>
      <c r="P44" s="357"/>
      <c r="Q44" s="323"/>
      <c r="R44" s="323"/>
      <c r="S44" s="323"/>
      <c r="T44" s="323"/>
      <c r="U44" s="323"/>
      <c r="V44" s="323"/>
      <c r="W44" s="323"/>
      <c r="X44" s="323"/>
      <c r="Y44" s="323"/>
      <c r="Z44" s="323"/>
      <c r="AA44" s="598"/>
      <c r="AB44" s="598"/>
      <c r="AN44" s="323"/>
      <c r="AO44" s="323"/>
      <c r="AP44" s="323"/>
      <c r="AQ44" s="323"/>
      <c r="AR44" s="323"/>
      <c r="AS44" s="323"/>
      <c r="AT44" s="323"/>
      <c r="AU44" s="323"/>
      <c r="AV44" s="323"/>
      <c r="AW44" s="323"/>
      <c r="AX44" s="323"/>
      <c r="AY44" s="323"/>
      <c r="AZ44" s="323"/>
      <c r="BA44" s="323"/>
      <c r="BB44" s="323"/>
      <c r="BC44" s="323"/>
      <c r="BD44" s="323"/>
      <c r="BE44" s="323"/>
      <c r="BF44" s="323"/>
      <c r="BG44" s="323"/>
      <c r="BH44" s="323"/>
      <c r="BI44" s="323"/>
      <c r="BJ44" s="323"/>
      <c r="BK44" s="323"/>
      <c r="BL44" s="323"/>
      <c r="BM44" s="323"/>
      <c r="BN44" s="323"/>
    </row>
    <row r="45" spans="2:66" s="333" customFormat="1" ht="32.549999999999997" customHeight="1" thickTop="1" thickBot="1">
      <c r="B45" s="357"/>
      <c r="C45" s="357"/>
      <c r="D45" s="357"/>
      <c r="E45" s="747"/>
      <c r="H45" s="1307" t="s">
        <v>64</v>
      </c>
      <c r="I45" s="1308"/>
      <c r="J45" s="741">
        <v>50000</v>
      </c>
      <c r="K45" s="357"/>
      <c r="L45" s="357"/>
      <c r="M45" s="357"/>
      <c r="N45" s="357"/>
      <c r="O45" s="357"/>
      <c r="P45" s="357"/>
      <c r="Q45" s="323"/>
      <c r="R45" s="323"/>
      <c r="S45" s="323"/>
      <c r="T45" s="323"/>
      <c r="U45" s="323"/>
      <c r="V45" s="323"/>
      <c r="W45" s="323"/>
      <c r="X45" s="323"/>
      <c r="Y45" s="323"/>
      <c r="Z45" s="323"/>
      <c r="AA45" s="598"/>
      <c r="AB45" s="598"/>
      <c r="AN45" s="323"/>
      <c r="AO45" s="323"/>
      <c r="AP45" s="323"/>
      <c r="AQ45" s="323"/>
      <c r="AR45" s="323"/>
      <c r="AS45" s="323"/>
      <c r="AT45" s="323"/>
      <c r="AU45" s="323"/>
      <c r="AV45" s="323"/>
      <c r="AW45" s="323"/>
      <c r="AX45" s="323"/>
      <c r="AY45" s="323"/>
      <c r="AZ45" s="323"/>
      <c r="BA45" s="323"/>
      <c r="BB45" s="323"/>
      <c r="BC45" s="323"/>
      <c r="BD45" s="323"/>
      <c r="BE45" s="323"/>
      <c r="BF45" s="323"/>
      <c r="BG45" s="323"/>
      <c r="BH45" s="323"/>
      <c r="BI45" s="323"/>
      <c r="BJ45" s="323"/>
      <c r="BK45" s="323"/>
      <c r="BL45" s="323"/>
      <c r="BM45" s="323"/>
      <c r="BN45" s="323"/>
    </row>
    <row r="46" spans="2:66" s="333" customFormat="1" ht="16.8" thickTop="1" thickBot="1">
      <c r="B46" s="748" t="s">
        <v>25</v>
      </c>
      <c r="C46" s="749"/>
      <c r="D46" s="750">
        <v>0.25</v>
      </c>
      <c r="E46" s="684"/>
      <c r="H46" s="1311" t="s">
        <v>65</v>
      </c>
      <c r="I46" s="1312"/>
      <c r="J46" s="743">
        <v>40000</v>
      </c>
      <c r="K46" s="357"/>
      <c r="L46" s="357"/>
      <c r="M46" s="357"/>
      <c r="N46" s="357"/>
      <c r="O46" s="357"/>
      <c r="P46" s="357"/>
      <c r="Q46" s="323"/>
      <c r="R46" s="323"/>
      <c r="S46" s="323"/>
      <c r="T46" s="323"/>
      <c r="U46" s="323"/>
      <c r="V46" s="323"/>
      <c r="W46" s="323"/>
      <c r="X46" s="323"/>
      <c r="Y46" s="323"/>
      <c r="Z46" s="323"/>
      <c r="AA46" s="598"/>
      <c r="AB46" s="598"/>
      <c r="AN46" s="323"/>
      <c r="AO46" s="323"/>
      <c r="AP46" s="323"/>
      <c r="AQ46" s="323"/>
      <c r="AR46" s="323"/>
      <c r="AS46" s="323"/>
      <c r="AT46" s="323"/>
      <c r="AU46" s="323"/>
      <c r="AV46" s="323"/>
      <c r="AW46" s="323"/>
      <c r="AX46" s="323"/>
      <c r="AY46" s="323"/>
      <c r="AZ46" s="323"/>
      <c r="BA46" s="323"/>
      <c r="BB46" s="323"/>
      <c r="BC46" s="323"/>
      <c r="BD46" s="323"/>
      <c r="BE46" s="323"/>
      <c r="BF46" s="323"/>
      <c r="BG46" s="323"/>
      <c r="BH46" s="323"/>
      <c r="BI46" s="323"/>
      <c r="BJ46" s="323"/>
      <c r="BK46" s="323"/>
      <c r="BL46" s="323"/>
      <c r="BM46" s="323"/>
      <c r="BN46" s="323"/>
    </row>
    <row r="47" spans="2:66" s="333" customFormat="1" ht="16.2" thickTop="1">
      <c r="B47" s="357"/>
      <c r="C47" s="357"/>
      <c r="D47" s="357"/>
      <c r="E47" s="684"/>
      <c r="O47" s="603"/>
      <c r="P47" s="598"/>
      <c r="Q47" s="323"/>
      <c r="R47" s="323"/>
      <c r="S47" s="323"/>
      <c r="T47" s="323"/>
      <c r="U47" s="323"/>
      <c r="V47" s="323"/>
      <c r="W47" s="323"/>
      <c r="X47" s="323"/>
      <c r="Y47" s="323"/>
      <c r="Z47" s="323"/>
      <c r="AA47" s="598"/>
      <c r="AB47" s="598"/>
      <c r="AN47" s="323"/>
      <c r="AO47" s="323"/>
      <c r="AP47" s="323"/>
      <c r="AQ47" s="323"/>
      <c r="AR47" s="323"/>
      <c r="AS47" s="323"/>
      <c r="AT47" s="323"/>
      <c r="AU47" s="323"/>
      <c r="AV47" s="323"/>
      <c r="AW47" s="323"/>
      <c r="AX47" s="323"/>
      <c r="AY47" s="323"/>
      <c r="AZ47" s="323"/>
      <c r="BA47" s="323"/>
      <c r="BB47" s="323"/>
      <c r="BC47" s="323"/>
      <c r="BD47" s="323"/>
      <c r="BE47" s="323"/>
      <c r="BF47" s="323"/>
      <c r="BG47" s="323"/>
      <c r="BH47" s="323"/>
      <c r="BI47" s="323"/>
      <c r="BJ47" s="323"/>
      <c r="BK47" s="323"/>
      <c r="BL47" s="323"/>
      <c r="BM47" s="323"/>
      <c r="BN47" s="323"/>
    </row>
    <row r="48" spans="2:66" s="333" customFormat="1">
      <c r="B48" s="791"/>
      <c r="O48" s="603"/>
      <c r="P48" s="598"/>
      <c r="Q48" s="323"/>
      <c r="R48" s="323"/>
      <c r="S48" s="323"/>
      <c r="T48" s="323"/>
      <c r="U48" s="323"/>
      <c r="V48" s="323"/>
      <c r="W48" s="323"/>
      <c r="X48" s="323"/>
      <c r="Y48" s="323"/>
      <c r="Z48" s="323"/>
      <c r="AA48" s="598"/>
      <c r="AB48" s="598"/>
      <c r="AN48" s="323"/>
      <c r="AO48" s="323"/>
      <c r="AP48" s="323"/>
      <c r="AQ48" s="323"/>
      <c r="AR48" s="323"/>
      <c r="AS48" s="323"/>
      <c r="AT48" s="323"/>
      <c r="AU48" s="323"/>
      <c r="AV48" s="323"/>
      <c r="AW48" s="323"/>
      <c r="AX48" s="323"/>
      <c r="AY48" s="323"/>
      <c r="AZ48" s="323"/>
      <c r="BA48" s="323"/>
      <c r="BB48" s="323"/>
      <c r="BC48" s="323"/>
      <c r="BD48" s="323"/>
      <c r="BE48" s="323"/>
      <c r="BF48" s="323"/>
      <c r="BG48" s="323"/>
      <c r="BH48" s="323"/>
      <c r="BI48" s="323"/>
      <c r="BJ48" s="323"/>
      <c r="BK48" s="323"/>
      <c r="BL48" s="323"/>
      <c r="BM48" s="323"/>
      <c r="BN48" s="323"/>
    </row>
    <row r="49" spans="2:66" s="935" customFormat="1" ht="28.8">
      <c r="B49" s="951" t="s">
        <v>523</v>
      </c>
      <c r="C49" s="934"/>
      <c r="O49" s="936"/>
      <c r="P49" s="936"/>
      <c r="Q49" s="936"/>
      <c r="R49" s="936"/>
      <c r="S49" s="936"/>
      <c r="T49" s="936"/>
      <c r="U49" s="936"/>
      <c r="V49" s="936"/>
      <c r="W49" s="936"/>
      <c r="X49" s="936"/>
      <c r="Y49" s="936"/>
      <c r="Z49" s="936"/>
      <c r="AA49" s="936"/>
      <c r="AB49" s="936"/>
      <c r="AC49" s="936"/>
      <c r="AD49" s="936"/>
      <c r="AE49" s="936"/>
      <c r="AF49" s="936"/>
      <c r="AG49" s="936"/>
      <c r="AH49" s="936"/>
      <c r="AI49" s="936"/>
      <c r="AJ49" s="936"/>
      <c r="AK49" s="936"/>
      <c r="AL49" s="936"/>
      <c r="AM49" s="936"/>
      <c r="AN49" s="323"/>
      <c r="AO49" s="323"/>
      <c r="AP49" s="323"/>
      <c r="AQ49" s="323"/>
      <c r="AR49" s="323"/>
      <c r="AS49" s="323"/>
      <c r="AT49" s="323"/>
      <c r="AU49" s="323"/>
      <c r="AV49" s="323"/>
      <c r="AW49" s="323"/>
      <c r="AX49" s="323"/>
      <c r="AY49" s="323"/>
      <c r="AZ49" s="323"/>
      <c r="BA49" s="323"/>
      <c r="BB49" s="323"/>
      <c r="BC49" s="323"/>
      <c r="BD49" s="323"/>
      <c r="BE49" s="323"/>
      <c r="BF49" s="323"/>
      <c r="BG49" s="323"/>
      <c r="BH49" s="323"/>
      <c r="BI49" s="323"/>
      <c r="BJ49" s="323"/>
      <c r="BK49" s="323"/>
      <c r="BL49" s="323"/>
      <c r="BM49" s="323"/>
      <c r="BN49" s="323"/>
    </row>
    <row r="50" spans="2:66" s="333" customFormat="1" ht="27" customHeight="1">
      <c r="B50" s="613"/>
      <c r="D50" s="1217"/>
      <c r="E50" s="1217"/>
      <c r="F50" s="1217"/>
      <c r="G50" s="1217"/>
      <c r="H50" s="1217"/>
      <c r="I50" s="1217"/>
      <c r="J50" s="1217"/>
      <c r="K50" s="1217"/>
      <c r="L50" s="1217"/>
      <c r="M50" s="1217"/>
      <c r="N50" s="1217"/>
      <c r="O50" s="1217"/>
      <c r="P50" s="1293"/>
      <c r="Q50" s="1217"/>
      <c r="R50" s="1217"/>
      <c r="S50" s="1217"/>
      <c r="T50" s="1217"/>
      <c r="U50" s="1217"/>
      <c r="V50" s="1217"/>
      <c r="W50" s="1217"/>
      <c r="X50" s="1217"/>
      <c r="Y50" s="1217"/>
      <c r="Z50" s="1217"/>
      <c r="AA50" s="1294"/>
      <c r="AB50" s="1293"/>
      <c r="AC50" s="1217"/>
      <c r="AD50" s="1217"/>
      <c r="AE50" s="1217"/>
      <c r="AF50" s="1217"/>
      <c r="AG50" s="1217"/>
      <c r="AH50" s="1217"/>
      <c r="AI50" s="1217"/>
      <c r="AJ50" s="1217"/>
      <c r="AK50" s="1217"/>
      <c r="AL50" s="1217"/>
      <c r="AM50" s="1294"/>
      <c r="AN50" s="323"/>
      <c r="AO50" s="323"/>
      <c r="AP50" s="323"/>
      <c r="AQ50" s="323"/>
      <c r="AR50" s="323"/>
      <c r="AS50" s="323"/>
      <c r="AT50" s="323"/>
      <c r="AU50" s="323"/>
      <c r="AV50" s="323"/>
      <c r="AW50" s="323"/>
      <c r="AX50" s="323"/>
      <c r="AY50" s="323"/>
      <c r="AZ50" s="323"/>
      <c r="BA50" s="323"/>
      <c r="BB50" s="323"/>
      <c r="BC50" s="323"/>
      <c r="BD50" s="323"/>
      <c r="BE50" s="323"/>
      <c r="BF50" s="323"/>
      <c r="BG50" s="323"/>
      <c r="BH50" s="323"/>
      <c r="BI50" s="323"/>
      <c r="BJ50" s="323"/>
      <c r="BK50" s="323"/>
      <c r="BL50" s="323"/>
      <c r="BM50" s="323"/>
      <c r="BN50" s="323"/>
    </row>
    <row r="51" spans="2:66" s="300" customFormat="1">
      <c r="C51" s="300" t="s">
        <v>33</v>
      </c>
      <c r="D51" s="614">
        <f>'Sales Forecast'!E22</f>
        <v>45292</v>
      </c>
      <c r="E51" s="615">
        <f>DATE(YEAR(D51),MONTH(D51),DAY(EOMONTH(D51,0)))+1</f>
        <v>45323</v>
      </c>
      <c r="F51" s="615">
        <f t="shared" ref="F51:AL51" si="13">DATE(YEAR(E51),MONTH(E51),DAY(EOMONTH(E51,0)))+1</f>
        <v>45352</v>
      </c>
      <c r="G51" s="615">
        <f t="shared" si="13"/>
        <v>45383</v>
      </c>
      <c r="H51" s="615">
        <f t="shared" si="13"/>
        <v>45413</v>
      </c>
      <c r="I51" s="615">
        <f t="shared" si="13"/>
        <v>45444</v>
      </c>
      <c r="J51" s="615">
        <f>DATE(YEAR(I51),MONTH(I51),DAY(EOMONTH(I51,0)))+1</f>
        <v>45474</v>
      </c>
      <c r="K51" s="615">
        <f t="shared" si="13"/>
        <v>45505</v>
      </c>
      <c r="L51" s="615">
        <f t="shared" si="13"/>
        <v>45536</v>
      </c>
      <c r="M51" s="615">
        <f t="shared" si="13"/>
        <v>45566</v>
      </c>
      <c r="N51" s="615">
        <f t="shared" si="13"/>
        <v>45597</v>
      </c>
      <c r="O51" s="615">
        <f t="shared" si="13"/>
        <v>45627</v>
      </c>
      <c r="P51" s="923">
        <f t="shared" si="13"/>
        <v>45658</v>
      </c>
      <c r="Q51" s="615">
        <f t="shared" si="13"/>
        <v>45689</v>
      </c>
      <c r="R51" s="615">
        <f t="shared" si="13"/>
        <v>45717</v>
      </c>
      <c r="S51" s="615">
        <f t="shared" si="13"/>
        <v>45748</v>
      </c>
      <c r="T51" s="615">
        <f t="shared" si="13"/>
        <v>45778</v>
      </c>
      <c r="U51" s="615">
        <f t="shared" si="13"/>
        <v>45809</v>
      </c>
      <c r="V51" s="615">
        <f t="shared" si="13"/>
        <v>45839</v>
      </c>
      <c r="W51" s="615">
        <f t="shared" si="13"/>
        <v>45870</v>
      </c>
      <c r="X51" s="615">
        <f t="shared" si="13"/>
        <v>45901</v>
      </c>
      <c r="Y51" s="615">
        <f t="shared" si="13"/>
        <v>45931</v>
      </c>
      <c r="Z51" s="615">
        <f t="shared" si="13"/>
        <v>45962</v>
      </c>
      <c r="AA51" s="907">
        <f t="shared" si="13"/>
        <v>45992</v>
      </c>
      <c r="AB51" s="923">
        <f t="shared" si="13"/>
        <v>46023</v>
      </c>
      <c r="AC51" s="615">
        <f t="shared" si="13"/>
        <v>46054</v>
      </c>
      <c r="AD51" s="615">
        <f t="shared" si="13"/>
        <v>46082</v>
      </c>
      <c r="AE51" s="615">
        <f t="shared" si="13"/>
        <v>46113</v>
      </c>
      <c r="AF51" s="615">
        <f t="shared" si="13"/>
        <v>46143</v>
      </c>
      <c r="AG51" s="615">
        <f t="shared" si="13"/>
        <v>46174</v>
      </c>
      <c r="AH51" s="615">
        <f t="shared" si="13"/>
        <v>46204</v>
      </c>
      <c r="AI51" s="615">
        <f t="shared" si="13"/>
        <v>46235</v>
      </c>
      <c r="AJ51" s="615">
        <f t="shared" si="13"/>
        <v>46266</v>
      </c>
      <c r="AK51" s="615">
        <f t="shared" si="13"/>
        <v>46296</v>
      </c>
      <c r="AL51" s="615">
        <f t="shared" si="13"/>
        <v>46327</v>
      </c>
      <c r="AM51" s="907">
        <f>DATE(YEAR(AL51),MONTH(AL51),DAY(EOMONTH(AL51,0)))+1+2023.2-2023.2</f>
        <v>46357</v>
      </c>
    </row>
    <row r="52" spans="2:66" s="786" customFormat="1" outlineLevel="1">
      <c r="B52" s="787" t="s">
        <v>58</v>
      </c>
      <c r="D52" s="788">
        <v>1</v>
      </c>
      <c r="E52" s="788">
        <v>2</v>
      </c>
      <c r="F52" s="788">
        <v>3</v>
      </c>
      <c r="G52" s="788">
        <v>4</v>
      </c>
      <c r="H52" s="788">
        <v>5</v>
      </c>
      <c r="I52" s="788">
        <v>6</v>
      </c>
      <c r="J52" s="788">
        <v>7</v>
      </c>
      <c r="K52" s="788">
        <v>8</v>
      </c>
      <c r="L52" s="788">
        <v>9</v>
      </c>
      <c r="M52" s="788">
        <v>10</v>
      </c>
      <c r="N52" s="788">
        <v>11</v>
      </c>
      <c r="O52" s="909">
        <v>12</v>
      </c>
      <c r="P52" s="908">
        <v>13</v>
      </c>
      <c r="Q52" s="909">
        <v>14</v>
      </c>
      <c r="R52" s="909">
        <v>15</v>
      </c>
      <c r="S52" s="909">
        <v>16</v>
      </c>
      <c r="T52" s="909">
        <v>17</v>
      </c>
      <c r="U52" s="909">
        <v>18</v>
      </c>
      <c r="V52" s="909">
        <v>19</v>
      </c>
      <c r="W52" s="909">
        <v>20</v>
      </c>
      <c r="X52" s="909">
        <v>21</v>
      </c>
      <c r="Y52" s="909">
        <v>22</v>
      </c>
      <c r="Z52" s="909">
        <v>23</v>
      </c>
      <c r="AA52" s="910">
        <v>24</v>
      </c>
      <c r="AB52" s="908">
        <v>25</v>
      </c>
      <c r="AC52" s="909">
        <v>26</v>
      </c>
      <c r="AD52" s="909">
        <v>27</v>
      </c>
      <c r="AE52" s="909">
        <v>28</v>
      </c>
      <c r="AF52" s="909">
        <v>29</v>
      </c>
      <c r="AG52" s="909">
        <v>30</v>
      </c>
      <c r="AH52" s="909">
        <v>31</v>
      </c>
      <c r="AI52" s="909">
        <v>32</v>
      </c>
      <c r="AJ52" s="909">
        <v>33</v>
      </c>
      <c r="AK52" s="909">
        <v>34</v>
      </c>
      <c r="AL52" s="909">
        <v>35</v>
      </c>
      <c r="AM52" s="910">
        <v>36</v>
      </c>
    </row>
    <row r="53" spans="2:66" s="618" customFormat="1" outlineLevel="1">
      <c r="B53" s="617"/>
      <c r="C53" s="618" t="s">
        <v>84</v>
      </c>
      <c r="D53" s="619">
        <f>YEAR(D51)</f>
        <v>2024</v>
      </c>
      <c r="E53" s="619">
        <f t="shared" ref="E53:AM53" si="14">YEAR(E51)</f>
        <v>2024</v>
      </c>
      <c r="F53" s="619">
        <f t="shared" si="14"/>
        <v>2024</v>
      </c>
      <c r="G53" s="619">
        <f t="shared" si="14"/>
        <v>2024</v>
      </c>
      <c r="H53" s="619">
        <f t="shared" si="14"/>
        <v>2024</v>
      </c>
      <c r="I53" s="619">
        <f t="shared" si="14"/>
        <v>2024</v>
      </c>
      <c r="J53" s="619">
        <f t="shared" si="14"/>
        <v>2024</v>
      </c>
      <c r="K53" s="619">
        <f t="shared" si="14"/>
        <v>2024</v>
      </c>
      <c r="L53" s="619">
        <f t="shared" si="14"/>
        <v>2024</v>
      </c>
      <c r="M53" s="619">
        <f t="shared" si="14"/>
        <v>2024</v>
      </c>
      <c r="N53" s="619">
        <f t="shared" si="14"/>
        <v>2024</v>
      </c>
      <c r="O53" s="912">
        <f t="shared" si="14"/>
        <v>2024</v>
      </c>
      <c r="P53" s="911">
        <f t="shared" si="14"/>
        <v>2025</v>
      </c>
      <c r="Q53" s="912">
        <f t="shared" si="14"/>
        <v>2025</v>
      </c>
      <c r="R53" s="912">
        <f t="shared" si="14"/>
        <v>2025</v>
      </c>
      <c r="S53" s="912">
        <f t="shared" si="14"/>
        <v>2025</v>
      </c>
      <c r="T53" s="912">
        <f t="shared" si="14"/>
        <v>2025</v>
      </c>
      <c r="U53" s="912">
        <f t="shared" si="14"/>
        <v>2025</v>
      </c>
      <c r="V53" s="912">
        <f t="shared" si="14"/>
        <v>2025</v>
      </c>
      <c r="W53" s="912">
        <f t="shared" si="14"/>
        <v>2025</v>
      </c>
      <c r="X53" s="912">
        <f t="shared" si="14"/>
        <v>2025</v>
      </c>
      <c r="Y53" s="912">
        <f t="shared" si="14"/>
        <v>2025</v>
      </c>
      <c r="Z53" s="912">
        <f t="shared" si="14"/>
        <v>2025</v>
      </c>
      <c r="AA53" s="913">
        <f t="shared" si="14"/>
        <v>2025</v>
      </c>
      <c r="AB53" s="911">
        <f t="shared" si="14"/>
        <v>2026</v>
      </c>
      <c r="AC53" s="912">
        <f t="shared" si="14"/>
        <v>2026</v>
      </c>
      <c r="AD53" s="912">
        <f t="shared" si="14"/>
        <v>2026</v>
      </c>
      <c r="AE53" s="912">
        <f t="shared" si="14"/>
        <v>2026</v>
      </c>
      <c r="AF53" s="912">
        <f t="shared" si="14"/>
        <v>2026</v>
      </c>
      <c r="AG53" s="912">
        <f t="shared" si="14"/>
        <v>2026</v>
      </c>
      <c r="AH53" s="912">
        <f t="shared" si="14"/>
        <v>2026</v>
      </c>
      <c r="AI53" s="912">
        <f t="shared" si="14"/>
        <v>2026</v>
      </c>
      <c r="AJ53" s="912">
        <f t="shared" si="14"/>
        <v>2026</v>
      </c>
      <c r="AK53" s="912">
        <f t="shared" si="14"/>
        <v>2026</v>
      </c>
      <c r="AL53" s="912">
        <f t="shared" si="14"/>
        <v>2026</v>
      </c>
      <c r="AM53" s="913">
        <f t="shared" si="14"/>
        <v>2026</v>
      </c>
      <c r="AN53" s="345"/>
      <c r="AO53" s="345"/>
      <c r="AP53" s="345"/>
      <c r="AQ53" s="345"/>
      <c r="AR53" s="345"/>
      <c r="AS53" s="345"/>
      <c r="AT53" s="345"/>
      <c r="AU53" s="345"/>
      <c r="AV53" s="345"/>
      <c r="AW53" s="345"/>
      <c r="AX53" s="345"/>
      <c r="AY53" s="345"/>
      <c r="AZ53" s="345"/>
      <c r="BA53" s="345"/>
      <c r="BB53" s="345"/>
      <c r="BC53" s="345"/>
      <c r="BD53" s="345"/>
      <c r="BE53" s="345"/>
      <c r="BF53" s="345"/>
      <c r="BG53" s="345"/>
      <c r="BH53" s="345"/>
      <c r="BI53" s="345"/>
      <c r="BJ53" s="345"/>
      <c r="BK53" s="345"/>
      <c r="BL53" s="345"/>
      <c r="BM53" s="345"/>
      <c r="BN53" s="345"/>
    </row>
    <row r="54" spans="2:66" s="618" customFormat="1">
      <c r="B54" s="617"/>
      <c r="D54" s="619"/>
      <c r="E54" s="619"/>
      <c r="F54" s="619"/>
      <c r="G54" s="619"/>
      <c r="H54" s="619"/>
      <c r="I54" s="619"/>
      <c r="J54" s="619"/>
      <c r="K54" s="619"/>
      <c r="L54" s="619"/>
      <c r="M54" s="619"/>
      <c r="N54" s="619"/>
      <c r="O54" s="912"/>
      <c r="P54" s="911"/>
      <c r="Q54" s="912"/>
      <c r="R54" s="912"/>
      <c r="S54" s="912"/>
      <c r="T54" s="912"/>
      <c r="U54" s="912"/>
      <c r="V54" s="912"/>
      <c r="W54" s="912"/>
      <c r="X54" s="912"/>
      <c r="Y54" s="912"/>
      <c r="Z54" s="912"/>
      <c r="AA54" s="913"/>
      <c r="AB54" s="911"/>
      <c r="AC54" s="912"/>
      <c r="AD54" s="912"/>
      <c r="AE54" s="912"/>
      <c r="AF54" s="912"/>
      <c r="AG54" s="912"/>
      <c r="AH54" s="912"/>
      <c r="AI54" s="912"/>
      <c r="AJ54" s="912"/>
      <c r="AK54" s="912"/>
      <c r="AL54" s="912"/>
      <c r="AM54" s="913"/>
      <c r="AN54" s="345"/>
      <c r="AO54" s="345"/>
      <c r="AP54" s="345"/>
      <c r="AQ54" s="345"/>
      <c r="AR54" s="345"/>
      <c r="AS54" s="345"/>
      <c r="AT54" s="345"/>
      <c r="AU54" s="345"/>
      <c r="AV54" s="345"/>
      <c r="AW54" s="345"/>
      <c r="AX54" s="345"/>
      <c r="AY54" s="345"/>
      <c r="AZ54" s="345"/>
      <c r="BA54" s="345"/>
      <c r="BB54" s="345"/>
      <c r="BC54" s="345"/>
      <c r="BD54" s="345"/>
      <c r="BE54" s="345"/>
      <c r="BF54" s="345"/>
      <c r="BG54" s="345"/>
      <c r="BH54" s="345"/>
      <c r="BI54" s="345"/>
      <c r="BJ54" s="345"/>
      <c r="BK54" s="345"/>
      <c r="BL54" s="345"/>
      <c r="BM54" s="345"/>
      <c r="BN54" s="345"/>
    </row>
    <row r="55" spans="2:66" s="938" customFormat="1">
      <c r="B55" s="937" t="s">
        <v>88</v>
      </c>
      <c r="D55" s="938">
        <f>'Sales Forecast'!E111</f>
        <v>25772</v>
      </c>
      <c r="E55" s="938">
        <f>'Sales Forecast'!F111</f>
        <v>29558</v>
      </c>
      <c r="F55" s="938">
        <f>'Sales Forecast'!G111</f>
        <v>36270</v>
      </c>
      <c r="G55" s="938">
        <f>'Sales Forecast'!H111</f>
        <v>38164</v>
      </c>
      <c r="H55" s="938">
        <f>'Sales Forecast'!I111</f>
        <v>44750</v>
      </c>
      <c r="I55" s="938">
        <f>'Sales Forecast'!J111</f>
        <v>49478</v>
      </c>
      <c r="J55" s="938">
        <f>'Sales Forecast'!K111</f>
        <v>55242</v>
      </c>
      <c r="K55" s="938">
        <f>'Sales Forecast'!L111</f>
        <v>56729.5</v>
      </c>
      <c r="L55" s="938">
        <f>'Sales Forecast'!M111</f>
        <v>59838</v>
      </c>
      <c r="M55" s="938">
        <f>'Sales Forecast'!N111</f>
        <v>64550</v>
      </c>
      <c r="N55" s="938">
        <f>'Sales Forecast'!O111</f>
        <v>70110.600000000006</v>
      </c>
      <c r="O55" s="938">
        <f>'Sales Forecast'!P111</f>
        <v>76762</v>
      </c>
      <c r="P55" s="939">
        <f>'Sales Forecast'!Q111</f>
        <v>103556.8</v>
      </c>
      <c r="Q55" s="940">
        <f>'Sales Forecast'!R111</f>
        <v>130173.9</v>
      </c>
      <c r="R55" s="940">
        <f>'Sales Forecast'!S111</f>
        <v>166319</v>
      </c>
      <c r="S55" s="940">
        <f>'Sales Forecast'!T111</f>
        <v>198640.1</v>
      </c>
      <c r="T55" s="940">
        <f>'Sales Forecast'!U111</f>
        <v>214395.2</v>
      </c>
      <c r="U55" s="940">
        <f>'Sales Forecast'!V111</f>
        <v>231713.3</v>
      </c>
      <c r="V55" s="940">
        <f>'Sales Forecast'!W111</f>
        <v>248305.4</v>
      </c>
      <c r="W55" s="940">
        <f>'Sales Forecast'!X111</f>
        <v>249238.39999999999</v>
      </c>
      <c r="X55" s="940">
        <f>'Sales Forecast'!Y111</f>
        <v>277291.40000000002</v>
      </c>
      <c r="Y55" s="940">
        <f>'Sales Forecast'!Z111</f>
        <v>298631.5</v>
      </c>
      <c r="Z55" s="940">
        <f>'Sales Forecast'!AA111</f>
        <v>321593.59999999998</v>
      </c>
      <c r="AA55" s="941">
        <f>'Sales Forecast'!AB111</f>
        <v>319906.3</v>
      </c>
      <c r="AB55" s="939">
        <f>'Sales Forecast'!AC111</f>
        <v>371883.06000000006</v>
      </c>
      <c r="AC55" s="940">
        <f>'Sales Forecast'!AD111</f>
        <v>408846.47200000001</v>
      </c>
      <c r="AD55" s="940">
        <f>'Sales Forecast'!AE111</f>
        <v>470213.03200000001</v>
      </c>
      <c r="AE55" s="940">
        <f>'Sales Forecast'!AF111</f>
        <v>491213.56000000006</v>
      </c>
      <c r="AF55" s="940">
        <f>'Sales Forecast'!AG111</f>
        <v>541685.05800000008</v>
      </c>
      <c r="AG55" s="940">
        <f>'Sales Forecast'!AH111</f>
        <v>620685.64599999995</v>
      </c>
      <c r="AH55" s="940">
        <f>'Sales Forecast'!AI111</f>
        <v>676897.45640000002</v>
      </c>
      <c r="AI55" s="940">
        <f>'Sales Forecast'!AJ111</f>
        <v>703046.02399999998</v>
      </c>
      <c r="AJ55" s="940">
        <f>'Sales Forecast'!AK111</f>
        <v>723274.90599999996</v>
      </c>
      <c r="AK55" s="940">
        <f>'Sales Forecast'!AL111</f>
        <v>796548.652</v>
      </c>
      <c r="AL55" s="940">
        <f>'Sales Forecast'!AM111</f>
        <v>848725.21363999997</v>
      </c>
      <c r="AM55" s="941">
        <f>'Sales Forecast'!AN111</f>
        <v>900255.60379999992</v>
      </c>
      <c r="AN55" s="345"/>
      <c r="AO55" s="345"/>
      <c r="AP55" s="345"/>
      <c r="AQ55" s="345"/>
      <c r="AR55" s="345"/>
      <c r="AS55" s="345"/>
      <c r="AT55" s="345"/>
      <c r="AU55" s="345"/>
      <c r="AV55" s="345"/>
      <c r="AW55" s="345"/>
      <c r="AX55" s="345"/>
      <c r="AY55" s="345"/>
      <c r="AZ55" s="345"/>
      <c r="BA55" s="345"/>
      <c r="BB55" s="345"/>
      <c r="BC55" s="345"/>
      <c r="BD55" s="345"/>
      <c r="BE55" s="345"/>
      <c r="BF55" s="345"/>
      <c r="BG55" s="345"/>
      <c r="BH55" s="345"/>
      <c r="BI55" s="345"/>
      <c r="BJ55" s="345"/>
      <c r="BK55" s="345"/>
      <c r="BL55" s="345"/>
      <c r="BM55" s="345"/>
      <c r="BN55" s="345"/>
    </row>
    <row r="56" spans="2:66" s="333" customFormat="1">
      <c r="B56" s="624" t="s">
        <v>10</v>
      </c>
      <c r="D56" s="333">
        <f>-(D55-D57)</f>
        <v>-8974</v>
      </c>
      <c r="E56" s="333">
        <f t="shared" ref="E56:AM56" si="15">-(E55-E57)</f>
        <v>-10856</v>
      </c>
      <c r="F56" s="333">
        <f t="shared" si="15"/>
        <v>-14111.800000000003</v>
      </c>
      <c r="G56" s="333">
        <f t="shared" si="15"/>
        <v>-14323.599999999999</v>
      </c>
      <c r="H56" s="333">
        <f t="shared" si="15"/>
        <v>-17406</v>
      </c>
      <c r="I56" s="333">
        <f t="shared" si="15"/>
        <v>-19303.900000000001</v>
      </c>
      <c r="J56" s="333">
        <f t="shared" si="15"/>
        <v>-21603</v>
      </c>
      <c r="K56" s="333">
        <f t="shared" si="15"/>
        <v>-23154.684999999998</v>
      </c>
      <c r="L56" s="333">
        <f t="shared" si="15"/>
        <v>-24485.5</v>
      </c>
      <c r="M56" s="333">
        <f t="shared" si="15"/>
        <v>-26121.100000000006</v>
      </c>
      <c r="N56" s="333">
        <f t="shared" si="15"/>
        <v>-28993.068000000007</v>
      </c>
      <c r="O56" s="333">
        <f t="shared" si="15"/>
        <v>-32181.205000000002</v>
      </c>
      <c r="P56" s="914">
        <f t="shared" si="15"/>
        <v>-47151.532000000007</v>
      </c>
      <c r="Q56" s="603">
        <f t="shared" si="15"/>
        <v>-61975.778999999995</v>
      </c>
      <c r="R56" s="603">
        <f t="shared" si="15"/>
        <v>-82491.154999999999</v>
      </c>
      <c r="S56" s="603">
        <f t="shared" si="15"/>
        <v>-100392.16</v>
      </c>
      <c r="T56" s="603">
        <f t="shared" si="15"/>
        <v>-107673.33700000001</v>
      </c>
      <c r="U56" s="603">
        <f t="shared" si="15"/>
        <v>-115424.53899999999</v>
      </c>
      <c r="V56" s="603">
        <f t="shared" si="15"/>
        <v>-122249.499</v>
      </c>
      <c r="W56" s="603">
        <f t="shared" si="15"/>
        <v>-125354.7907</v>
      </c>
      <c r="X56" s="603">
        <f t="shared" si="15"/>
        <v>-135602.07900000003</v>
      </c>
      <c r="Y56" s="603">
        <f t="shared" si="15"/>
        <v>-144159.22700000001</v>
      </c>
      <c r="Z56" s="603">
        <f t="shared" si="15"/>
        <v>-152987.26199999999</v>
      </c>
      <c r="AA56" s="915">
        <f t="shared" si="15"/>
        <v>-152197.72979999997</v>
      </c>
      <c r="AB56" s="914">
        <f t="shared" si="15"/>
        <v>-175170.83766000005</v>
      </c>
      <c r="AC56" s="603">
        <f t="shared" si="15"/>
        <v>-189839.54232000001</v>
      </c>
      <c r="AD56" s="603">
        <f t="shared" si="15"/>
        <v>-210696.28576000003</v>
      </c>
      <c r="AE56" s="603">
        <f t="shared" si="15"/>
        <v>-221072.73832</v>
      </c>
      <c r="AF56" s="603">
        <f t="shared" si="15"/>
        <v>-239342.04926000012</v>
      </c>
      <c r="AG56" s="603">
        <f t="shared" si="15"/>
        <v>-264774.78629999992</v>
      </c>
      <c r="AH56" s="603">
        <f t="shared" si="15"/>
        <v>-283440.55002000002</v>
      </c>
      <c r="AI56" s="603">
        <f t="shared" si="15"/>
        <v>-292945.48466699995</v>
      </c>
      <c r="AJ56" s="603">
        <f t="shared" si="15"/>
        <v>-305379.39685999998</v>
      </c>
      <c r="AK56" s="603">
        <f t="shared" si="15"/>
        <v>-329252.43871999998</v>
      </c>
      <c r="AL56" s="603">
        <f t="shared" si="15"/>
        <v>-347878.79150239995</v>
      </c>
      <c r="AM56" s="915">
        <f t="shared" si="15"/>
        <v>-368519.60478299984</v>
      </c>
      <c r="AN56" s="323"/>
      <c r="AO56" s="323"/>
      <c r="AP56" s="323"/>
      <c r="AQ56" s="323"/>
      <c r="AR56" s="323"/>
      <c r="AS56" s="323"/>
      <c r="AT56" s="323"/>
      <c r="AU56" s="323"/>
      <c r="AV56" s="323"/>
      <c r="AW56" s="323"/>
      <c r="AX56" s="323"/>
      <c r="AY56" s="323"/>
      <c r="AZ56" s="323"/>
      <c r="BA56" s="323"/>
      <c r="BB56" s="323"/>
      <c r="BC56" s="323"/>
      <c r="BD56" s="323"/>
      <c r="BE56" s="323"/>
      <c r="BF56" s="323"/>
      <c r="BG56" s="323"/>
      <c r="BH56" s="323"/>
      <c r="BI56" s="323"/>
      <c r="BJ56" s="323"/>
      <c r="BK56" s="323"/>
      <c r="BL56" s="323"/>
      <c r="BM56" s="323"/>
      <c r="BN56" s="323"/>
    </row>
    <row r="57" spans="2:66" s="938" customFormat="1">
      <c r="B57" s="937" t="s">
        <v>11</v>
      </c>
      <c r="D57" s="938">
        <f>'Sales Forecast'!E112</f>
        <v>16798</v>
      </c>
      <c r="E57" s="938">
        <f>'Sales Forecast'!F112</f>
        <v>18702</v>
      </c>
      <c r="F57" s="938">
        <f>'Sales Forecast'!G112</f>
        <v>22158.199999999997</v>
      </c>
      <c r="G57" s="938">
        <f>'Sales Forecast'!H112</f>
        <v>23840.400000000001</v>
      </c>
      <c r="H57" s="938">
        <f>'Sales Forecast'!I112</f>
        <v>27344</v>
      </c>
      <c r="I57" s="938">
        <f>'Sales Forecast'!J112</f>
        <v>30174.1</v>
      </c>
      <c r="J57" s="938">
        <f>'Sales Forecast'!K112</f>
        <v>33639</v>
      </c>
      <c r="K57" s="938">
        <f>'Sales Forecast'!L112</f>
        <v>33574.815000000002</v>
      </c>
      <c r="L57" s="938">
        <f>'Sales Forecast'!M112</f>
        <v>35352.5</v>
      </c>
      <c r="M57" s="938">
        <f>'Sales Forecast'!N112</f>
        <v>38428.899999999994</v>
      </c>
      <c r="N57" s="938">
        <f>'Sales Forecast'!O112</f>
        <v>41117.531999999999</v>
      </c>
      <c r="O57" s="938">
        <f>'Sales Forecast'!P112</f>
        <v>44580.794999999998</v>
      </c>
      <c r="P57" s="939">
        <f>'Sales Forecast'!Q112</f>
        <v>56405.267999999996</v>
      </c>
      <c r="Q57" s="940">
        <f>'Sales Forecast'!R112</f>
        <v>68198.120999999999</v>
      </c>
      <c r="R57" s="940">
        <f>'Sales Forecast'!S112</f>
        <v>83827.845000000001</v>
      </c>
      <c r="S57" s="940">
        <f>'Sales Forecast'!T112</f>
        <v>98247.94</v>
      </c>
      <c r="T57" s="940">
        <f>'Sales Forecast'!U112</f>
        <v>106721.863</v>
      </c>
      <c r="U57" s="940">
        <f>'Sales Forecast'!V112</f>
        <v>116288.761</v>
      </c>
      <c r="V57" s="940">
        <f>'Sales Forecast'!W112</f>
        <v>126055.901</v>
      </c>
      <c r="W57" s="940">
        <f>'Sales Forecast'!X112</f>
        <v>123883.6093</v>
      </c>
      <c r="X57" s="940">
        <f>'Sales Forecast'!Y112</f>
        <v>141689.321</v>
      </c>
      <c r="Y57" s="940">
        <f>'Sales Forecast'!Z112</f>
        <v>154472.27299999999</v>
      </c>
      <c r="Z57" s="940">
        <f>'Sales Forecast'!AA112</f>
        <v>168606.33799999999</v>
      </c>
      <c r="AA57" s="941">
        <f>'Sales Forecast'!AB112</f>
        <v>167708.57020000002</v>
      </c>
      <c r="AB57" s="939">
        <f>'Sales Forecast'!AC112</f>
        <v>196712.22234000001</v>
      </c>
      <c r="AC57" s="940">
        <f>'Sales Forecast'!AD112</f>
        <v>219006.92968</v>
      </c>
      <c r="AD57" s="940">
        <f>'Sales Forecast'!AE112</f>
        <v>259516.74623999998</v>
      </c>
      <c r="AE57" s="940">
        <f>'Sales Forecast'!AF112</f>
        <v>270140.82168000005</v>
      </c>
      <c r="AF57" s="940">
        <f>'Sales Forecast'!AG112</f>
        <v>302343.00873999996</v>
      </c>
      <c r="AG57" s="940">
        <f>'Sales Forecast'!AH112</f>
        <v>355910.85970000003</v>
      </c>
      <c r="AH57" s="940">
        <f>'Sales Forecast'!AI112</f>
        <v>393456.90638</v>
      </c>
      <c r="AI57" s="940">
        <f>'Sales Forecast'!AJ112</f>
        <v>410100.53933300002</v>
      </c>
      <c r="AJ57" s="940">
        <f>'Sales Forecast'!AK112</f>
        <v>417895.50913999998</v>
      </c>
      <c r="AK57" s="940">
        <f>'Sales Forecast'!AL112</f>
        <v>467296.21328000003</v>
      </c>
      <c r="AL57" s="940">
        <f>'Sales Forecast'!AM112</f>
        <v>500846.42213760002</v>
      </c>
      <c r="AM57" s="941">
        <f>'Sales Forecast'!AN112</f>
        <v>531735.99901700008</v>
      </c>
      <c r="AN57" s="345"/>
      <c r="AO57" s="345"/>
      <c r="AP57" s="345"/>
      <c r="AQ57" s="345"/>
      <c r="AR57" s="345"/>
      <c r="AS57" s="345"/>
      <c r="AT57" s="345"/>
      <c r="AU57" s="345"/>
      <c r="AV57" s="345"/>
      <c r="AW57" s="345"/>
      <c r="AX57" s="345"/>
      <c r="AY57" s="345"/>
      <c r="AZ57" s="345"/>
      <c r="BA57" s="345"/>
      <c r="BB57" s="345"/>
      <c r="BC57" s="345"/>
      <c r="BD57" s="345"/>
      <c r="BE57" s="345"/>
      <c r="BF57" s="345"/>
      <c r="BG57" s="345"/>
      <c r="BH57" s="345"/>
      <c r="BI57" s="345"/>
      <c r="BJ57" s="345"/>
      <c r="BK57" s="345"/>
      <c r="BL57" s="345"/>
      <c r="BM57" s="345"/>
      <c r="BN57" s="345"/>
    </row>
    <row r="58" spans="2:66" s="625" customFormat="1">
      <c r="B58" s="626"/>
      <c r="D58" s="625">
        <f t="shared" ref="D58:AA58" si="16">D57/D55</f>
        <v>0.65179264317864349</v>
      </c>
      <c r="E58" s="625">
        <f t="shared" si="16"/>
        <v>0.6327221056905068</v>
      </c>
      <c r="F58" s="625">
        <f t="shared" si="16"/>
        <v>0.61092362834298308</v>
      </c>
      <c r="G58" s="625">
        <f t="shared" si="16"/>
        <v>0.62468294728015938</v>
      </c>
      <c r="H58" s="625">
        <f t="shared" si="16"/>
        <v>0.61103910614525137</v>
      </c>
      <c r="I58" s="625">
        <f t="shared" si="16"/>
        <v>0.60984882169853261</v>
      </c>
      <c r="J58" s="625">
        <f t="shared" si="16"/>
        <v>0.60893885087433475</v>
      </c>
      <c r="K58" s="625">
        <f t="shared" si="16"/>
        <v>0.59184048863466099</v>
      </c>
      <c r="L58" s="625">
        <f t="shared" si="16"/>
        <v>0.59080350279086868</v>
      </c>
      <c r="M58" s="625">
        <f t="shared" si="16"/>
        <v>0.59533539891556919</v>
      </c>
      <c r="N58" s="625">
        <f t="shared" si="16"/>
        <v>0.58646669690460496</v>
      </c>
      <c r="O58" s="625">
        <f t="shared" si="16"/>
        <v>0.58076645996717124</v>
      </c>
      <c r="P58" s="916">
        <f t="shared" si="16"/>
        <v>0.54467951887273458</v>
      </c>
      <c r="Q58" s="917">
        <f t="shared" si="16"/>
        <v>0.52390011361724587</v>
      </c>
      <c r="R58" s="917">
        <f t="shared" si="16"/>
        <v>0.50401845249189814</v>
      </c>
      <c r="S58" s="917">
        <f t="shared" si="16"/>
        <v>0.49460275140820004</v>
      </c>
      <c r="T58" s="917">
        <f t="shared" si="16"/>
        <v>0.49778102774688981</v>
      </c>
      <c r="U58" s="917">
        <f t="shared" si="16"/>
        <v>0.50186485195282271</v>
      </c>
      <c r="V58" s="917">
        <f t="shared" si="16"/>
        <v>0.5076647588010571</v>
      </c>
      <c r="W58" s="917">
        <f t="shared" si="16"/>
        <v>0.49704864619577077</v>
      </c>
      <c r="X58" s="917">
        <f t="shared" si="16"/>
        <v>0.51097625458272411</v>
      </c>
      <c r="Y58" s="917">
        <f t="shared" si="16"/>
        <v>0.51726717710623293</v>
      </c>
      <c r="Z58" s="917">
        <f t="shared" si="16"/>
        <v>0.52428387256462816</v>
      </c>
      <c r="AA58" s="918">
        <f t="shared" si="16"/>
        <v>0.52424278671598534</v>
      </c>
      <c r="AB58" s="916">
        <f t="shared" ref="AB58:AM58" si="17">AB57/AB55</f>
        <v>0.52896257855896955</v>
      </c>
      <c r="AC58" s="917">
        <f t="shared" si="17"/>
        <v>0.53567034248494139</v>
      </c>
      <c r="AD58" s="917">
        <f t="shared" si="17"/>
        <v>0.55191312996191044</v>
      </c>
      <c r="AE58" s="917">
        <f t="shared" si="17"/>
        <v>0.54994577446111226</v>
      </c>
      <c r="AF58" s="917">
        <f t="shared" si="17"/>
        <v>0.55815275735370184</v>
      </c>
      <c r="AG58" s="917">
        <f t="shared" si="17"/>
        <v>0.573415644446851</v>
      </c>
      <c r="AH58" s="917">
        <f t="shared" si="17"/>
        <v>0.58126515716657368</v>
      </c>
      <c r="AI58" s="917">
        <f t="shared" si="17"/>
        <v>0.58331961967400303</v>
      </c>
      <c r="AJ58" s="917">
        <f t="shared" si="17"/>
        <v>0.5777823973613706</v>
      </c>
      <c r="AK58" s="917">
        <f t="shared" si="17"/>
        <v>0.58665118835704211</v>
      </c>
      <c r="AL58" s="917">
        <f t="shared" si="17"/>
        <v>0.59011611071335723</v>
      </c>
      <c r="AM58" s="918">
        <f t="shared" si="17"/>
        <v>0.59065002958329837</v>
      </c>
      <c r="AN58" s="967"/>
      <c r="AO58" s="967"/>
      <c r="AP58" s="967"/>
      <c r="AQ58" s="967"/>
      <c r="AR58" s="967"/>
      <c r="AS58" s="967"/>
      <c r="AT58" s="967"/>
      <c r="AU58" s="967"/>
      <c r="AV58" s="967"/>
      <c r="AW58" s="967"/>
      <c r="AX58" s="967"/>
      <c r="AY58" s="967"/>
      <c r="AZ58" s="967"/>
      <c r="BA58" s="967"/>
      <c r="BB58" s="967"/>
      <c r="BC58" s="967"/>
      <c r="BD58" s="967"/>
      <c r="BE58" s="967"/>
      <c r="BF58" s="967"/>
      <c r="BG58" s="967"/>
      <c r="BH58" s="967"/>
      <c r="BI58" s="967"/>
      <c r="BJ58" s="967"/>
      <c r="BK58" s="967"/>
      <c r="BL58" s="967"/>
      <c r="BM58" s="967"/>
      <c r="BN58" s="967"/>
    </row>
    <row r="59" spans="2:66" s="333" customFormat="1">
      <c r="B59" s="628" t="s">
        <v>248</v>
      </c>
      <c r="O59" s="603"/>
      <c r="P59" s="924"/>
      <c r="Q59" s="598"/>
      <c r="R59" s="598"/>
      <c r="S59" s="598"/>
      <c r="T59" s="598"/>
      <c r="U59" s="598"/>
      <c r="V59" s="598"/>
      <c r="W59" s="598"/>
      <c r="X59" s="598"/>
      <c r="Y59" s="598"/>
      <c r="Z59" s="598"/>
      <c r="AA59" s="925"/>
      <c r="AB59" s="924"/>
      <c r="AC59" s="603"/>
      <c r="AD59" s="603"/>
      <c r="AE59" s="603"/>
      <c r="AF59" s="603"/>
      <c r="AG59" s="603"/>
      <c r="AH59" s="603"/>
      <c r="AI59" s="603"/>
      <c r="AJ59" s="603"/>
      <c r="AK59" s="603"/>
      <c r="AL59" s="603"/>
      <c r="AM59" s="915"/>
      <c r="AN59" s="323"/>
      <c r="AO59" s="323"/>
      <c r="AP59" s="323"/>
      <c r="AQ59" s="323"/>
      <c r="AR59" s="323"/>
      <c r="AS59" s="323"/>
      <c r="AT59" s="323"/>
      <c r="AU59" s="323"/>
      <c r="AV59" s="323"/>
      <c r="AW59" s="323"/>
      <c r="AX59" s="323"/>
      <c r="AY59" s="323"/>
      <c r="AZ59" s="323"/>
      <c r="BA59" s="323"/>
      <c r="BB59" s="323"/>
      <c r="BC59" s="323"/>
      <c r="BD59" s="323"/>
      <c r="BE59" s="323"/>
      <c r="BF59" s="323"/>
      <c r="BG59" s="323"/>
      <c r="BH59" s="323"/>
      <c r="BI59" s="323"/>
      <c r="BJ59" s="323"/>
      <c r="BK59" s="323"/>
      <c r="BL59" s="323"/>
      <c r="BM59" s="323"/>
      <c r="BN59" s="323"/>
    </row>
    <row r="60" spans="2:66" s="333" customFormat="1">
      <c r="B60" s="624" t="str">
        <f>B9</f>
        <v>Total Salaries</v>
      </c>
      <c r="D60" s="333">
        <f>-$C12/12</f>
        <v>-24768.333333333332</v>
      </c>
      <c r="E60" s="333">
        <f t="shared" ref="E60:O60" si="18">-$C12/12</f>
        <v>-24768.333333333332</v>
      </c>
      <c r="F60" s="333">
        <f t="shared" si="18"/>
        <v>-24768.333333333332</v>
      </c>
      <c r="G60" s="333">
        <f t="shared" si="18"/>
        <v>-24768.333333333332</v>
      </c>
      <c r="H60" s="333">
        <f t="shared" si="18"/>
        <v>-24768.333333333332</v>
      </c>
      <c r="I60" s="333">
        <f t="shared" si="18"/>
        <v>-24768.333333333332</v>
      </c>
      <c r="J60" s="333">
        <f t="shared" si="18"/>
        <v>-24768.333333333332</v>
      </c>
      <c r="K60" s="333">
        <f t="shared" si="18"/>
        <v>-24768.333333333332</v>
      </c>
      <c r="L60" s="333">
        <f t="shared" si="18"/>
        <v>-24768.333333333332</v>
      </c>
      <c r="M60" s="333">
        <f t="shared" si="18"/>
        <v>-24768.333333333332</v>
      </c>
      <c r="N60" s="333">
        <f t="shared" si="18"/>
        <v>-24768.333333333332</v>
      </c>
      <c r="O60" s="333">
        <f t="shared" si="18"/>
        <v>-24768.333333333332</v>
      </c>
      <c r="P60" s="914">
        <f>-$D12/12</f>
        <v>-27766.666666666668</v>
      </c>
      <c r="Q60" s="603">
        <f t="shared" ref="Q60:AA60" si="19">-$D12/12</f>
        <v>-27766.666666666668</v>
      </c>
      <c r="R60" s="603">
        <f t="shared" si="19"/>
        <v>-27766.666666666668</v>
      </c>
      <c r="S60" s="603">
        <f t="shared" si="19"/>
        <v>-27766.666666666668</v>
      </c>
      <c r="T60" s="603">
        <f t="shared" si="19"/>
        <v>-27766.666666666668</v>
      </c>
      <c r="U60" s="603">
        <f t="shared" si="19"/>
        <v>-27766.666666666668</v>
      </c>
      <c r="V60" s="603">
        <f t="shared" si="19"/>
        <v>-27766.666666666668</v>
      </c>
      <c r="W60" s="603">
        <f t="shared" si="19"/>
        <v>-27766.666666666668</v>
      </c>
      <c r="X60" s="603">
        <f t="shared" si="19"/>
        <v>-27766.666666666668</v>
      </c>
      <c r="Y60" s="603">
        <f t="shared" si="19"/>
        <v>-27766.666666666668</v>
      </c>
      <c r="Z60" s="603">
        <f t="shared" si="19"/>
        <v>-27766.666666666668</v>
      </c>
      <c r="AA60" s="915">
        <f t="shared" si="19"/>
        <v>-27766.666666666668</v>
      </c>
      <c r="AB60" s="914">
        <f>-$E12/12</f>
        <v>-81861.666666666672</v>
      </c>
      <c r="AC60" s="603">
        <f t="shared" ref="AC60:AM60" si="20">-$E12/12</f>
        <v>-81861.666666666672</v>
      </c>
      <c r="AD60" s="603">
        <f t="shared" si="20"/>
        <v>-81861.666666666672</v>
      </c>
      <c r="AE60" s="603">
        <f t="shared" si="20"/>
        <v>-81861.666666666672</v>
      </c>
      <c r="AF60" s="603">
        <f t="shared" si="20"/>
        <v>-81861.666666666672</v>
      </c>
      <c r="AG60" s="603">
        <f t="shared" si="20"/>
        <v>-81861.666666666672</v>
      </c>
      <c r="AH60" s="603">
        <f t="shared" si="20"/>
        <v>-81861.666666666672</v>
      </c>
      <c r="AI60" s="603">
        <f t="shared" si="20"/>
        <v>-81861.666666666672</v>
      </c>
      <c r="AJ60" s="603">
        <f t="shared" si="20"/>
        <v>-81861.666666666672</v>
      </c>
      <c r="AK60" s="603">
        <f t="shared" si="20"/>
        <v>-81861.666666666672</v>
      </c>
      <c r="AL60" s="603">
        <f t="shared" si="20"/>
        <v>-81861.666666666672</v>
      </c>
      <c r="AM60" s="915">
        <f t="shared" si="20"/>
        <v>-81861.666666666672</v>
      </c>
      <c r="AN60" s="323"/>
      <c r="AO60" s="323"/>
      <c r="AP60" s="323"/>
      <c r="AQ60" s="323"/>
      <c r="AR60" s="323"/>
      <c r="AS60" s="323"/>
      <c r="AT60" s="323"/>
      <c r="AU60" s="323"/>
      <c r="AV60" s="323"/>
      <c r="AW60" s="323"/>
      <c r="AX60" s="323"/>
      <c r="AY60" s="323"/>
      <c r="AZ60" s="323"/>
      <c r="BA60" s="323"/>
      <c r="BB60" s="323"/>
      <c r="BC60" s="323"/>
      <c r="BD60" s="323"/>
      <c r="BE60" s="323"/>
      <c r="BF60" s="323"/>
      <c r="BG60" s="323"/>
      <c r="BH60" s="323"/>
      <c r="BI60" s="323"/>
      <c r="BJ60" s="323"/>
      <c r="BK60" s="323"/>
      <c r="BL60" s="323"/>
      <c r="BM60" s="323"/>
      <c r="BN60" s="323"/>
    </row>
    <row r="61" spans="2:66" s="333" customFormat="1">
      <c r="B61" s="624" t="str">
        <f>B21</f>
        <v>Work Space Rent</v>
      </c>
      <c r="D61" s="333">
        <f>-$C24/12</f>
        <v>-2500</v>
      </c>
      <c r="E61" s="333">
        <f t="shared" ref="E61:N61" si="21">-$C24/12</f>
        <v>-2500</v>
      </c>
      <c r="F61" s="333">
        <f t="shared" si="21"/>
        <v>-2500</v>
      </c>
      <c r="G61" s="333">
        <f t="shared" si="21"/>
        <v>-2500</v>
      </c>
      <c r="H61" s="333">
        <f t="shared" si="21"/>
        <v>-2500</v>
      </c>
      <c r="I61" s="333">
        <f t="shared" si="21"/>
        <v>-2500</v>
      </c>
      <c r="J61" s="333">
        <f t="shared" si="21"/>
        <v>-2500</v>
      </c>
      <c r="K61" s="333">
        <f t="shared" si="21"/>
        <v>-2500</v>
      </c>
      <c r="L61" s="333">
        <f t="shared" si="21"/>
        <v>-2500</v>
      </c>
      <c r="M61" s="333">
        <f t="shared" si="21"/>
        <v>-2500</v>
      </c>
      <c r="N61" s="333">
        <f t="shared" si="21"/>
        <v>-2500</v>
      </c>
      <c r="O61" s="333">
        <f>-$D24/12</f>
        <v>-2500</v>
      </c>
      <c r="P61" s="914">
        <f>-$D24/12</f>
        <v>-2500</v>
      </c>
      <c r="Q61" s="603">
        <f t="shared" ref="Q61:AA61" si="22">-$D24/12</f>
        <v>-2500</v>
      </c>
      <c r="R61" s="603">
        <f t="shared" si="22"/>
        <v>-2500</v>
      </c>
      <c r="S61" s="603">
        <f t="shared" si="22"/>
        <v>-2500</v>
      </c>
      <c r="T61" s="603">
        <f t="shared" si="22"/>
        <v>-2500</v>
      </c>
      <c r="U61" s="603">
        <f t="shared" si="22"/>
        <v>-2500</v>
      </c>
      <c r="V61" s="603">
        <f t="shared" si="22"/>
        <v>-2500</v>
      </c>
      <c r="W61" s="603">
        <f t="shared" si="22"/>
        <v>-2500</v>
      </c>
      <c r="X61" s="603">
        <f t="shared" si="22"/>
        <v>-2500</v>
      </c>
      <c r="Y61" s="603">
        <f t="shared" si="22"/>
        <v>-2500</v>
      </c>
      <c r="Z61" s="603">
        <f t="shared" si="22"/>
        <v>-2500</v>
      </c>
      <c r="AA61" s="915">
        <f t="shared" si="22"/>
        <v>-2500</v>
      </c>
      <c r="AB61" s="914">
        <f>-$E24/12</f>
        <v>-2775</v>
      </c>
      <c r="AC61" s="603">
        <f t="shared" ref="AC61:AM61" si="23">-$E24/12</f>
        <v>-2775</v>
      </c>
      <c r="AD61" s="603">
        <f t="shared" si="23"/>
        <v>-2775</v>
      </c>
      <c r="AE61" s="603">
        <f t="shared" si="23"/>
        <v>-2775</v>
      </c>
      <c r="AF61" s="603">
        <f t="shared" si="23"/>
        <v>-2775</v>
      </c>
      <c r="AG61" s="603">
        <f t="shared" si="23"/>
        <v>-2775</v>
      </c>
      <c r="AH61" s="603">
        <f t="shared" si="23"/>
        <v>-2775</v>
      </c>
      <c r="AI61" s="603">
        <f t="shared" si="23"/>
        <v>-2775</v>
      </c>
      <c r="AJ61" s="603">
        <f t="shared" si="23"/>
        <v>-2775</v>
      </c>
      <c r="AK61" s="603">
        <f t="shared" si="23"/>
        <v>-2775</v>
      </c>
      <c r="AL61" s="603">
        <f t="shared" si="23"/>
        <v>-2775</v>
      </c>
      <c r="AM61" s="915">
        <f t="shared" si="23"/>
        <v>-2775</v>
      </c>
      <c r="AN61" s="323"/>
      <c r="AO61" s="323"/>
      <c r="AP61" s="323"/>
      <c r="AQ61" s="323"/>
      <c r="AR61" s="323"/>
      <c r="AS61" s="323"/>
      <c r="AT61" s="323"/>
      <c r="AU61" s="323"/>
      <c r="AV61" s="323"/>
      <c r="AW61" s="323"/>
      <c r="AX61" s="323"/>
      <c r="AY61" s="323"/>
      <c r="AZ61" s="323"/>
      <c r="BA61" s="323"/>
      <c r="BB61" s="323"/>
      <c r="BC61" s="323"/>
      <c r="BD61" s="323"/>
      <c r="BE61" s="323"/>
      <c r="BF61" s="323"/>
      <c r="BG61" s="323"/>
      <c r="BH61" s="323"/>
      <c r="BI61" s="323"/>
      <c r="BJ61" s="323"/>
      <c r="BK61" s="323"/>
      <c r="BL61" s="323"/>
      <c r="BM61" s="323"/>
      <c r="BN61" s="323"/>
    </row>
    <row r="62" spans="2:66" s="333" customFormat="1">
      <c r="B62" s="624" t="str">
        <f>B33</f>
        <v>Marketing</v>
      </c>
      <c r="D62" s="333">
        <f>-$C36/12</f>
        <v>-191.66666666666666</v>
      </c>
      <c r="E62" s="333">
        <f t="shared" ref="E62:O62" si="24">-$C36/12</f>
        <v>-191.66666666666666</v>
      </c>
      <c r="F62" s="333">
        <f t="shared" si="24"/>
        <v>-191.66666666666666</v>
      </c>
      <c r="G62" s="333">
        <f t="shared" si="24"/>
        <v>-191.66666666666666</v>
      </c>
      <c r="H62" s="333">
        <f t="shared" si="24"/>
        <v>-191.66666666666666</v>
      </c>
      <c r="I62" s="333">
        <f t="shared" si="24"/>
        <v>-191.66666666666666</v>
      </c>
      <c r="J62" s="333">
        <f t="shared" si="24"/>
        <v>-191.66666666666666</v>
      </c>
      <c r="K62" s="333">
        <f t="shared" si="24"/>
        <v>-191.66666666666666</v>
      </c>
      <c r="L62" s="333">
        <f t="shared" si="24"/>
        <v>-191.66666666666666</v>
      </c>
      <c r="M62" s="333">
        <f t="shared" si="24"/>
        <v>-191.66666666666666</v>
      </c>
      <c r="N62" s="333">
        <f t="shared" si="24"/>
        <v>-191.66666666666666</v>
      </c>
      <c r="O62" s="333">
        <f t="shared" si="24"/>
        <v>-191.66666666666666</v>
      </c>
      <c r="P62" s="914">
        <f>-$D36/12</f>
        <v>-191.66666666666666</v>
      </c>
      <c r="Q62" s="603">
        <f t="shared" ref="Q62:AA62" si="25">-$D36/12</f>
        <v>-191.66666666666666</v>
      </c>
      <c r="R62" s="603">
        <f t="shared" si="25"/>
        <v>-191.66666666666666</v>
      </c>
      <c r="S62" s="603">
        <f t="shared" si="25"/>
        <v>-191.66666666666666</v>
      </c>
      <c r="T62" s="603">
        <f t="shared" si="25"/>
        <v>-191.66666666666666</v>
      </c>
      <c r="U62" s="603">
        <f t="shared" si="25"/>
        <v>-191.66666666666666</v>
      </c>
      <c r="V62" s="603">
        <f t="shared" si="25"/>
        <v>-191.66666666666666</v>
      </c>
      <c r="W62" s="603">
        <f t="shared" si="25"/>
        <v>-191.66666666666666</v>
      </c>
      <c r="X62" s="603">
        <f t="shared" si="25"/>
        <v>-191.66666666666666</v>
      </c>
      <c r="Y62" s="603">
        <f t="shared" si="25"/>
        <v>-191.66666666666666</v>
      </c>
      <c r="Z62" s="603">
        <f t="shared" si="25"/>
        <v>-191.66666666666666</v>
      </c>
      <c r="AA62" s="915">
        <f t="shared" si="25"/>
        <v>-191.66666666666666</v>
      </c>
      <c r="AB62" s="914">
        <f>-$E36/12</f>
        <v>-250</v>
      </c>
      <c r="AC62" s="603">
        <f t="shared" ref="AC62:AM62" si="26">-$E36/12</f>
        <v>-250</v>
      </c>
      <c r="AD62" s="603">
        <f t="shared" si="26"/>
        <v>-250</v>
      </c>
      <c r="AE62" s="603">
        <f t="shared" si="26"/>
        <v>-250</v>
      </c>
      <c r="AF62" s="603">
        <f t="shared" si="26"/>
        <v>-250</v>
      </c>
      <c r="AG62" s="603">
        <f t="shared" si="26"/>
        <v>-250</v>
      </c>
      <c r="AH62" s="603">
        <f t="shared" si="26"/>
        <v>-250</v>
      </c>
      <c r="AI62" s="603">
        <f t="shared" si="26"/>
        <v>-250</v>
      </c>
      <c r="AJ62" s="603">
        <f t="shared" si="26"/>
        <v>-250</v>
      </c>
      <c r="AK62" s="603">
        <f t="shared" si="26"/>
        <v>-250</v>
      </c>
      <c r="AL62" s="603">
        <f t="shared" si="26"/>
        <v>-250</v>
      </c>
      <c r="AM62" s="915">
        <f t="shared" si="26"/>
        <v>-250</v>
      </c>
      <c r="AN62" s="323"/>
      <c r="AO62" s="323"/>
      <c r="AP62" s="323"/>
      <c r="AQ62" s="323"/>
      <c r="AR62" s="323"/>
      <c r="AS62" s="323"/>
      <c r="AT62" s="323"/>
      <c r="AU62" s="323"/>
      <c r="AV62" s="323"/>
      <c r="AW62" s="323"/>
      <c r="AX62" s="323"/>
      <c r="AY62" s="323"/>
      <c r="AZ62" s="323"/>
      <c r="BA62" s="323"/>
      <c r="BB62" s="323"/>
      <c r="BC62" s="323"/>
      <c r="BD62" s="323"/>
      <c r="BE62" s="323"/>
      <c r="BF62" s="323"/>
      <c r="BG62" s="323"/>
      <c r="BH62" s="323"/>
      <c r="BI62" s="323"/>
      <c r="BJ62" s="323"/>
      <c r="BK62" s="323"/>
      <c r="BL62" s="323"/>
      <c r="BM62" s="323"/>
      <c r="BN62" s="323"/>
    </row>
    <row r="63" spans="2:66" s="333" customFormat="1">
      <c r="B63" s="624" t="str">
        <f>B25</f>
        <v>Utilities</v>
      </c>
      <c r="C63" s="629"/>
      <c r="D63" s="333">
        <f>-$C28/12</f>
        <v>-1508.3333333333333</v>
      </c>
      <c r="E63" s="333">
        <f t="shared" ref="E63:O63" si="27">-$C28/12</f>
        <v>-1508.3333333333333</v>
      </c>
      <c r="F63" s="333">
        <f t="shared" si="27"/>
        <v>-1508.3333333333333</v>
      </c>
      <c r="G63" s="333">
        <f t="shared" si="27"/>
        <v>-1508.3333333333333</v>
      </c>
      <c r="H63" s="333">
        <f t="shared" si="27"/>
        <v>-1508.3333333333333</v>
      </c>
      <c r="I63" s="333">
        <f t="shared" si="27"/>
        <v>-1508.3333333333333</v>
      </c>
      <c r="J63" s="333">
        <f t="shared" si="27"/>
        <v>-1508.3333333333333</v>
      </c>
      <c r="K63" s="333">
        <f t="shared" si="27"/>
        <v>-1508.3333333333333</v>
      </c>
      <c r="L63" s="333">
        <f t="shared" si="27"/>
        <v>-1508.3333333333333</v>
      </c>
      <c r="M63" s="333">
        <f t="shared" si="27"/>
        <v>-1508.3333333333333</v>
      </c>
      <c r="N63" s="333">
        <f t="shared" si="27"/>
        <v>-1508.3333333333333</v>
      </c>
      <c r="O63" s="333">
        <f t="shared" si="27"/>
        <v>-1508.3333333333333</v>
      </c>
      <c r="P63" s="914">
        <f>-$D28/12</f>
        <v>-1808.3333333333333</v>
      </c>
      <c r="Q63" s="603">
        <f t="shared" ref="Q63:Z63" si="28">-$D28/12</f>
        <v>-1808.3333333333333</v>
      </c>
      <c r="R63" s="603">
        <f t="shared" si="28"/>
        <v>-1808.3333333333333</v>
      </c>
      <c r="S63" s="603">
        <f t="shared" si="28"/>
        <v>-1808.3333333333333</v>
      </c>
      <c r="T63" s="603">
        <f t="shared" si="28"/>
        <v>-1808.3333333333333</v>
      </c>
      <c r="U63" s="603">
        <f t="shared" si="28"/>
        <v>-1808.3333333333333</v>
      </c>
      <c r="V63" s="603">
        <f t="shared" si="28"/>
        <v>-1808.3333333333333</v>
      </c>
      <c r="W63" s="603">
        <f t="shared" si="28"/>
        <v>-1808.3333333333333</v>
      </c>
      <c r="X63" s="603">
        <f t="shared" si="28"/>
        <v>-1808.3333333333333</v>
      </c>
      <c r="Y63" s="603">
        <f t="shared" si="28"/>
        <v>-1808.3333333333333</v>
      </c>
      <c r="Z63" s="603">
        <f t="shared" si="28"/>
        <v>-1808.3333333333333</v>
      </c>
      <c r="AA63" s="915">
        <f>-$D28/12</f>
        <v>-1808.3333333333333</v>
      </c>
      <c r="AB63" s="914">
        <f>-$E28/12</f>
        <v>-2230</v>
      </c>
      <c r="AC63" s="603">
        <f t="shared" ref="AC63:AM63" si="29">-$E28/12</f>
        <v>-2230</v>
      </c>
      <c r="AD63" s="603">
        <f t="shared" si="29"/>
        <v>-2230</v>
      </c>
      <c r="AE63" s="603">
        <f t="shared" si="29"/>
        <v>-2230</v>
      </c>
      <c r="AF63" s="603">
        <f t="shared" si="29"/>
        <v>-2230</v>
      </c>
      <c r="AG63" s="603">
        <f t="shared" si="29"/>
        <v>-2230</v>
      </c>
      <c r="AH63" s="603">
        <f t="shared" si="29"/>
        <v>-2230</v>
      </c>
      <c r="AI63" s="603">
        <f t="shared" si="29"/>
        <v>-2230</v>
      </c>
      <c r="AJ63" s="603">
        <f t="shared" si="29"/>
        <v>-2230</v>
      </c>
      <c r="AK63" s="603">
        <f t="shared" si="29"/>
        <v>-2230</v>
      </c>
      <c r="AL63" s="603">
        <f t="shared" si="29"/>
        <v>-2230</v>
      </c>
      <c r="AM63" s="915">
        <f t="shared" si="29"/>
        <v>-2230</v>
      </c>
      <c r="AN63" s="323"/>
      <c r="AO63" s="323"/>
      <c r="AP63" s="323"/>
      <c r="AQ63" s="323"/>
      <c r="AR63" s="323"/>
      <c r="AS63" s="323"/>
      <c r="AT63" s="323"/>
      <c r="AU63" s="323"/>
      <c r="AV63" s="323"/>
      <c r="AW63" s="323"/>
      <c r="AX63" s="323"/>
      <c r="AY63" s="323"/>
      <c r="AZ63" s="323"/>
      <c r="BA63" s="323"/>
      <c r="BB63" s="323"/>
      <c r="BC63" s="323"/>
      <c r="BD63" s="323"/>
      <c r="BE63" s="323"/>
      <c r="BF63" s="323"/>
      <c r="BG63" s="323"/>
      <c r="BH63" s="323"/>
      <c r="BI63" s="323"/>
      <c r="BJ63" s="323"/>
      <c r="BK63" s="323"/>
      <c r="BL63" s="323"/>
      <c r="BM63" s="323"/>
      <c r="BN63" s="323"/>
    </row>
    <row r="64" spans="2:66" s="333" customFormat="1">
      <c r="B64" s="624" t="str">
        <f>B13</f>
        <v>Software Subscriptions</v>
      </c>
      <c r="D64" s="333">
        <f t="shared" ref="D64:O64" si="30">-$C16/12</f>
        <v>-262.5</v>
      </c>
      <c r="E64" s="333">
        <f t="shared" si="30"/>
        <v>-262.5</v>
      </c>
      <c r="F64" s="333">
        <f t="shared" si="30"/>
        <v>-262.5</v>
      </c>
      <c r="G64" s="333">
        <f t="shared" si="30"/>
        <v>-262.5</v>
      </c>
      <c r="H64" s="333">
        <f t="shared" si="30"/>
        <v>-262.5</v>
      </c>
      <c r="I64" s="333">
        <f t="shared" si="30"/>
        <v>-262.5</v>
      </c>
      <c r="J64" s="333">
        <f t="shared" si="30"/>
        <v>-262.5</v>
      </c>
      <c r="K64" s="333">
        <f t="shared" si="30"/>
        <v>-262.5</v>
      </c>
      <c r="L64" s="333">
        <f t="shared" si="30"/>
        <v>-262.5</v>
      </c>
      <c r="M64" s="333">
        <f t="shared" si="30"/>
        <v>-262.5</v>
      </c>
      <c r="N64" s="333">
        <f t="shared" si="30"/>
        <v>-262.5</v>
      </c>
      <c r="O64" s="333">
        <f t="shared" si="30"/>
        <v>-262.5</v>
      </c>
      <c r="P64" s="914">
        <f t="shared" ref="P64:AA64" si="31">-$D16/12</f>
        <v>-262.5</v>
      </c>
      <c r="Q64" s="603">
        <f t="shared" si="31"/>
        <v>-262.5</v>
      </c>
      <c r="R64" s="603">
        <f t="shared" si="31"/>
        <v>-262.5</v>
      </c>
      <c r="S64" s="603">
        <f t="shared" si="31"/>
        <v>-262.5</v>
      </c>
      <c r="T64" s="603">
        <f t="shared" si="31"/>
        <v>-262.5</v>
      </c>
      <c r="U64" s="603">
        <f t="shared" si="31"/>
        <v>-262.5</v>
      </c>
      <c r="V64" s="603">
        <f t="shared" si="31"/>
        <v>-262.5</v>
      </c>
      <c r="W64" s="603">
        <f t="shared" si="31"/>
        <v>-262.5</v>
      </c>
      <c r="X64" s="603">
        <f t="shared" si="31"/>
        <v>-262.5</v>
      </c>
      <c r="Y64" s="603">
        <f t="shared" si="31"/>
        <v>-262.5</v>
      </c>
      <c r="Z64" s="603">
        <f t="shared" si="31"/>
        <v>-262.5</v>
      </c>
      <c r="AA64" s="915">
        <f t="shared" si="31"/>
        <v>-262.5</v>
      </c>
      <c r="AB64" s="914">
        <f t="shared" ref="AB64:AM64" si="32">-$E16/12</f>
        <v>-525</v>
      </c>
      <c r="AC64" s="603">
        <f t="shared" si="32"/>
        <v>-525</v>
      </c>
      <c r="AD64" s="603">
        <f t="shared" si="32"/>
        <v>-525</v>
      </c>
      <c r="AE64" s="603">
        <f t="shared" si="32"/>
        <v>-525</v>
      </c>
      <c r="AF64" s="603">
        <f t="shared" si="32"/>
        <v>-525</v>
      </c>
      <c r="AG64" s="603">
        <f t="shared" si="32"/>
        <v>-525</v>
      </c>
      <c r="AH64" s="603">
        <f t="shared" si="32"/>
        <v>-525</v>
      </c>
      <c r="AI64" s="603">
        <f t="shared" si="32"/>
        <v>-525</v>
      </c>
      <c r="AJ64" s="603">
        <f t="shared" si="32"/>
        <v>-525</v>
      </c>
      <c r="AK64" s="603">
        <f t="shared" si="32"/>
        <v>-525</v>
      </c>
      <c r="AL64" s="603">
        <f t="shared" si="32"/>
        <v>-525</v>
      </c>
      <c r="AM64" s="915">
        <f t="shared" si="32"/>
        <v>-525</v>
      </c>
      <c r="AN64" s="323"/>
      <c r="AO64" s="323"/>
      <c r="AP64" s="323"/>
      <c r="AQ64" s="323"/>
      <c r="AR64" s="323"/>
      <c r="AS64" s="323"/>
      <c r="AT64" s="323"/>
      <c r="AU64" s="323"/>
      <c r="AV64" s="323"/>
      <c r="AW64" s="323"/>
      <c r="AX64" s="323"/>
      <c r="AY64" s="323"/>
      <c r="AZ64" s="323"/>
      <c r="BA64" s="323"/>
      <c r="BB64" s="323"/>
      <c r="BC64" s="323"/>
      <c r="BD64" s="323"/>
      <c r="BE64" s="323"/>
      <c r="BF64" s="323"/>
      <c r="BG64" s="323"/>
      <c r="BH64" s="323"/>
      <c r="BI64" s="323"/>
      <c r="BJ64" s="323"/>
      <c r="BK64" s="323"/>
      <c r="BL64" s="323"/>
      <c r="BM64" s="323"/>
      <c r="BN64" s="323"/>
    </row>
    <row r="65" spans="1:66" s="333" customFormat="1">
      <c r="B65" s="624" t="str">
        <f>B17</f>
        <v>Research and Development</v>
      </c>
      <c r="D65" s="333">
        <f t="shared" ref="D65:O65" si="33">-$C20/12</f>
        <v>-716.66666666666663</v>
      </c>
      <c r="E65" s="333">
        <f t="shared" si="33"/>
        <v>-716.66666666666663</v>
      </c>
      <c r="F65" s="333">
        <f t="shared" si="33"/>
        <v>-716.66666666666663</v>
      </c>
      <c r="G65" s="333">
        <f t="shared" si="33"/>
        <v>-716.66666666666663</v>
      </c>
      <c r="H65" s="333">
        <f t="shared" si="33"/>
        <v>-716.66666666666663</v>
      </c>
      <c r="I65" s="333">
        <f t="shared" si="33"/>
        <v>-716.66666666666663</v>
      </c>
      <c r="J65" s="333">
        <f t="shared" si="33"/>
        <v>-716.66666666666663</v>
      </c>
      <c r="K65" s="333">
        <f t="shared" si="33"/>
        <v>-716.66666666666663</v>
      </c>
      <c r="L65" s="333">
        <f t="shared" si="33"/>
        <v>-716.66666666666663</v>
      </c>
      <c r="M65" s="333">
        <f t="shared" si="33"/>
        <v>-716.66666666666663</v>
      </c>
      <c r="N65" s="333">
        <f t="shared" si="33"/>
        <v>-716.66666666666663</v>
      </c>
      <c r="O65" s="333">
        <f t="shared" si="33"/>
        <v>-716.66666666666663</v>
      </c>
      <c r="P65" s="914">
        <f t="shared" ref="P65:AA65" si="34">-$D20/12</f>
        <v>-300</v>
      </c>
      <c r="Q65" s="603">
        <f t="shared" si="34"/>
        <v>-300</v>
      </c>
      <c r="R65" s="603">
        <f t="shared" si="34"/>
        <v>-300</v>
      </c>
      <c r="S65" s="603">
        <f t="shared" si="34"/>
        <v>-300</v>
      </c>
      <c r="T65" s="603">
        <f t="shared" si="34"/>
        <v>-300</v>
      </c>
      <c r="U65" s="603">
        <f t="shared" si="34"/>
        <v>-300</v>
      </c>
      <c r="V65" s="603">
        <f t="shared" si="34"/>
        <v>-300</v>
      </c>
      <c r="W65" s="603">
        <f t="shared" si="34"/>
        <v>-300</v>
      </c>
      <c r="X65" s="603">
        <f t="shared" si="34"/>
        <v>-300</v>
      </c>
      <c r="Y65" s="603">
        <f t="shared" si="34"/>
        <v>-300</v>
      </c>
      <c r="Z65" s="603">
        <f t="shared" si="34"/>
        <v>-300</v>
      </c>
      <c r="AA65" s="915">
        <f t="shared" si="34"/>
        <v>-300</v>
      </c>
      <c r="AB65" s="914">
        <f t="shared" ref="AB65:AM65" si="35">-$E20/12</f>
        <v>-450</v>
      </c>
      <c r="AC65" s="603">
        <f t="shared" si="35"/>
        <v>-450</v>
      </c>
      <c r="AD65" s="603">
        <f t="shared" si="35"/>
        <v>-450</v>
      </c>
      <c r="AE65" s="603">
        <f t="shared" si="35"/>
        <v>-450</v>
      </c>
      <c r="AF65" s="603">
        <f t="shared" si="35"/>
        <v>-450</v>
      </c>
      <c r="AG65" s="603">
        <f t="shared" si="35"/>
        <v>-450</v>
      </c>
      <c r="AH65" s="603">
        <f t="shared" si="35"/>
        <v>-450</v>
      </c>
      <c r="AI65" s="603">
        <f t="shared" si="35"/>
        <v>-450</v>
      </c>
      <c r="AJ65" s="603">
        <f t="shared" si="35"/>
        <v>-450</v>
      </c>
      <c r="AK65" s="603">
        <f t="shared" si="35"/>
        <v>-450</v>
      </c>
      <c r="AL65" s="603">
        <f t="shared" si="35"/>
        <v>-450</v>
      </c>
      <c r="AM65" s="915">
        <f t="shared" si="35"/>
        <v>-450</v>
      </c>
      <c r="AN65" s="323"/>
      <c r="AO65" s="323"/>
      <c r="AP65" s="323"/>
      <c r="AQ65" s="323"/>
      <c r="AR65" s="323"/>
      <c r="AS65" s="323"/>
      <c r="AT65" s="323"/>
      <c r="AU65" s="323"/>
      <c r="AV65" s="323"/>
      <c r="AW65" s="323"/>
      <c r="AX65" s="323"/>
      <c r="AY65" s="323"/>
      <c r="AZ65" s="323"/>
      <c r="BA65" s="323"/>
      <c r="BB65" s="323"/>
      <c r="BC65" s="323"/>
      <c r="BD65" s="323"/>
      <c r="BE65" s="323"/>
      <c r="BF65" s="323"/>
      <c r="BG65" s="323"/>
      <c r="BH65" s="323"/>
      <c r="BI65" s="323"/>
      <c r="BJ65" s="323"/>
      <c r="BK65" s="323"/>
      <c r="BL65" s="323"/>
      <c r="BM65" s="323"/>
      <c r="BN65" s="323"/>
    </row>
    <row r="66" spans="1:66" s="333" customFormat="1">
      <c r="B66" s="624" t="str">
        <f>B29</f>
        <v>Insurance</v>
      </c>
      <c r="D66" s="333">
        <f t="shared" ref="D66:O66" si="36">-$C32/12</f>
        <v>-750</v>
      </c>
      <c r="E66" s="333">
        <f t="shared" si="36"/>
        <v>-750</v>
      </c>
      <c r="F66" s="333">
        <f t="shared" si="36"/>
        <v>-750</v>
      </c>
      <c r="G66" s="333">
        <f t="shared" si="36"/>
        <v>-750</v>
      </c>
      <c r="H66" s="333">
        <f t="shared" si="36"/>
        <v>-750</v>
      </c>
      <c r="I66" s="333">
        <f t="shared" si="36"/>
        <v>-750</v>
      </c>
      <c r="J66" s="333">
        <f t="shared" si="36"/>
        <v>-750</v>
      </c>
      <c r="K66" s="333">
        <f t="shared" si="36"/>
        <v>-750</v>
      </c>
      <c r="L66" s="333">
        <f t="shared" si="36"/>
        <v>-750</v>
      </c>
      <c r="M66" s="333">
        <f t="shared" si="36"/>
        <v>-750</v>
      </c>
      <c r="N66" s="333">
        <f t="shared" si="36"/>
        <v>-750</v>
      </c>
      <c r="O66" s="333">
        <f t="shared" si="36"/>
        <v>-750</v>
      </c>
      <c r="P66" s="914">
        <f t="shared" ref="P66:AA66" si="37">-$D32/12</f>
        <v>-750</v>
      </c>
      <c r="Q66" s="603">
        <f t="shared" si="37"/>
        <v>-750</v>
      </c>
      <c r="R66" s="603">
        <f t="shared" si="37"/>
        <v>-750</v>
      </c>
      <c r="S66" s="603">
        <f t="shared" si="37"/>
        <v>-750</v>
      </c>
      <c r="T66" s="603">
        <f t="shared" si="37"/>
        <v>-750</v>
      </c>
      <c r="U66" s="603">
        <f t="shared" si="37"/>
        <v>-750</v>
      </c>
      <c r="V66" s="603">
        <f t="shared" si="37"/>
        <v>-750</v>
      </c>
      <c r="W66" s="603">
        <f t="shared" si="37"/>
        <v>-750</v>
      </c>
      <c r="X66" s="603">
        <f t="shared" si="37"/>
        <v>-750</v>
      </c>
      <c r="Y66" s="603">
        <f t="shared" si="37"/>
        <v>-750</v>
      </c>
      <c r="Z66" s="603">
        <f t="shared" si="37"/>
        <v>-750</v>
      </c>
      <c r="AA66" s="915">
        <f t="shared" si="37"/>
        <v>-750</v>
      </c>
      <c r="AB66" s="914">
        <f t="shared" ref="AB66:AM66" si="38">-$E32/12</f>
        <v>-875</v>
      </c>
      <c r="AC66" s="603">
        <f t="shared" si="38"/>
        <v>-875</v>
      </c>
      <c r="AD66" s="603">
        <f t="shared" si="38"/>
        <v>-875</v>
      </c>
      <c r="AE66" s="603">
        <f t="shared" si="38"/>
        <v>-875</v>
      </c>
      <c r="AF66" s="603">
        <f t="shared" si="38"/>
        <v>-875</v>
      </c>
      <c r="AG66" s="603">
        <f t="shared" si="38"/>
        <v>-875</v>
      </c>
      <c r="AH66" s="603">
        <f t="shared" si="38"/>
        <v>-875</v>
      </c>
      <c r="AI66" s="603">
        <f t="shared" si="38"/>
        <v>-875</v>
      </c>
      <c r="AJ66" s="603">
        <f t="shared" si="38"/>
        <v>-875</v>
      </c>
      <c r="AK66" s="603">
        <f t="shared" si="38"/>
        <v>-875</v>
      </c>
      <c r="AL66" s="603">
        <f t="shared" si="38"/>
        <v>-875</v>
      </c>
      <c r="AM66" s="915">
        <f t="shared" si="38"/>
        <v>-875</v>
      </c>
      <c r="AN66" s="323"/>
      <c r="AO66" s="323"/>
      <c r="AP66" s="323"/>
      <c r="AQ66" s="323"/>
      <c r="AR66" s="323"/>
      <c r="AS66" s="323"/>
      <c r="AT66" s="323"/>
      <c r="AU66" s="323"/>
      <c r="AV66" s="323"/>
      <c r="AW66" s="323"/>
      <c r="AX66" s="323"/>
      <c r="AY66" s="323"/>
      <c r="AZ66" s="323"/>
      <c r="BA66" s="323"/>
      <c r="BB66" s="323"/>
      <c r="BC66" s="323"/>
      <c r="BD66" s="323"/>
      <c r="BE66" s="323"/>
      <c r="BF66" s="323"/>
      <c r="BG66" s="323"/>
      <c r="BH66" s="323"/>
      <c r="BI66" s="323"/>
      <c r="BJ66" s="323"/>
      <c r="BK66" s="323"/>
      <c r="BL66" s="323"/>
      <c r="BM66" s="323"/>
      <c r="BN66" s="323"/>
    </row>
    <row r="67" spans="1:66" s="323" customFormat="1">
      <c r="A67" s="608"/>
      <c r="B67" s="624" t="str">
        <f>B37</f>
        <v xml:space="preserve">Security </v>
      </c>
      <c r="D67" s="333">
        <f t="shared" ref="D67:AA67" si="39">-$C38/12</f>
        <v>0</v>
      </c>
      <c r="E67" s="333">
        <f t="shared" si="39"/>
        <v>0</v>
      </c>
      <c r="F67" s="333">
        <f t="shared" si="39"/>
        <v>0</v>
      </c>
      <c r="G67" s="333">
        <f t="shared" si="39"/>
        <v>0</v>
      </c>
      <c r="H67" s="333">
        <f t="shared" si="39"/>
        <v>0</v>
      </c>
      <c r="I67" s="333">
        <f t="shared" si="39"/>
        <v>0</v>
      </c>
      <c r="J67" s="333">
        <f t="shared" si="39"/>
        <v>0</v>
      </c>
      <c r="K67" s="333">
        <f t="shared" si="39"/>
        <v>0</v>
      </c>
      <c r="L67" s="333">
        <f t="shared" si="39"/>
        <v>0</v>
      </c>
      <c r="M67" s="333">
        <f t="shared" si="39"/>
        <v>0</v>
      </c>
      <c r="N67" s="333">
        <f t="shared" si="39"/>
        <v>0</v>
      </c>
      <c r="O67" s="333">
        <f t="shared" si="39"/>
        <v>0</v>
      </c>
      <c r="P67" s="914">
        <f t="shared" si="39"/>
        <v>0</v>
      </c>
      <c r="Q67" s="603">
        <f t="shared" si="39"/>
        <v>0</v>
      </c>
      <c r="R67" s="603">
        <f t="shared" si="39"/>
        <v>0</v>
      </c>
      <c r="S67" s="603">
        <f t="shared" si="39"/>
        <v>0</v>
      </c>
      <c r="T67" s="603">
        <f t="shared" si="39"/>
        <v>0</v>
      </c>
      <c r="U67" s="603">
        <f t="shared" si="39"/>
        <v>0</v>
      </c>
      <c r="V67" s="603">
        <f t="shared" si="39"/>
        <v>0</v>
      </c>
      <c r="W67" s="603">
        <f t="shared" si="39"/>
        <v>0</v>
      </c>
      <c r="X67" s="603">
        <f t="shared" si="39"/>
        <v>0</v>
      </c>
      <c r="Y67" s="603">
        <f t="shared" si="39"/>
        <v>0</v>
      </c>
      <c r="Z67" s="603">
        <f t="shared" si="39"/>
        <v>0</v>
      </c>
      <c r="AA67" s="915">
        <f t="shared" si="39"/>
        <v>0</v>
      </c>
      <c r="AB67" s="914">
        <f t="shared" ref="AB67:AM67" si="40">-$E38/12</f>
        <v>-62.5</v>
      </c>
      <c r="AC67" s="603">
        <f t="shared" si="40"/>
        <v>-62.5</v>
      </c>
      <c r="AD67" s="603">
        <f t="shared" si="40"/>
        <v>-62.5</v>
      </c>
      <c r="AE67" s="603">
        <f t="shared" si="40"/>
        <v>-62.5</v>
      </c>
      <c r="AF67" s="603">
        <f t="shared" si="40"/>
        <v>-62.5</v>
      </c>
      <c r="AG67" s="603">
        <f t="shared" si="40"/>
        <v>-62.5</v>
      </c>
      <c r="AH67" s="603">
        <f t="shared" si="40"/>
        <v>-62.5</v>
      </c>
      <c r="AI67" s="603">
        <f t="shared" si="40"/>
        <v>-62.5</v>
      </c>
      <c r="AJ67" s="603">
        <f t="shared" si="40"/>
        <v>-62.5</v>
      </c>
      <c r="AK67" s="603">
        <f t="shared" si="40"/>
        <v>-62.5</v>
      </c>
      <c r="AL67" s="603">
        <f t="shared" si="40"/>
        <v>-62.5</v>
      </c>
      <c r="AM67" s="915">
        <f t="shared" si="40"/>
        <v>-62.5</v>
      </c>
    </row>
    <row r="68" spans="1:66" s="323" customFormat="1">
      <c r="A68" s="608"/>
      <c r="B68" s="624" t="str">
        <f>B39</f>
        <v>Ecommerce</v>
      </c>
      <c r="D68" s="333">
        <f t="shared" ref="D68:O68" si="41">-$C40/12</f>
        <v>-58.333333333333336</v>
      </c>
      <c r="E68" s="333">
        <f t="shared" si="41"/>
        <v>-58.333333333333336</v>
      </c>
      <c r="F68" s="333">
        <f t="shared" si="41"/>
        <v>-58.333333333333336</v>
      </c>
      <c r="G68" s="333">
        <f t="shared" si="41"/>
        <v>-58.333333333333336</v>
      </c>
      <c r="H68" s="333">
        <f t="shared" si="41"/>
        <v>-58.333333333333336</v>
      </c>
      <c r="I68" s="333">
        <f t="shared" si="41"/>
        <v>-58.333333333333336</v>
      </c>
      <c r="J68" s="333">
        <f t="shared" si="41"/>
        <v>-58.333333333333336</v>
      </c>
      <c r="K68" s="333">
        <f t="shared" si="41"/>
        <v>-58.333333333333336</v>
      </c>
      <c r="L68" s="333">
        <f t="shared" si="41"/>
        <v>-58.333333333333336</v>
      </c>
      <c r="M68" s="333">
        <f t="shared" si="41"/>
        <v>-58.333333333333336</v>
      </c>
      <c r="N68" s="333">
        <f t="shared" si="41"/>
        <v>-58.333333333333336</v>
      </c>
      <c r="O68" s="333">
        <f t="shared" si="41"/>
        <v>-58.333333333333336</v>
      </c>
      <c r="P68" s="914">
        <f t="shared" ref="P68:AA68" si="42">-$D40/12</f>
        <v>-58.333333333333336</v>
      </c>
      <c r="Q68" s="603">
        <f t="shared" si="42"/>
        <v>-58.333333333333336</v>
      </c>
      <c r="R68" s="603">
        <f t="shared" si="42"/>
        <v>-58.333333333333336</v>
      </c>
      <c r="S68" s="603">
        <f t="shared" si="42"/>
        <v>-58.333333333333336</v>
      </c>
      <c r="T68" s="603">
        <f t="shared" si="42"/>
        <v>-58.333333333333336</v>
      </c>
      <c r="U68" s="603">
        <f t="shared" si="42"/>
        <v>-58.333333333333336</v>
      </c>
      <c r="V68" s="603">
        <f t="shared" si="42"/>
        <v>-58.333333333333336</v>
      </c>
      <c r="W68" s="603">
        <f t="shared" si="42"/>
        <v>-58.333333333333336</v>
      </c>
      <c r="X68" s="603">
        <f t="shared" si="42"/>
        <v>-58.333333333333336</v>
      </c>
      <c r="Y68" s="603">
        <f t="shared" si="42"/>
        <v>-58.333333333333336</v>
      </c>
      <c r="Z68" s="603">
        <f t="shared" si="42"/>
        <v>-58.333333333333336</v>
      </c>
      <c r="AA68" s="915">
        <f t="shared" si="42"/>
        <v>-58.333333333333336</v>
      </c>
      <c r="AB68" s="914">
        <f t="shared" ref="AB68:AM68" si="43">-$E40/12</f>
        <v>-58.333333333333336</v>
      </c>
      <c r="AC68" s="603">
        <f t="shared" si="43"/>
        <v>-58.333333333333336</v>
      </c>
      <c r="AD68" s="603">
        <f t="shared" si="43"/>
        <v>-58.333333333333336</v>
      </c>
      <c r="AE68" s="603">
        <f t="shared" si="43"/>
        <v>-58.333333333333336</v>
      </c>
      <c r="AF68" s="603">
        <f t="shared" si="43"/>
        <v>-58.333333333333336</v>
      </c>
      <c r="AG68" s="603">
        <f t="shared" si="43"/>
        <v>-58.333333333333336</v>
      </c>
      <c r="AH68" s="603">
        <f t="shared" si="43"/>
        <v>-58.333333333333336</v>
      </c>
      <c r="AI68" s="603">
        <f t="shared" si="43"/>
        <v>-58.333333333333336</v>
      </c>
      <c r="AJ68" s="603">
        <f t="shared" si="43"/>
        <v>-58.333333333333336</v>
      </c>
      <c r="AK68" s="603">
        <f t="shared" si="43"/>
        <v>-58.333333333333336</v>
      </c>
      <c r="AL68" s="603">
        <f t="shared" si="43"/>
        <v>-58.333333333333336</v>
      </c>
      <c r="AM68" s="915">
        <f t="shared" si="43"/>
        <v>-58.333333333333336</v>
      </c>
    </row>
    <row r="69" spans="1:66" s="618" customFormat="1">
      <c r="A69" s="608"/>
      <c r="B69" s="628" t="s">
        <v>249</v>
      </c>
      <c r="D69" s="333">
        <f t="shared" ref="D69:AM69" si="44">SUM(D60:D68)</f>
        <v>-30755.833333333332</v>
      </c>
      <c r="E69" s="333">
        <f t="shared" si="44"/>
        <v>-30755.833333333332</v>
      </c>
      <c r="F69" s="333">
        <f t="shared" si="44"/>
        <v>-30755.833333333332</v>
      </c>
      <c r="G69" s="333">
        <f t="shared" si="44"/>
        <v>-30755.833333333332</v>
      </c>
      <c r="H69" s="333">
        <f t="shared" si="44"/>
        <v>-30755.833333333332</v>
      </c>
      <c r="I69" s="333">
        <f t="shared" si="44"/>
        <v>-30755.833333333332</v>
      </c>
      <c r="J69" s="333">
        <f t="shared" si="44"/>
        <v>-30755.833333333332</v>
      </c>
      <c r="K69" s="333">
        <f t="shared" si="44"/>
        <v>-30755.833333333332</v>
      </c>
      <c r="L69" s="333">
        <f t="shared" si="44"/>
        <v>-30755.833333333332</v>
      </c>
      <c r="M69" s="333">
        <f t="shared" si="44"/>
        <v>-30755.833333333332</v>
      </c>
      <c r="N69" s="333">
        <f t="shared" si="44"/>
        <v>-30755.833333333332</v>
      </c>
      <c r="O69" s="333">
        <f t="shared" si="44"/>
        <v>-30755.833333333332</v>
      </c>
      <c r="P69" s="914">
        <f t="shared" si="44"/>
        <v>-33637.500000000007</v>
      </c>
      <c r="Q69" s="603">
        <f t="shared" si="44"/>
        <v>-33637.500000000007</v>
      </c>
      <c r="R69" s="603">
        <f t="shared" si="44"/>
        <v>-33637.500000000007</v>
      </c>
      <c r="S69" s="603">
        <f t="shared" si="44"/>
        <v>-33637.500000000007</v>
      </c>
      <c r="T69" s="603">
        <f t="shared" si="44"/>
        <v>-33637.500000000007</v>
      </c>
      <c r="U69" s="603">
        <f t="shared" si="44"/>
        <v>-33637.500000000007</v>
      </c>
      <c r="V69" s="603">
        <f t="shared" si="44"/>
        <v>-33637.500000000007</v>
      </c>
      <c r="W69" s="603">
        <f t="shared" si="44"/>
        <v>-33637.500000000007</v>
      </c>
      <c r="X69" s="603">
        <f t="shared" si="44"/>
        <v>-33637.500000000007</v>
      </c>
      <c r="Y69" s="603">
        <f t="shared" si="44"/>
        <v>-33637.500000000007</v>
      </c>
      <c r="Z69" s="603">
        <f t="shared" si="44"/>
        <v>-33637.500000000007</v>
      </c>
      <c r="AA69" s="915">
        <f t="shared" si="44"/>
        <v>-33637.500000000007</v>
      </c>
      <c r="AB69" s="914">
        <f t="shared" si="44"/>
        <v>-89087.5</v>
      </c>
      <c r="AC69" s="603">
        <f t="shared" si="44"/>
        <v>-89087.5</v>
      </c>
      <c r="AD69" s="603">
        <f t="shared" si="44"/>
        <v>-89087.5</v>
      </c>
      <c r="AE69" s="603">
        <f t="shared" si="44"/>
        <v>-89087.5</v>
      </c>
      <c r="AF69" s="603">
        <f t="shared" si="44"/>
        <v>-89087.5</v>
      </c>
      <c r="AG69" s="603">
        <f t="shared" si="44"/>
        <v>-89087.5</v>
      </c>
      <c r="AH69" s="603">
        <f t="shared" si="44"/>
        <v>-89087.5</v>
      </c>
      <c r="AI69" s="603">
        <f t="shared" si="44"/>
        <v>-89087.5</v>
      </c>
      <c r="AJ69" s="603">
        <f t="shared" si="44"/>
        <v>-89087.5</v>
      </c>
      <c r="AK69" s="603">
        <f t="shared" si="44"/>
        <v>-89087.5</v>
      </c>
      <c r="AL69" s="603">
        <f t="shared" si="44"/>
        <v>-89087.5</v>
      </c>
      <c r="AM69" s="915">
        <f t="shared" si="44"/>
        <v>-89087.5</v>
      </c>
      <c r="AN69" s="345"/>
      <c r="AO69" s="345"/>
      <c r="AP69" s="345"/>
      <c r="AQ69" s="345"/>
      <c r="AR69" s="345"/>
      <c r="AS69" s="345"/>
      <c r="AT69" s="345"/>
      <c r="AU69" s="345"/>
      <c r="AV69" s="345"/>
      <c r="AW69" s="345"/>
      <c r="AX69" s="345"/>
      <c r="AY69" s="345"/>
      <c r="AZ69" s="345"/>
      <c r="BA69" s="345"/>
      <c r="BB69" s="345"/>
      <c r="BC69" s="345"/>
      <c r="BD69" s="345"/>
      <c r="BE69" s="345"/>
      <c r="BF69" s="345"/>
      <c r="BG69" s="345"/>
      <c r="BH69" s="345"/>
      <c r="BI69" s="345"/>
      <c r="BJ69" s="345"/>
      <c r="BK69" s="345"/>
      <c r="BL69" s="345"/>
      <c r="BM69" s="345"/>
      <c r="BN69" s="345"/>
    </row>
    <row r="70" spans="1:66" s="333" customFormat="1">
      <c r="B70" s="624"/>
      <c r="O70" s="603"/>
      <c r="P70" s="924"/>
      <c r="Q70" s="598"/>
      <c r="R70" s="598"/>
      <c r="S70" s="598"/>
      <c r="T70" s="598"/>
      <c r="U70" s="598"/>
      <c r="V70" s="598"/>
      <c r="W70" s="598"/>
      <c r="X70" s="598"/>
      <c r="Y70" s="598"/>
      <c r="Z70" s="598"/>
      <c r="AA70" s="925"/>
      <c r="AB70" s="924"/>
      <c r="AC70" s="603"/>
      <c r="AD70" s="603"/>
      <c r="AE70" s="603"/>
      <c r="AF70" s="603"/>
      <c r="AG70" s="603"/>
      <c r="AH70" s="603"/>
      <c r="AI70" s="603"/>
      <c r="AJ70" s="603"/>
      <c r="AK70" s="603"/>
      <c r="AL70" s="603"/>
      <c r="AM70" s="915"/>
      <c r="AN70" s="323"/>
      <c r="AO70" s="323"/>
      <c r="AP70" s="323"/>
      <c r="AQ70" s="323"/>
      <c r="AR70" s="323"/>
      <c r="AS70" s="323"/>
      <c r="AT70" s="323"/>
      <c r="AU70" s="323"/>
      <c r="AV70" s="323"/>
      <c r="AW70" s="323"/>
      <c r="AX70" s="323"/>
      <c r="AY70" s="323"/>
      <c r="AZ70" s="323"/>
      <c r="BA70" s="323"/>
      <c r="BB70" s="323"/>
      <c r="BC70" s="323"/>
      <c r="BD70" s="323"/>
      <c r="BE70" s="323"/>
      <c r="BF70" s="323"/>
      <c r="BG70" s="323"/>
      <c r="BH70" s="323"/>
      <c r="BI70" s="323"/>
      <c r="BJ70" s="323"/>
      <c r="BK70" s="323"/>
      <c r="BL70" s="323"/>
      <c r="BM70" s="323"/>
      <c r="BN70" s="323"/>
    </row>
    <row r="71" spans="1:66" s="938" customFormat="1">
      <c r="B71" s="937" t="s">
        <v>66</v>
      </c>
      <c r="D71" s="938">
        <f t="shared" ref="D71:AM71" si="45">D57+D69</f>
        <v>-13957.833333333332</v>
      </c>
      <c r="E71" s="938">
        <f t="shared" si="45"/>
        <v>-12053.833333333332</v>
      </c>
      <c r="F71" s="938">
        <f t="shared" si="45"/>
        <v>-8597.633333333335</v>
      </c>
      <c r="G71" s="938">
        <f t="shared" si="45"/>
        <v>-6915.4333333333307</v>
      </c>
      <c r="H71" s="938">
        <f t="shared" si="45"/>
        <v>-3411.8333333333321</v>
      </c>
      <c r="I71" s="938">
        <f t="shared" si="45"/>
        <v>-581.73333333333358</v>
      </c>
      <c r="J71" s="938">
        <f t="shared" si="45"/>
        <v>2883.1666666666679</v>
      </c>
      <c r="K71" s="938">
        <f t="shared" si="45"/>
        <v>2818.9816666666702</v>
      </c>
      <c r="L71" s="938">
        <f t="shared" si="45"/>
        <v>4596.6666666666679</v>
      </c>
      <c r="M71" s="938">
        <f t="shared" si="45"/>
        <v>7673.0666666666621</v>
      </c>
      <c r="N71" s="938">
        <f t="shared" si="45"/>
        <v>10361.698666666667</v>
      </c>
      <c r="O71" s="938">
        <f t="shared" si="45"/>
        <v>13824.961666666666</v>
      </c>
      <c r="P71" s="939">
        <f t="shared" si="45"/>
        <v>22767.767999999989</v>
      </c>
      <c r="Q71" s="940">
        <f t="shared" si="45"/>
        <v>34560.620999999992</v>
      </c>
      <c r="R71" s="940">
        <f t="shared" si="45"/>
        <v>50190.344999999994</v>
      </c>
      <c r="S71" s="940">
        <f t="shared" si="45"/>
        <v>64610.439999999995</v>
      </c>
      <c r="T71" s="940">
        <f t="shared" si="45"/>
        <v>73084.362999999983</v>
      </c>
      <c r="U71" s="940">
        <f t="shared" si="45"/>
        <v>82651.260999999999</v>
      </c>
      <c r="V71" s="940">
        <f t="shared" si="45"/>
        <v>92418.400999999983</v>
      </c>
      <c r="W71" s="940">
        <f t="shared" si="45"/>
        <v>90246.109299999982</v>
      </c>
      <c r="X71" s="940">
        <f t="shared" si="45"/>
        <v>108051.821</v>
      </c>
      <c r="Y71" s="940">
        <f t="shared" si="45"/>
        <v>120834.77299999999</v>
      </c>
      <c r="Z71" s="940">
        <f t="shared" si="45"/>
        <v>134968.83799999999</v>
      </c>
      <c r="AA71" s="941">
        <f t="shared" si="45"/>
        <v>134071.07020000002</v>
      </c>
      <c r="AB71" s="939">
        <f t="shared" si="45"/>
        <v>107624.72234000001</v>
      </c>
      <c r="AC71" s="940">
        <f t="shared" si="45"/>
        <v>129919.42968</v>
      </c>
      <c r="AD71" s="940">
        <f t="shared" si="45"/>
        <v>170429.24623999998</v>
      </c>
      <c r="AE71" s="940">
        <f t="shared" si="45"/>
        <v>181053.32168000005</v>
      </c>
      <c r="AF71" s="940">
        <f t="shared" si="45"/>
        <v>213255.50873999996</v>
      </c>
      <c r="AG71" s="940">
        <f t="shared" si="45"/>
        <v>266823.35970000003</v>
      </c>
      <c r="AH71" s="940">
        <f t="shared" si="45"/>
        <v>304369.40638</v>
      </c>
      <c r="AI71" s="940">
        <f t="shared" si="45"/>
        <v>321013.03933300002</v>
      </c>
      <c r="AJ71" s="940">
        <f t="shared" si="45"/>
        <v>328808.00913999998</v>
      </c>
      <c r="AK71" s="940">
        <f t="shared" si="45"/>
        <v>378208.71328000003</v>
      </c>
      <c r="AL71" s="940">
        <f t="shared" si="45"/>
        <v>411758.92213760002</v>
      </c>
      <c r="AM71" s="941">
        <f t="shared" si="45"/>
        <v>442648.49901700008</v>
      </c>
      <c r="AN71" s="345"/>
      <c r="AO71" s="345"/>
      <c r="AP71" s="345"/>
      <c r="AQ71" s="345"/>
      <c r="AR71" s="345"/>
      <c r="AS71" s="345"/>
      <c r="AT71" s="345"/>
      <c r="AU71" s="345"/>
      <c r="AV71" s="345"/>
      <c r="AW71" s="345"/>
      <c r="AX71" s="345"/>
      <c r="AY71" s="345"/>
      <c r="AZ71" s="345"/>
      <c r="BA71" s="345"/>
      <c r="BB71" s="345"/>
      <c r="BC71" s="345"/>
      <c r="BD71" s="345"/>
      <c r="BE71" s="345"/>
      <c r="BF71" s="345"/>
      <c r="BG71" s="345"/>
      <c r="BH71" s="345"/>
      <c r="BI71" s="345"/>
      <c r="BJ71" s="345"/>
      <c r="BK71" s="345"/>
      <c r="BL71" s="345"/>
      <c r="BM71" s="345"/>
      <c r="BN71" s="345"/>
    </row>
    <row r="72" spans="1:66" s="333" customFormat="1">
      <c r="B72" s="624"/>
      <c r="O72" s="603"/>
      <c r="P72" s="924"/>
      <c r="Q72" s="598"/>
      <c r="R72" s="598"/>
      <c r="S72" s="598"/>
      <c r="T72" s="598"/>
      <c r="U72" s="598"/>
      <c r="V72" s="598"/>
      <c r="W72" s="598"/>
      <c r="X72" s="598"/>
      <c r="Y72" s="598"/>
      <c r="Z72" s="598"/>
      <c r="AA72" s="925"/>
      <c r="AB72" s="924"/>
      <c r="AC72" s="603"/>
      <c r="AD72" s="603"/>
      <c r="AE72" s="603"/>
      <c r="AF72" s="603"/>
      <c r="AG72" s="603"/>
      <c r="AH72" s="603"/>
      <c r="AI72" s="603"/>
      <c r="AJ72" s="603"/>
      <c r="AK72" s="603"/>
      <c r="AL72" s="603"/>
      <c r="AM72" s="915"/>
      <c r="AN72" s="323"/>
      <c r="AO72" s="323"/>
      <c r="AP72" s="323"/>
      <c r="AQ72" s="323"/>
      <c r="AR72" s="323"/>
      <c r="AS72" s="323"/>
      <c r="AT72" s="323"/>
      <c r="AU72" s="323"/>
      <c r="AV72" s="323"/>
      <c r="AW72" s="323"/>
      <c r="AX72" s="323"/>
      <c r="AY72" s="323"/>
      <c r="AZ72" s="323"/>
      <c r="BA72" s="323"/>
      <c r="BB72" s="323"/>
      <c r="BC72" s="323"/>
      <c r="BD72" s="323"/>
      <c r="BE72" s="323"/>
      <c r="BF72" s="323"/>
      <c r="BG72" s="323"/>
      <c r="BH72" s="323"/>
      <c r="BI72" s="323"/>
      <c r="BJ72" s="323"/>
      <c r="BK72" s="323"/>
      <c r="BL72" s="323"/>
      <c r="BM72" s="323"/>
      <c r="BN72" s="323"/>
    </row>
    <row r="73" spans="1:66" s="333" customFormat="1">
      <c r="B73" s="624" t="s">
        <v>31</v>
      </c>
      <c r="D73" s="333">
        <f>D92</f>
        <v>-1353.7619047619048</v>
      </c>
      <c r="E73" s="333">
        <f t="shared" ref="E73:AM73" si="46">E92</f>
        <v>-1353.7619047619048</v>
      </c>
      <c r="F73" s="333">
        <f t="shared" si="46"/>
        <v>-1353.7619047619048</v>
      </c>
      <c r="G73" s="333">
        <f t="shared" si="46"/>
        <v>-1353.7619047619048</v>
      </c>
      <c r="H73" s="333">
        <f t="shared" si="46"/>
        <v>-1353.7619047619048</v>
      </c>
      <c r="I73" s="333">
        <f t="shared" si="46"/>
        <v>-1353.7619047619048</v>
      </c>
      <c r="J73" s="333">
        <f t="shared" si="46"/>
        <v>-1353.7619047619048</v>
      </c>
      <c r="K73" s="333">
        <f t="shared" si="46"/>
        <v>-1353.7619047619048</v>
      </c>
      <c r="L73" s="333">
        <f t="shared" si="46"/>
        <v>-1353.7619047619048</v>
      </c>
      <c r="M73" s="333">
        <f t="shared" si="46"/>
        <v>-1353.7619047619048</v>
      </c>
      <c r="N73" s="333">
        <f t="shared" si="46"/>
        <v>-1353.7619047619048</v>
      </c>
      <c r="O73" s="333">
        <f t="shared" si="46"/>
        <v>-1353.7619047619048</v>
      </c>
      <c r="P73" s="914">
        <f t="shared" si="46"/>
        <v>-2627.6309523809523</v>
      </c>
      <c r="Q73" s="603">
        <f t="shared" si="46"/>
        <v>-2627.6309523809523</v>
      </c>
      <c r="R73" s="603">
        <f t="shared" si="46"/>
        <v>-2627.6309523809523</v>
      </c>
      <c r="S73" s="603">
        <f t="shared" si="46"/>
        <v>-2627.6309523809523</v>
      </c>
      <c r="T73" s="603">
        <f t="shared" si="46"/>
        <v>-2627.6309523809523</v>
      </c>
      <c r="U73" s="603">
        <f t="shared" si="46"/>
        <v>-2627.6309523809523</v>
      </c>
      <c r="V73" s="603">
        <f t="shared" si="46"/>
        <v>-2627.6309523809523</v>
      </c>
      <c r="W73" s="603">
        <f t="shared" si="46"/>
        <v>-2627.6309523809523</v>
      </c>
      <c r="X73" s="603">
        <f t="shared" si="46"/>
        <v>-2627.6309523809523</v>
      </c>
      <c r="Y73" s="603">
        <f t="shared" si="46"/>
        <v>-2627.6309523809523</v>
      </c>
      <c r="Z73" s="603">
        <f t="shared" si="46"/>
        <v>-2627.6309523809523</v>
      </c>
      <c r="AA73" s="915">
        <f t="shared" si="46"/>
        <v>-2627.6309523809523</v>
      </c>
      <c r="AB73" s="914">
        <f>AB92</f>
        <v>-7687.8333333333339</v>
      </c>
      <c r="AC73" s="603">
        <f t="shared" si="46"/>
        <v>-7687.8333333333339</v>
      </c>
      <c r="AD73" s="603">
        <f t="shared" si="46"/>
        <v>-7687.8333333333339</v>
      </c>
      <c r="AE73" s="603">
        <f t="shared" si="46"/>
        <v>-7687.8333333333339</v>
      </c>
      <c r="AF73" s="603">
        <f t="shared" si="46"/>
        <v>-7687.8333333333339</v>
      </c>
      <c r="AG73" s="603">
        <f t="shared" si="46"/>
        <v>-7687.8333333333339</v>
      </c>
      <c r="AH73" s="603">
        <f t="shared" si="46"/>
        <v>-7687.8333333333339</v>
      </c>
      <c r="AI73" s="603">
        <f t="shared" si="46"/>
        <v>-7687.8333333333339</v>
      </c>
      <c r="AJ73" s="603">
        <f t="shared" si="46"/>
        <v>-7687.8333333333339</v>
      </c>
      <c r="AK73" s="603">
        <f t="shared" si="46"/>
        <v>-7687.8333333333339</v>
      </c>
      <c r="AL73" s="603">
        <f t="shared" si="46"/>
        <v>-7687.8333333333339</v>
      </c>
      <c r="AM73" s="915">
        <f t="shared" si="46"/>
        <v>-7687.8333333333339</v>
      </c>
      <c r="AN73" s="323"/>
      <c r="AO73" s="323"/>
      <c r="AP73" s="323"/>
      <c r="AQ73" s="323"/>
      <c r="AR73" s="323"/>
      <c r="AS73" s="323"/>
      <c r="AT73" s="323"/>
      <c r="AU73" s="323"/>
      <c r="AV73" s="323"/>
      <c r="AW73" s="323"/>
      <c r="AX73" s="323"/>
      <c r="AY73" s="323"/>
      <c r="AZ73" s="323"/>
      <c r="BA73" s="323"/>
      <c r="BB73" s="323"/>
      <c r="BC73" s="323"/>
      <c r="BD73" s="323"/>
      <c r="BE73" s="323"/>
      <c r="BF73" s="323"/>
      <c r="BG73" s="323"/>
      <c r="BH73" s="323"/>
      <c r="BI73" s="323"/>
      <c r="BJ73" s="323"/>
      <c r="BK73" s="323"/>
      <c r="BL73" s="323"/>
      <c r="BM73" s="323"/>
      <c r="BN73" s="323"/>
    </row>
    <row r="74" spans="1:66" s="942" customFormat="1">
      <c r="B74" s="937" t="s">
        <v>24</v>
      </c>
      <c r="D74" s="942">
        <f>D73+D71</f>
        <v>-15311.595238095237</v>
      </c>
      <c r="E74" s="942">
        <f t="shared" ref="E74:AM74" si="47">E73+E71</f>
        <v>-13407.595238095237</v>
      </c>
      <c r="F74" s="942">
        <f t="shared" si="47"/>
        <v>-9951.3952380952396</v>
      </c>
      <c r="G74" s="942">
        <f t="shared" si="47"/>
        <v>-8269.1952380952353</v>
      </c>
      <c r="H74" s="942">
        <f t="shared" si="47"/>
        <v>-4765.5952380952367</v>
      </c>
      <c r="I74" s="942">
        <f t="shared" si="47"/>
        <v>-1935.4952380952384</v>
      </c>
      <c r="J74" s="942">
        <f t="shared" si="47"/>
        <v>1529.4047619047631</v>
      </c>
      <c r="K74" s="942">
        <f t="shared" si="47"/>
        <v>1465.2197619047654</v>
      </c>
      <c r="L74" s="942">
        <f t="shared" si="47"/>
        <v>3242.9047619047633</v>
      </c>
      <c r="M74" s="942">
        <f t="shared" si="47"/>
        <v>6319.3047619047575</v>
      </c>
      <c r="N74" s="942">
        <f t="shared" si="47"/>
        <v>9007.9367619047625</v>
      </c>
      <c r="O74" s="942">
        <f t="shared" si="47"/>
        <v>12471.199761904762</v>
      </c>
      <c r="P74" s="943">
        <f t="shared" si="47"/>
        <v>20140.137047619035</v>
      </c>
      <c r="Q74" s="944">
        <f t="shared" si="47"/>
        <v>31932.990047619038</v>
      </c>
      <c r="R74" s="944">
        <f t="shared" si="47"/>
        <v>47562.71404761904</v>
      </c>
      <c r="S74" s="944">
        <f t="shared" si="47"/>
        <v>61982.809047619041</v>
      </c>
      <c r="T74" s="944">
        <f t="shared" si="47"/>
        <v>70456.732047619036</v>
      </c>
      <c r="U74" s="944">
        <f t="shared" si="47"/>
        <v>80023.630047619052</v>
      </c>
      <c r="V74" s="944">
        <f t="shared" si="47"/>
        <v>89790.770047619037</v>
      </c>
      <c r="W74" s="944">
        <f t="shared" si="47"/>
        <v>87618.478347619035</v>
      </c>
      <c r="X74" s="944">
        <f t="shared" si="47"/>
        <v>105424.19004761905</v>
      </c>
      <c r="Y74" s="944">
        <f t="shared" si="47"/>
        <v>118207.14204761904</v>
      </c>
      <c r="Z74" s="944">
        <f t="shared" si="47"/>
        <v>132341.20704761904</v>
      </c>
      <c r="AA74" s="945">
        <f t="shared" si="47"/>
        <v>131443.43924761907</v>
      </c>
      <c r="AB74" s="943">
        <f t="shared" si="47"/>
        <v>99936.889006666679</v>
      </c>
      <c r="AC74" s="944">
        <f t="shared" si="47"/>
        <v>122231.59634666667</v>
      </c>
      <c r="AD74" s="944">
        <f t="shared" si="47"/>
        <v>162741.41290666664</v>
      </c>
      <c r="AE74" s="944">
        <f t="shared" si="47"/>
        <v>173365.48834666671</v>
      </c>
      <c r="AF74" s="944">
        <f t="shared" si="47"/>
        <v>205567.67540666662</v>
      </c>
      <c r="AG74" s="944">
        <f t="shared" si="47"/>
        <v>259135.52636666669</v>
      </c>
      <c r="AH74" s="944">
        <f t="shared" si="47"/>
        <v>296681.57304666669</v>
      </c>
      <c r="AI74" s="944">
        <f t="shared" si="47"/>
        <v>313325.20599966671</v>
      </c>
      <c r="AJ74" s="944">
        <f t="shared" si="47"/>
        <v>321120.17580666667</v>
      </c>
      <c r="AK74" s="944">
        <f t="shared" si="47"/>
        <v>370520.87994666671</v>
      </c>
      <c r="AL74" s="944">
        <f t="shared" si="47"/>
        <v>404071.08880426671</v>
      </c>
      <c r="AM74" s="945">
        <f t="shared" si="47"/>
        <v>434960.66568366677</v>
      </c>
      <c r="AN74" s="323"/>
      <c r="AO74" s="323"/>
      <c r="AP74" s="323"/>
      <c r="AQ74" s="323"/>
      <c r="AR74" s="323"/>
      <c r="AS74" s="323"/>
      <c r="AT74" s="323"/>
      <c r="AU74" s="323"/>
      <c r="AV74" s="323"/>
      <c r="AW74" s="323"/>
      <c r="AX74" s="323"/>
      <c r="AY74" s="323"/>
      <c r="AZ74" s="323"/>
      <c r="BA74" s="323"/>
      <c r="BB74" s="323"/>
      <c r="BC74" s="323"/>
      <c r="BD74" s="323"/>
      <c r="BE74" s="323"/>
      <c r="BF74" s="323"/>
      <c r="BG74" s="323"/>
      <c r="BH74" s="323"/>
      <c r="BI74" s="323"/>
      <c r="BJ74" s="323"/>
      <c r="BK74" s="323"/>
      <c r="BL74" s="323"/>
      <c r="BM74" s="323"/>
      <c r="BN74" s="323"/>
    </row>
    <row r="75" spans="1:66" s="333" customFormat="1">
      <c r="B75" s="624"/>
      <c r="O75" s="603"/>
      <c r="P75" s="924"/>
      <c r="Q75" s="598"/>
      <c r="R75" s="598"/>
      <c r="S75" s="598"/>
      <c r="T75" s="598"/>
      <c r="U75" s="598"/>
      <c r="V75" s="598"/>
      <c r="W75" s="598"/>
      <c r="X75" s="598"/>
      <c r="Y75" s="598"/>
      <c r="Z75" s="598"/>
      <c r="AA75" s="925"/>
      <c r="AB75" s="924"/>
      <c r="AC75" s="598"/>
      <c r="AD75" s="598"/>
      <c r="AE75" s="598"/>
      <c r="AF75" s="598"/>
      <c r="AG75" s="598"/>
      <c r="AH75" s="598"/>
      <c r="AI75" s="598"/>
      <c r="AJ75" s="598"/>
      <c r="AK75" s="598"/>
      <c r="AL75" s="598"/>
      <c r="AM75" s="925"/>
      <c r="AN75" s="323"/>
      <c r="AO75" s="323"/>
      <c r="AP75" s="323"/>
      <c r="AQ75" s="323"/>
      <c r="AR75" s="323"/>
      <c r="AS75" s="323"/>
      <c r="AT75" s="323"/>
      <c r="AU75" s="323"/>
      <c r="AV75" s="323"/>
      <c r="AW75" s="323"/>
      <c r="AX75" s="323"/>
      <c r="AY75" s="323"/>
      <c r="AZ75" s="323"/>
      <c r="BA75" s="323"/>
      <c r="BB75" s="323"/>
      <c r="BC75" s="323"/>
      <c r="BD75" s="323"/>
      <c r="BE75" s="323"/>
      <c r="BF75" s="323"/>
      <c r="BG75" s="323"/>
      <c r="BH75" s="323"/>
      <c r="BI75" s="323"/>
      <c r="BJ75" s="323"/>
      <c r="BK75" s="323"/>
      <c r="BL75" s="323"/>
      <c r="BM75" s="323"/>
      <c r="BN75" s="323"/>
    </row>
    <row r="76" spans="1:66" s="333" customFormat="1">
      <c r="B76" s="624" t="s">
        <v>30</v>
      </c>
      <c r="D76" s="333">
        <f>'Profit &amp; Loss Ecommerce'!D115</f>
        <v>-2083.333333333333</v>
      </c>
      <c r="E76" s="333">
        <f>'Profit &amp; Loss Ecommerce'!E115</f>
        <v>-2052.6988187971992</v>
      </c>
      <c r="F76" s="333">
        <f>'Profit &amp; Loss Ecommerce'!F115</f>
        <v>-2021.9366604504983</v>
      </c>
      <c r="G76" s="333">
        <f>'Profit &amp; Loss Ecommerce'!G115</f>
        <v>-1991.0463264440191</v>
      </c>
      <c r="H76" s="333">
        <f>'Profit &amp; Loss Ecommerce'!H115</f>
        <v>-1960.0272827125132</v>
      </c>
      <c r="I76" s="333">
        <f>'Profit &amp; Loss Ecommerce'!I115</f>
        <v>-1928.8789929654588</v>
      </c>
      <c r="J76" s="333">
        <f>'Profit &amp; Loss Ecommerce'!J115</f>
        <v>-1897.6009186777922</v>
      </c>
      <c r="K76" s="333">
        <f>'Profit &amp; Loss Ecommerce'!K115</f>
        <v>-1866.1925190805937</v>
      </c>
      <c r="L76" s="333">
        <f>'Profit &amp; Loss Ecommerce'!L115</f>
        <v>-1834.6532511517401</v>
      </c>
      <c r="M76" s="333">
        <f>'Profit &amp; Loss Ecommerce'!M115</f>
        <v>-1802.9825696065161</v>
      </c>
      <c r="N76" s="333">
        <f>'Profit &amp; Loss Ecommerce'!N115</f>
        <v>-1771.1799268881875</v>
      </c>
      <c r="O76" s="333">
        <f>'Profit &amp; Loss Ecommerce'!O115</f>
        <v>-1739.2447731585316</v>
      </c>
      <c r="P76" s="914">
        <f>'Profit &amp; Loss Ecommerce'!P115</f>
        <v>-1707.1765562883363</v>
      </c>
      <c r="Q76" s="603">
        <f>'Profit &amp; Loss Ecommerce'!Q115</f>
        <v>-1674.9747218478483</v>
      </c>
      <c r="R76" s="603">
        <f>'Profit &amp; Loss Ecommerce'!R115</f>
        <v>-1642.6387130971918</v>
      </c>
      <c r="S76" s="603">
        <f>'Profit &amp; Loss Ecommerce'!S115</f>
        <v>-1610.1679709767404</v>
      </c>
      <c r="T76" s="603">
        <f>'Profit &amp; Loss Ecommerce'!T115</f>
        <v>-1577.5619340974542</v>
      </c>
      <c r="U76" s="603">
        <f>'Profit &amp; Loss Ecommerce'!U115</f>
        <v>-1544.8200387311706</v>
      </c>
      <c r="V76" s="603">
        <f>'Profit &amp; Loss Ecommerce'!V115</f>
        <v>-1511.9417188008611</v>
      </c>
      <c r="W76" s="603">
        <f>'Profit &amp; Loss Ecommerce'!W115</f>
        <v>-1478.9264058708422</v>
      </c>
      <c r="X76" s="603">
        <f>'Profit &amp; Loss Ecommerce'!X115</f>
        <v>-1445.7735291369474</v>
      </c>
      <c r="Y76" s="603">
        <f>'Profit &amp; Loss Ecommerce'!Y115</f>
        <v>-1412.4825154166622</v>
      </c>
      <c r="Z76" s="603">
        <f>'Profit &amp; Loss Ecommerce'!Z115</f>
        <v>-1379.0527891392089</v>
      </c>
      <c r="AA76" s="915">
        <f>'Profit &amp; Loss Ecommerce'!AA115</f>
        <v>-1345.4837723355995</v>
      </c>
      <c r="AB76" s="914">
        <f>'Profit &amp; Loss Ecommerce'!AB115</f>
        <v>-1311.7748846286415</v>
      </c>
      <c r="AC76" s="603">
        <f>'Profit &amp; Loss Ecommerce'!AC115</f>
        <v>-1277.9255432229049</v>
      </c>
      <c r="AD76" s="603">
        <f>'Profit &amp; Loss Ecommerce'!AD115</f>
        <v>-1243.9351628946442</v>
      </c>
      <c r="AE76" s="603">
        <f>'Profit &amp; Loss Ecommerce'!AE115</f>
        <v>-1209.8031559816823</v>
      </c>
      <c r="AF76" s="603">
        <f>'Profit &amp; Loss Ecommerce'!AF115</f>
        <v>-1175.52893237325</v>
      </c>
      <c r="AG76" s="603">
        <f>'Profit &amp; Loss Ecommerce'!AG115</f>
        <v>-1141.1118994997826</v>
      </c>
      <c r="AH76" s="603">
        <f>'Profit &amp; Loss Ecommerce'!AH115</f>
        <v>-1106.5514623226754</v>
      </c>
      <c r="AI76" s="603">
        <f>'Profit &amp; Loss Ecommerce'!AI115</f>
        <v>-1071.8470233239973</v>
      </c>
      <c r="AJ76" s="603">
        <f>'Profit &amp; Loss Ecommerce'!AJ115</f>
        <v>-1036.9979824961579</v>
      </c>
      <c r="AK76" s="603">
        <f>'Profit &amp; Loss Ecommerce'!AK115</f>
        <v>-1002.0037373315357</v>
      </c>
      <c r="AL76" s="603">
        <f>'Profit &amp; Loss Ecommerce'!AL115</f>
        <v>-966.8636828120608</v>
      </c>
      <c r="AM76" s="915">
        <f>'Profit &amp; Loss Ecommerce'!AM115</f>
        <v>-931.57721139875525</v>
      </c>
      <c r="AN76" s="323"/>
      <c r="AO76" s="323"/>
      <c r="AP76" s="323"/>
      <c r="AQ76" s="323"/>
      <c r="AR76" s="323"/>
      <c r="AS76" s="323"/>
      <c r="AT76" s="323"/>
      <c r="AU76" s="323"/>
      <c r="AV76" s="323"/>
      <c r="AW76" s="323"/>
      <c r="AX76" s="323"/>
      <c r="AY76" s="323"/>
      <c r="AZ76" s="323"/>
      <c r="BA76" s="323"/>
      <c r="BB76" s="323"/>
      <c r="BC76" s="323"/>
      <c r="BD76" s="323"/>
      <c r="BE76" s="323"/>
      <c r="BF76" s="323"/>
      <c r="BG76" s="323"/>
      <c r="BH76" s="323"/>
      <c r="BI76" s="323"/>
      <c r="BJ76" s="323"/>
      <c r="BK76" s="323"/>
      <c r="BL76" s="323"/>
      <c r="BM76" s="323"/>
      <c r="BN76" s="323"/>
    </row>
    <row r="77" spans="1:66" s="938" customFormat="1">
      <c r="B77" s="937" t="s">
        <v>105</v>
      </c>
      <c r="D77" s="938">
        <f>D74+D76</f>
        <v>-17394.928571428569</v>
      </c>
      <c r="E77" s="938">
        <f t="shared" ref="E77:AM77" si="48">E74+E76</f>
        <v>-15460.294056892435</v>
      </c>
      <c r="F77" s="938">
        <f t="shared" si="48"/>
        <v>-11973.331898545737</v>
      </c>
      <c r="G77" s="938">
        <f t="shared" si="48"/>
        <v>-10260.241564539254</v>
      </c>
      <c r="H77" s="938">
        <f t="shared" si="48"/>
        <v>-6725.6225208077503</v>
      </c>
      <c r="I77" s="938">
        <f t="shared" si="48"/>
        <v>-3864.3742310606972</v>
      </c>
      <c r="J77" s="938">
        <f t="shared" si="48"/>
        <v>-368.19615677302909</v>
      </c>
      <c r="K77" s="938">
        <f t="shared" si="48"/>
        <v>-400.97275717582829</v>
      </c>
      <c r="L77" s="938">
        <f t="shared" si="48"/>
        <v>1408.2515107530232</v>
      </c>
      <c r="M77" s="938">
        <f t="shared" si="48"/>
        <v>4516.3221922982411</v>
      </c>
      <c r="N77" s="938">
        <f t="shared" si="48"/>
        <v>7236.7568350165748</v>
      </c>
      <c r="O77" s="938">
        <f t="shared" si="48"/>
        <v>10731.954988746231</v>
      </c>
      <c r="P77" s="939">
        <f t="shared" si="48"/>
        <v>18432.960491330698</v>
      </c>
      <c r="Q77" s="940">
        <f t="shared" si="48"/>
        <v>30258.01532577119</v>
      </c>
      <c r="R77" s="940">
        <f t="shared" si="48"/>
        <v>45920.075334521847</v>
      </c>
      <c r="S77" s="940">
        <f t="shared" si="48"/>
        <v>60372.6410766423</v>
      </c>
      <c r="T77" s="940">
        <f t="shared" si="48"/>
        <v>68879.170113521584</v>
      </c>
      <c r="U77" s="940">
        <f t="shared" si="48"/>
        <v>78478.810008887885</v>
      </c>
      <c r="V77" s="940">
        <f t="shared" si="48"/>
        <v>88278.82832881817</v>
      </c>
      <c r="W77" s="940">
        <f t="shared" si="48"/>
        <v>86139.551941748199</v>
      </c>
      <c r="X77" s="940">
        <f t="shared" si="48"/>
        <v>103978.4165184821</v>
      </c>
      <c r="Y77" s="940">
        <f t="shared" si="48"/>
        <v>116794.65953220238</v>
      </c>
      <c r="Z77" s="940">
        <f t="shared" si="48"/>
        <v>130962.15425847983</v>
      </c>
      <c r="AA77" s="941">
        <f t="shared" si="48"/>
        <v>130097.95547528347</v>
      </c>
      <c r="AB77" s="939">
        <f>AB74+AB76</f>
        <v>98625.114122038038</v>
      </c>
      <c r="AC77" s="940">
        <f t="shared" si="48"/>
        <v>120953.67080344376</v>
      </c>
      <c r="AD77" s="940">
        <f t="shared" si="48"/>
        <v>161497.477743772</v>
      </c>
      <c r="AE77" s="940">
        <f t="shared" si="48"/>
        <v>172155.68519068504</v>
      </c>
      <c r="AF77" s="940">
        <f t="shared" si="48"/>
        <v>204392.14647429337</v>
      </c>
      <c r="AG77" s="940">
        <f t="shared" si="48"/>
        <v>257994.41446716691</v>
      </c>
      <c r="AH77" s="940">
        <f t="shared" si="48"/>
        <v>295575.02158434404</v>
      </c>
      <c r="AI77" s="940">
        <f t="shared" si="48"/>
        <v>312253.35897634272</v>
      </c>
      <c r="AJ77" s="940">
        <f t="shared" si="48"/>
        <v>320083.1778241705</v>
      </c>
      <c r="AK77" s="940">
        <f t="shared" si="48"/>
        <v>369518.87620933517</v>
      </c>
      <c r="AL77" s="940">
        <f t="shared" si="48"/>
        <v>403104.22512145463</v>
      </c>
      <c r="AM77" s="941">
        <f t="shared" si="48"/>
        <v>434029.08847226802</v>
      </c>
      <c r="AN77" s="345"/>
      <c r="AO77" s="345"/>
      <c r="AP77" s="345"/>
      <c r="AQ77" s="345"/>
      <c r="AR77" s="345"/>
      <c r="AS77" s="345"/>
      <c r="AT77" s="345"/>
      <c r="AU77" s="345"/>
      <c r="AV77" s="345"/>
      <c r="AW77" s="345"/>
      <c r="AX77" s="345"/>
      <c r="AY77" s="345"/>
      <c r="AZ77" s="345"/>
      <c r="BA77" s="345"/>
      <c r="BB77" s="345"/>
      <c r="BC77" s="345"/>
      <c r="BD77" s="345"/>
      <c r="BE77" s="345"/>
      <c r="BF77" s="345"/>
      <c r="BG77" s="345"/>
      <c r="BH77" s="345"/>
      <c r="BI77" s="345"/>
      <c r="BJ77" s="345"/>
      <c r="BK77" s="345"/>
      <c r="BL77" s="345"/>
      <c r="BM77" s="345"/>
      <c r="BN77" s="345"/>
    </row>
    <row r="78" spans="1:66" s="618" customFormat="1">
      <c r="B78" s="628"/>
      <c r="C78" s="632"/>
      <c r="O78" s="633"/>
      <c r="P78" s="919"/>
      <c r="Q78" s="633"/>
      <c r="R78" s="633"/>
      <c r="S78" s="633"/>
      <c r="T78" s="633"/>
      <c r="U78" s="633"/>
      <c r="V78" s="633"/>
      <c r="W78" s="633"/>
      <c r="X78" s="633"/>
      <c r="Y78" s="633"/>
      <c r="Z78" s="633"/>
      <c r="AA78" s="920"/>
      <c r="AB78" s="919"/>
      <c r="AC78" s="633"/>
      <c r="AD78" s="633"/>
      <c r="AE78" s="633"/>
      <c r="AF78" s="633"/>
      <c r="AG78" s="633"/>
      <c r="AH78" s="633"/>
      <c r="AI78" s="633"/>
      <c r="AJ78" s="633"/>
      <c r="AK78" s="633"/>
      <c r="AL78" s="633"/>
      <c r="AM78" s="920"/>
      <c r="AN78" s="345"/>
      <c r="AO78" s="345"/>
      <c r="AP78" s="345"/>
      <c r="AQ78" s="345"/>
      <c r="AR78" s="345"/>
      <c r="AS78" s="345"/>
      <c r="AT78" s="345"/>
      <c r="AU78" s="345"/>
      <c r="AV78" s="345"/>
      <c r="AW78" s="345"/>
      <c r="AX78" s="345"/>
      <c r="AY78" s="345"/>
      <c r="AZ78" s="345"/>
      <c r="BA78" s="345"/>
      <c r="BB78" s="345"/>
      <c r="BC78" s="345"/>
      <c r="BD78" s="345"/>
      <c r="BE78" s="345"/>
      <c r="BF78" s="345"/>
      <c r="BG78" s="345"/>
      <c r="BH78" s="345"/>
      <c r="BI78" s="345"/>
      <c r="BJ78" s="345"/>
      <c r="BK78" s="345"/>
      <c r="BL78" s="345"/>
      <c r="BM78" s="345"/>
      <c r="BN78" s="345"/>
    </row>
    <row r="79" spans="1:66" s="618" customFormat="1">
      <c r="B79" s="624" t="s">
        <v>4</v>
      </c>
      <c r="C79" s="634"/>
      <c r="D79" s="635">
        <f>-D101</f>
        <v>0</v>
      </c>
      <c r="E79" s="635">
        <f t="shared" ref="E79:Z79" si="49">-E101</f>
        <v>0</v>
      </c>
      <c r="F79" s="635">
        <f t="shared" si="49"/>
        <v>0</v>
      </c>
      <c r="G79" s="635">
        <f t="shared" si="49"/>
        <v>0</v>
      </c>
      <c r="H79" s="635">
        <f t="shared" si="49"/>
        <v>0</v>
      </c>
      <c r="I79" s="635">
        <f t="shared" si="49"/>
        <v>0</v>
      </c>
      <c r="J79" s="635">
        <f t="shared" si="49"/>
        <v>0</v>
      </c>
      <c r="K79" s="635">
        <f t="shared" si="49"/>
        <v>0</v>
      </c>
      <c r="L79" s="635">
        <f t="shared" si="49"/>
        <v>0</v>
      </c>
      <c r="M79" s="635">
        <f t="shared" si="49"/>
        <v>0</v>
      </c>
      <c r="N79" s="635">
        <f t="shared" si="49"/>
        <v>0</v>
      </c>
      <c r="O79" s="635">
        <f t="shared" si="49"/>
        <v>0</v>
      </c>
      <c r="P79" s="921">
        <f t="shared" si="49"/>
        <v>0</v>
      </c>
      <c r="Q79" s="922">
        <f t="shared" si="49"/>
        <v>0</v>
      </c>
      <c r="R79" s="922">
        <f t="shared" si="49"/>
        <v>0</v>
      </c>
      <c r="S79" s="922">
        <f t="shared" si="49"/>
        <v>-11251.170666130871</v>
      </c>
      <c r="T79" s="922">
        <f t="shared" si="49"/>
        <v>-17876.700266475633</v>
      </c>
      <c r="U79" s="922">
        <f t="shared" si="49"/>
        <v>-20276.610240317208</v>
      </c>
      <c r="V79" s="922">
        <f t="shared" si="49"/>
        <v>-22726.614820299779</v>
      </c>
      <c r="W79" s="922">
        <f t="shared" si="49"/>
        <v>-22191.795723532287</v>
      </c>
      <c r="X79" s="922">
        <f t="shared" si="49"/>
        <v>-26651.511867715762</v>
      </c>
      <c r="Y79" s="922">
        <f t="shared" si="49"/>
        <v>-29855.572621145831</v>
      </c>
      <c r="Z79" s="922">
        <f t="shared" si="49"/>
        <v>-33397.446302715194</v>
      </c>
      <c r="AA79" s="922">
        <f>-AA101</f>
        <v>-33181.396606916103</v>
      </c>
      <c r="AB79" s="922">
        <f>'Profit &amp; Loss Ecommerce'!AB118+'Profit &amp; Loss Store'!AB127</f>
        <v>-9662.8701971761693</v>
      </c>
      <c r="AC79" s="922">
        <f>'Profit &amp; Loss Ecommerce'!AC118+'Profit &amp; Loss Store'!AC127</f>
        <v>-35009.419367527611</v>
      </c>
      <c r="AD79" s="922">
        <f>'Profit &amp; Loss Ecommerce'!AD118+'Profit &amp; Loss Store'!AD127</f>
        <v>-44148.390102609665</v>
      </c>
      <c r="AE79" s="922">
        <f>'Profit &amp; Loss Ecommerce'!AE118+'Profit &amp; Loss Store'!AE127</f>
        <v>-45568.594464337912</v>
      </c>
      <c r="AF79" s="922">
        <f>'Profit &amp; Loss Ecommerce'!AF118+'Profit &amp; Loss Store'!AF127</f>
        <v>-52185.540785240017</v>
      </c>
      <c r="AG79" s="922">
        <f>'Profit &amp; Loss Ecommerce'!AG118+'Profit &amp; Loss Store'!AG127</f>
        <v>-63974.647283458384</v>
      </c>
      <c r="AH79" s="922">
        <f>'Profit &amp; Loss Ecommerce'!AH118+'Profit &amp; Loss Store'!AH127</f>
        <v>-73287.114462752666</v>
      </c>
      <c r="AI79" s="922">
        <f>'Profit &amp; Loss Ecommerce'!AI118+'Profit &amp; Loss Store'!AI127</f>
        <v>-75969.755135752333</v>
      </c>
      <c r="AJ79" s="922">
        <f>'Profit &amp; Loss Ecommerce'!AJ118+'Profit &amp; Loss Store'!AJ127</f>
        <v>-73801.996122709286</v>
      </c>
      <c r="AK79" s="922">
        <f>'Profit &amp; Loss Ecommerce'!AK118+'Profit &amp; Loss Store'!AK127</f>
        <v>-83144.953719000448</v>
      </c>
      <c r="AL79" s="922">
        <f>'Profit &amp; Loss Ecommerce'!AL118+'Profit &amp; Loss Store'!AL127</f>
        <v>-98606.552155363664</v>
      </c>
      <c r="AM79" s="922">
        <f>'Profit &amp; Loss Ecommerce'!AM118+'Profit &amp; Loss Store'!AM127</f>
        <v>-110429.23045140032</v>
      </c>
      <c r="AN79" s="345"/>
      <c r="AO79" s="345"/>
      <c r="AP79" s="345"/>
      <c r="AQ79" s="345"/>
      <c r="AR79" s="345"/>
      <c r="AS79" s="345"/>
      <c r="AT79" s="345"/>
      <c r="AU79" s="345"/>
      <c r="AV79" s="345"/>
      <c r="AW79" s="345"/>
      <c r="AX79" s="345"/>
      <c r="AY79" s="345"/>
      <c r="AZ79" s="345"/>
      <c r="BA79" s="345"/>
      <c r="BB79" s="345"/>
      <c r="BC79" s="345"/>
      <c r="BD79" s="345"/>
      <c r="BE79" s="345"/>
      <c r="BF79" s="345"/>
      <c r="BG79" s="345"/>
      <c r="BH79" s="345"/>
      <c r="BI79" s="345"/>
      <c r="BJ79" s="345"/>
      <c r="BK79" s="345"/>
      <c r="BL79" s="345"/>
      <c r="BM79" s="345"/>
      <c r="BN79" s="345"/>
    </row>
    <row r="80" spans="1:66" s="938" customFormat="1">
      <c r="B80" s="946" t="s">
        <v>106</v>
      </c>
      <c r="D80" s="938">
        <f>'Profit &amp; Loss Ecommerce'!D119</f>
        <v>-17394.928571428569</v>
      </c>
      <c r="E80" s="938">
        <f>'Profit &amp; Loss Ecommerce'!E119</f>
        <v>-15460.294056892435</v>
      </c>
      <c r="F80" s="938">
        <f>'Profit &amp; Loss Ecommerce'!F119</f>
        <v>-11973.331898545737</v>
      </c>
      <c r="G80" s="938">
        <f>'Profit &amp; Loss Ecommerce'!G119</f>
        <v>-10260.241564539254</v>
      </c>
      <c r="H80" s="938">
        <f>'Profit &amp; Loss Ecommerce'!H119</f>
        <v>-6725.6225208077503</v>
      </c>
      <c r="I80" s="938">
        <f>'Profit &amp; Loss Ecommerce'!I119</f>
        <v>-3864.3742310606972</v>
      </c>
      <c r="J80" s="938">
        <f>'Profit &amp; Loss Ecommerce'!J119</f>
        <v>-368.19615677302909</v>
      </c>
      <c r="K80" s="938">
        <f>'Profit &amp; Loss Ecommerce'!K119</f>
        <v>-400.97275717582829</v>
      </c>
      <c r="L80" s="938">
        <f>'Profit &amp; Loss Ecommerce'!L119</f>
        <v>1408.2515107530232</v>
      </c>
      <c r="M80" s="938">
        <f>'Profit &amp; Loss Ecommerce'!M119</f>
        <v>4516.3221922982411</v>
      </c>
      <c r="N80" s="938">
        <f>'Profit &amp; Loss Ecommerce'!N119</f>
        <v>7236.7568350165748</v>
      </c>
      <c r="O80" s="938">
        <f>'Profit &amp; Loss Ecommerce'!O119</f>
        <v>10731.954988746231</v>
      </c>
      <c r="P80" s="939">
        <f>'Profit &amp; Loss Ecommerce'!P119</f>
        <v>18432.960491330698</v>
      </c>
      <c r="Q80" s="940">
        <f>'Profit &amp; Loss Ecommerce'!Q119</f>
        <v>30258.01532577119</v>
      </c>
      <c r="R80" s="940">
        <f>'Profit &amp; Loss Ecommerce'!R119</f>
        <v>45920.075334521847</v>
      </c>
      <c r="S80" s="940">
        <f>'Profit &amp; Loss Ecommerce'!S119</f>
        <v>49121.470410511429</v>
      </c>
      <c r="T80" s="940">
        <f>'Profit &amp; Loss Ecommerce'!T119</f>
        <v>51002.469847045955</v>
      </c>
      <c r="U80" s="940">
        <f>'Profit &amp; Loss Ecommerce'!U119</f>
        <v>58202.199768570674</v>
      </c>
      <c r="V80" s="940">
        <f>'Profit &amp; Loss Ecommerce'!V119</f>
        <v>65552.213508518384</v>
      </c>
      <c r="W80" s="940">
        <f>'Profit &amp; Loss Ecommerce'!W119</f>
        <v>63947.756218215916</v>
      </c>
      <c r="X80" s="940">
        <f>'Profit &amp; Loss Ecommerce'!X119</f>
        <v>77326.904650766344</v>
      </c>
      <c r="Y80" s="940">
        <f>'Profit &amp; Loss Ecommerce'!Y119</f>
        <v>86939.08691105654</v>
      </c>
      <c r="Z80" s="940">
        <f>'Profit &amp; Loss Ecommerce'!Z119</f>
        <v>97564.707955764636</v>
      </c>
      <c r="AA80" s="941">
        <f>'Profit &amp; Loss Ecommerce'!AA119</f>
        <v>96916.55886836737</v>
      </c>
      <c r="AB80" s="939">
        <f>'Profit &amp; Loss Ecommerce'!AB119+'Profit &amp; Loss Store'!AB128</f>
        <v>88962.243924861861</v>
      </c>
      <c r="AC80" s="940">
        <f>'Profit &amp; Loss Ecommerce'!AC119+'Profit &amp; Loss Store'!AC128</f>
        <v>85944.251435916143</v>
      </c>
      <c r="AD80" s="940">
        <f>'Profit &amp; Loss Ecommerce'!AD119+'Profit &amp; Loss Store'!AD128</f>
        <v>117349.0876411623</v>
      </c>
      <c r="AE80" s="940">
        <f>'Profit &amp; Loss Ecommerce'!AE119+'Profit &amp; Loss Store'!AE128</f>
        <v>126587.09072634706</v>
      </c>
      <c r="AF80" s="940">
        <f>'Profit &amp; Loss Ecommerce'!AF119+'Profit &amp; Loss Store'!AF128</f>
        <v>152206.60568905337</v>
      </c>
      <c r="AG80" s="940">
        <f>'Profit &amp; Loss Ecommerce'!AG119+'Profit &amp; Loss Store'!AG128</f>
        <v>194019.76718370846</v>
      </c>
      <c r="AH80" s="940">
        <f>'Profit &amp; Loss Ecommerce'!AH119+'Profit &amp; Loss Store'!AH128</f>
        <v>222287.90712159133</v>
      </c>
      <c r="AI80" s="940">
        <f>'Profit &amp; Loss Ecommerce'!AI119+'Profit &amp; Loss Store'!AI128</f>
        <v>236283.60384059034</v>
      </c>
      <c r="AJ80" s="940">
        <f>'Profit &amp; Loss Ecommerce'!AJ119+'Profit &amp; Loss Store'!AJ128</f>
        <v>246281.18170146117</v>
      </c>
      <c r="AK80" s="940">
        <f>'Profit &amp; Loss Ecommerce'!AK119+'Profit &amp; Loss Store'!AK128</f>
        <v>286373.92249033466</v>
      </c>
      <c r="AL80" s="940">
        <f>'Profit &amp; Loss Ecommerce'!AL119+'Profit &amp; Loss Store'!AL128</f>
        <v>304497.67296609096</v>
      </c>
      <c r="AM80" s="941">
        <f>'Profit &amp; Loss Ecommerce'!AM119+'Profit &amp; Loss Store'!AM128</f>
        <v>323599.85802086763</v>
      </c>
      <c r="AN80" s="345"/>
      <c r="AO80" s="345"/>
      <c r="AP80" s="345"/>
      <c r="AQ80" s="345"/>
      <c r="AR80" s="345"/>
      <c r="AS80" s="345"/>
      <c r="AT80" s="345"/>
      <c r="AU80" s="345"/>
      <c r="AV80" s="345"/>
      <c r="AW80" s="345"/>
      <c r="AX80" s="345"/>
      <c r="AY80" s="345"/>
      <c r="AZ80" s="345"/>
      <c r="BA80" s="345"/>
      <c r="BB80" s="345"/>
      <c r="BC80" s="345"/>
      <c r="BD80" s="345"/>
      <c r="BE80" s="345"/>
      <c r="BF80" s="345"/>
      <c r="BG80" s="345"/>
      <c r="BH80" s="345"/>
      <c r="BI80" s="345"/>
      <c r="BJ80" s="345"/>
      <c r="BK80" s="345"/>
      <c r="BL80" s="345"/>
      <c r="BM80" s="345"/>
      <c r="BN80" s="345"/>
    </row>
    <row r="81" spans="2:66" s="618" customFormat="1">
      <c r="B81" s="305"/>
      <c r="O81" s="633"/>
      <c r="P81" s="919"/>
      <c r="Q81" s="633"/>
      <c r="R81" s="633"/>
      <c r="S81" s="633"/>
      <c r="T81" s="633"/>
      <c r="U81" s="633"/>
      <c r="V81" s="633"/>
      <c r="W81" s="633"/>
      <c r="X81" s="633"/>
      <c r="Y81" s="633"/>
      <c r="Z81" s="633"/>
      <c r="AA81" s="920"/>
      <c r="AB81" s="919"/>
      <c r="AC81" s="633"/>
      <c r="AD81" s="633"/>
      <c r="AE81" s="633"/>
      <c r="AF81" s="633"/>
      <c r="AG81" s="633"/>
      <c r="AH81" s="633"/>
      <c r="AI81" s="633"/>
      <c r="AJ81" s="633"/>
      <c r="AK81" s="633"/>
      <c r="AL81" s="633"/>
      <c r="AM81" s="920"/>
      <c r="AN81" s="345"/>
      <c r="AO81" s="345"/>
      <c r="AP81" s="345"/>
      <c r="AQ81" s="345"/>
      <c r="AR81" s="345"/>
      <c r="AS81" s="345"/>
      <c r="AT81" s="345"/>
      <c r="AU81" s="345"/>
      <c r="AV81" s="345"/>
      <c r="AW81" s="345"/>
      <c r="AX81" s="345"/>
      <c r="AY81" s="345"/>
      <c r="AZ81" s="345"/>
      <c r="BA81" s="345"/>
      <c r="BB81" s="345"/>
      <c r="BC81" s="345"/>
      <c r="BD81" s="345"/>
      <c r="BE81" s="345"/>
      <c r="BF81" s="345"/>
      <c r="BG81" s="345"/>
      <c r="BH81" s="345"/>
      <c r="BI81" s="345"/>
      <c r="BJ81" s="345"/>
      <c r="BK81" s="345"/>
      <c r="BL81" s="345"/>
      <c r="BM81" s="345"/>
      <c r="BN81" s="345"/>
    </row>
    <row r="82" spans="2:66" s="618" customFormat="1">
      <c r="B82" s="305"/>
      <c r="O82" s="633"/>
      <c r="P82" s="919"/>
      <c r="Q82" s="633"/>
      <c r="R82" s="633"/>
      <c r="S82" s="633"/>
      <c r="T82" s="633"/>
      <c r="U82" s="633"/>
      <c r="V82" s="633"/>
      <c r="W82" s="633"/>
      <c r="X82" s="633"/>
      <c r="Y82" s="633"/>
      <c r="Z82" s="633"/>
      <c r="AA82" s="920"/>
      <c r="AB82" s="919"/>
      <c r="AC82" s="633"/>
      <c r="AD82" s="633"/>
      <c r="AE82" s="633"/>
      <c r="AF82" s="633"/>
      <c r="AG82" s="633"/>
      <c r="AH82" s="633"/>
      <c r="AI82" s="633"/>
      <c r="AJ82" s="633"/>
      <c r="AK82" s="633"/>
      <c r="AL82" s="633"/>
      <c r="AM82" s="920"/>
      <c r="AN82" s="345"/>
      <c r="AO82" s="345"/>
      <c r="AP82" s="345"/>
      <c r="AQ82" s="345"/>
      <c r="AR82" s="345"/>
      <c r="AS82" s="345"/>
      <c r="AT82" s="345"/>
      <c r="AU82" s="345"/>
      <c r="AV82" s="345"/>
      <c r="AW82" s="345"/>
      <c r="AX82" s="345"/>
      <c r="AY82" s="345"/>
      <c r="AZ82" s="345"/>
      <c r="BA82" s="345"/>
      <c r="BB82" s="345"/>
      <c r="BC82" s="345"/>
      <c r="BD82" s="345"/>
      <c r="BE82" s="345"/>
      <c r="BF82" s="345"/>
      <c r="BG82" s="345"/>
      <c r="BH82" s="345"/>
      <c r="BI82" s="345"/>
      <c r="BJ82" s="345"/>
      <c r="BK82" s="345"/>
      <c r="BL82" s="345"/>
      <c r="BM82" s="345"/>
      <c r="BN82" s="345"/>
    </row>
    <row r="83" spans="2:66" s="938" customFormat="1">
      <c r="B83" s="946" t="s">
        <v>89</v>
      </c>
      <c r="D83" s="938">
        <f t="shared" ref="D83:AM83" si="50">-(D76+D73+D69)/D58</f>
        <v>52459.825880632052</v>
      </c>
      <c r="E83" s="938">
        <f t="shared" si="50"/>
        <v>53992.572330960684</v>
      </c>
      <c r="F83" s="938">
        <f t="shared" si="50"/>
        <v>55868.737621298387</v>
      </c>
      <c r="G83" s="938">
        <f t="shared" si="50"/>
        <v>54588.718505942685</v>
      </c>
      <c r="H83" s="938">
        <f t="shared" si="50"/>
        <v>55756.861022752593</v>
      </c>
      <c r="I83" s="938">
        <f t="shared" si="50"/>
        <v>55814.61014593381</v>
      </c>
      <c r="J83" s="938">
        <f t="shared" si="50"/>
        <v>55846.652102989261</v>
      </c>
      <c r="K83" s="938">
        <f t="shared" si="50"/>
        <v>57407.001395858955</v>
      </c>
      <c r="L83" s="938">
        <f t="shared" si="50"/>
        <v>57454.379212207365</v>
      </c>
      <c r="M83" s="938">
        <f t="shared" si="50"/>
        <v>56963.818831326127</v>
      </c>
      <c r="N83" s="938">
        <f t="shared" si="50"/>
        <v>57771.012989838178</v>
      </c>
      <c r="O83" s="938">
        <f t="shared" si="50"/>
        <v>58283.048943919952</v>
      </c>
      <c r="P83" s="939">
        <f t="shared" si="50"/>
        <v>69714.953826897254</v>
      </c>
      <c r="Q83" s="940">
        <f t="shared" si="50"/>
        <v>72418.586459684026</v>
      </c>
      <c r="R83" s="940">
        <f t="shared" si="50"/>
        <v>75211.075066914345</v>
      </c>
      <c r="S83" s="940">
        <f t="shared" si="50"/>
        <v>76577.210327928158</v>
      </c>
      <c r="T83" s="940">
        <f t="shared" si="50"/>
        <v>76022.770610133724</v>
      </c>
      <c r="U83" s="940">
        <f t="shared" si="50"/>
        <v>75338.910154772922</v>
      </c>
      <c r="V83" s="940">
        <f t="shared" si="50"/>
        <v>74413.423457636221</v>
      </c>
      <c r="W83" s="940">
        <f t="shared" si="50"/>
        <v>75936.344756456063</v>
      </c>
      <c r="X83" s="940">
        <f t="shared" si="50"/>
        <v>73801.676972863585</v>
      </c>
      <c r="Y83" s="940">
        <f t="shared" si="50"/>
        <v>72839.753101248178</v>
      </c>
      <c r="Z83" s="940">
        <f t="shared" si="50"/>
        <v>71801.14764426554</v>
      </c>
      <c r="AA83" s="941">
        <f t="shared" si="50"/>
        <v>71742.741488768545</v>
      </c>
      <c r="AB83" s="939">
        <f t="shared" si="50"/>
        <v>185432.98182865136</v>
      </c>
      <c r="AC83" s="940">
        <f t="shared" si="50"/>
        <v>183047.76482807181</v>
      </c>
      <c r="AD83" s="940">
        <f t="shared" si="50"/>
        <v>177599.08792710304</v>
      </c>
      <c r="AE83" s="940">
        <f t="shared" si="50"/>
        <v>178172.3599664529</v>
      </c>
      <c r="AF83" s="940">
        <f t="shared" si="50"/>
        <v>175491.13746227548</v>
      </c>
      <c r="AG83" s="940">
        <f t="shared" si="50"/>
        <v>170759.98218933988</v>
      </c>
      <c r="AH83" s="940">
        <f t="shared" si="50"/>
        <v>168394.55038521413</v>
      </c>
      <c r="AI83" s="940">
        <f t="shared" si="50"/>
        <v>167741.96693630965</v>
      </c>
      <c r="AJ83" s="940">
        <f t="shared" si="50"/>
        <v>169289.21989060414</v>
      </c>
      <c r="AK83" s="940">
        <f t="shared" si="50"/>
        <v>166670.31280461082</v>
      </c>
      <c r="AL83" s="940">
        <f t="shared" si="50"/>
        <v>165632.14466046437</v>
      </c>
      <c r="AM83" s="941">
        <f t="shared" si="50"/>
        <v>165422.67950729467</v>
      </c>
      <c r="AN83" s="345"/>
      <c r="AO83" s="345"/>
      <c r="AP83" s="345"/>
      <c r="AQ83" s="345"/>
      <c r="AR83" s="345"/>
      <c r="AS83" s="345"/>
      <c r="AT83" s="345"/>
      <c r="AU83" s="345"/>
      <c r="AV83" s="345"/>
      <c r="AW83" s="345"/>
      <c r="AX83" s="345"/>
      <c r="AY83" s="345"/>
      <c r="AZ83" s="345"/>
      <c r="BA83" s="345"/>
      <c r="BB83" s="345"/>
      <c r="BC83" s="345"/>
      <c r="BD83" s="345"/>
      <c r="BE83" s="345"/>
      <c r="BF83" s="345"/>
      <c r="BG83" s="345"/>
      <c r="BH83" s="345"/>
      <c r="BI83" s="345"/>
      <c r="BJ83" s="345"/>
      <c r="BK83" s="345"/>
      <c r="BL83" s="345"/>
      <c r="BM83" s="345"/>
      <c r="BN83" s="345"/>
    </row>
    <row r="84" spans="2:66" s="333" customFormat="1" ht="43.2" customHeight="1">
      <c r="B84" s="593"/>
      <c r="C84" s="323"/>
      <c r="O84" s="603"/>
      <c r="P84" s="924"/>
      <c r="Q84" s="598"/>
      <c r="R84" s="598"/>
      <c r="S84" s="598"/>
      <c r="T84" s="598"/>
      <c r="U84" s="598"/>
      <c r="V84" s="598"/>
      <c r="W84" s="598"/>
      <c r="X84" s="598"/>
      <c r="Y84" s="598"/>
      <c r="Z84" s="598"/>
      <c r="AA84" s="925"/>
      <c r="AB84" s="924"/>
      <c r="AC84" s="603"/>
      <c r="AD84" s="603"/>
      <c r="AE84" s="603"/>
      <c r="AF84" s="603"/>
      <c r="AG84" s="603"/>
      <c r="AH84" s="603"/>
      <c r="AI84" s="603"/>
      <c r="AJ84" s="603"/>
      <c r="AK84" s="603"/>
      <c r="AL84" s="603"/>
      <c r="AM84" s="915"/>
      <c r="AN84" s="323"/>
      <c r="AO84" s="323"/>
      <c r="AP84" s="323"/>
      <c r="AQ84" s="323"/>
      <c r="AR84" s="323"/>
      <c r="AS84" s="323"/>
      <c r="AT84" s="323"/>
      <c r="AU84" s="323"/>
      <c r="AV84" s="323"/>
      <c r="AW84" s="323"/>
      <c r="AX84" s="323"/>
      <c r="AY84" s="323"/>
      <c r="AZ84" s="323"/>
      <c r="BA84" s="323"/>
      <c r="BB84" s="323"/>
      <c r="BC84" s="323"/>
      <c r="BD84" s="323"/>
      <c r="BE84" s="323"/>
      <c r="BF84" s="323"/>
      <c r="BG84" s="323"/>
      <c r="BH84" s="323"/>
      <c r="BI84" s="323"/>
      <c r="BJ84" s="323"/>
      <c r="BK84" s="323"/>
      <c r="BL84" s="323"/>
      <c r="BM84" s="323"/>
      <c r="BN84" s="323"/>
    </row>
    <row r="85" spans="2:66" s="935" customFormat="1" ht="28.8">
      <c r="B85" s="951" t="s">
        <v>61</v>
      </c>
      <c r="C85" s="646"/>
      <c r="D85" s="646"/>
      <c r="O85" s="936"/>
      <c r="P85" s="949"/>
      <c r="Q85" s="936"/>
      <c r="R85" s="936"/>
      <c r="S85" s="936"/>
      <c r="T85" s="936"/>
      <c r="U85" s="936"/>
      <c r="V85" s="936"/>
      <c r="W85" s="936"/>
      <c r="X85" s="936"/>
      <c r="Y85" s="936"/>
      <c r="Z85" s="936"/>
      <c r="AA85" s="950"/>
      <c r="AB85" s="949"/>
      <c r="AC85" s="936"/>
      <c r="AD85" s="936"/>
      <c r="AE85" s="936"/>
      <c r="AF85" s="936"/>
      <c r="AG85" s="936"/>
      <c r="AH85" s="936"/>
      <c r="AI85" s="936"/>
      <c r="AJ85" s="936"/>
      <c r="AK85" s="936"/>
      <c r="AL85" s="936"/>
      <c r="AM85" s="950"/>
      <c r="AN85" s="323"/>
      <c r="AO85" s="323"/>
      <c r="AP85" s="323"/>
      <c r="AQ85" s="323"/>
      <c r="AR85" s="323"/>
      <c r="AS85" s="323"/>
      <c r="AT85" s="323"/>
      <c r="AU85" s="323"/>
      <c r="AV85" s="323"/>
      <c r="AW85" s="323"/>
      <c r="AX85" s="323"/>
      <c r="AY85" s="323"/>
      <c r="AZ85" s="323"/>
      <c r="BA85" s="323"/>
      <c r="BB85" s="323"/>
      <c r="BC85" s="323"/>
      <c r="BD85" s="323"/>
      <c r="BE85" s="323"/>
      <c r="BF85" s="323"/>
      <c r="BG85" s="323"/>
      <c r="BH85" s="323"/>
      <c r="BI85" s="323"/>
      <c r="BJ85" s="323"/>
      <c r="BK85" s="323"/>
      <c r="BL85" s="323"/>
      <c r="BM85" s="323"/>
      <c r="BN85" s="323"/>
    </row>
    <row r="86" spans="2:66" s="333" customFormat="1" ht="26.55" customHeight="1">
      <c r="B86" s="593"/>
      <c r="D86" s="1217"/>
      <c r="E86" s="1217"/>
      <c r="F86" s="1217"/>
      <c r="G86" s="1217"/>
      <c r="H86" s="1217"/>
      <c r="I86" s="1217"/>
      <c r="J86" s="1217"/>
      <c r="K86" s="1217"/>
      <c r="L86" s="1217"/>
      <c r="M86" s="1217"/>
      <c r="N86" s="1217"/>
      <c r="O86" s="1217"/>
      <c r="P86" s="1293"/>
      <c r="Q86" s="1217"/>
      <c r="R86" s="1217"/>
      <c r="S86" s="1217"/>
      <c r="T86" s="1217"/>
      <c r="U86" s="1217"/>
      <c r="V86" s="1217"/>
      <c r="W86" s="1217"/>
      <c r="X86" s="1217"/>
      <c r="Y86" s="1217"/>
      <c r="Z86" s="1217"/>
      <c r="AA86" s="1294"/>
      <c r="AB86" s="1293"/>
      <c r="AC86" s="1217"/>
      <c r="AD86" s="1217"/>
      <c r="AE86" s="1217"/>
      <c r="AF86" s="1217"/>
      <c r="AG86" s="1217"/>
      <c r="AH86" s="1217"/>
      <c r="AI86" s="1217"/>
      <c r="AJ86" s="1217"/>
      <c r="AK86" s="1217"/>
      <c r="AL86" s="1217"/>
      <c r="AM86" s="1294"/>
      <c r="AN86" s="323"/>
      <c r="AO86" s="323"/>
      <c r="AP86" s="323"/>
      <c r="AQ86" s="323"/>
      <c r="AR86" s="323"/>
      <c r="AS86" s="323"/>
      <c r="AT86" s="323"/>
      <c r="AU86" s="323"/>
      <c r="AV86" s="323"/>
      <c r="AW86" s="323"/>
      <c r="AX86" s="323"/>
      <c r="AY86" s="323"/>
      <c r="AZ86" s="323"/>
      <c r="BA86" s="323"/>
      <c r="BB86" s="323"/>
      <c r="BC86" s="323"/>
      <c r="BD86" s="323"/>
      <c r="BE86" s="323"/>
      <c r="BF86" s="323"/>
      <c r="BG86" s="323"/>
      <c r="BH86" s="323"/>
      <c r="BI86" s="323"/>
      <c r="BJ86" s="323"/>
      <c r="BK86" s="323"/>
      <c r="BL86" s="323"/>
      <c r="BM86" s="323"/>
      <c r="BN86" s="323"/>
    </row>
    <row r="87" spans="2:66" s="300" customFormat="1">
      <c r="C87" s="300" t="str">
        <f t="shared" ref="C87:AM87" si="51">C51</f>
        <v>Month:</v>
      </c>
      <c r="D87" s="615">
        <f t="shared" si="51"/>
        <v>45292</v>
      </c>
      <c r="E87" s="615">
        <f t="shared" si="51"/>
        <v>45323</v>
      </c>
      <c r="F87" s="615">
        <f t="shared" si="51"/>
        <v>45352</v>
      </c>
      <c r="G87" s="615">
        <f t="shared" si="51"/>
        <v>45383</v>
      </c>
      <c r="H87" s="615">
        <f t="shared" si="51"/>
        <v>45413</v>
      </c>
      <c r="I87" s="615">
        <f t="shared" si="51"/>
        <v>45444</v>
      </c>
      <c r="J87" s="615">
        <f t="shared" si="51"/>
        <v>45474</v>
      </c>
      <c r="K87" s="615">
        <f t="shared" si="51"/>
        <v>45505</v>
      </c>
      <c r="L87" s="615">
        <f t="shared" si="51"/>
        <v>45536</v>
      </c>
      <c r="M87" s="615">
        <f t="shared" si="51"/>
        <v>45566</v>
      </c>
      <c r="N87" s="615">
        <f t="shared" si="51"/>
        <v>45597</v>
      </c>
      <c r="O87" s="615">
        <f t="shared" si="51"/>
        <v>45627</v>
      </c>
      <c r="P87" s="923">
        <f t="shared" si="51"/>
        <v>45658</v>
      </c>
      <c r="Q87" s="615">
        <f t="shared" si="51"/>
        <v>45689</v>
      </c>
      <c r="R87" s="615">
        <f t="shared" si="51"/>
        <v>45717</v>
      </c>
      <c r="S87" s="615">
        <f t="shared" si="51"/>
        <v>45748</v>
      </c>
      <c r="T87" s="615">
        <f t="shared" si="51"/>
        <v>45778</v>
      </c>
      <c r="U87" s="615">
        <f t="shared" si="51"/>
        <v>45809</v>
      </c>
      <c r="V87" s="615">
        <f t="shared" si="51"/>
        <v>45839</v>
      </c>
      <c r="W87" s="615">
        <f t="shared" si="51"/>
        <v>45870</v>
      </c>
      <c r="X87" s="615">
        <f t="shared" si="51"/>
        <v>45901</v>
      </c>
      <c r="Y87" s="615">
        <f t="shared" si="51"/>
        <v>45931</v>
      </c>
      <c r="Z87" s="615">
        <f t="shared" si="51"/>
        <v>45962</v>
      </c>
      <c r="AA87" s="907">
        <f t="shared" si="51"/>
        <v>45992</v>
      </c>
      <c r="AB87" s="923">
        <f t="shared" si="51"/>
        <v>46023</v>
      </c>
      <c r="AC87" s="615">
        <f t="shared" si="51"/>
        <v>46054</v>
      </c>
      <c r="AD87" s="615">
        <f t="shared" si="51"/>
        <v>46082</v>
      </c>
      <c r="AE87" s="615">
        <f t="shared" si="51"/>
        <v>46113</v>
      </c>
      <c r="AF87" s="615">
        <f t="shared" si="51"/>
        <v>46143</v>
      </c>
      <c r="AG87" s="615">
        <f t="shared" si="51"/>
        <v>46174</v>
      </c>
      <c r="AH87" s="615">
        <f t="shared" si="51"/>
        <v>46204</v>
      </c>
      <c r="AI87" s="615">
        <f t="shared" si="51"/>
        <v>46235</v>
      </c>
      <c r="AJ87" s="615">
        <f t="shared" si="51"/>
        <v>46266</v>
      </c>
      <c r="AK87" s="615">
        <f t="shared" si="51"/>
        <v>46296</v>
      </c>
      <c r="AL87" s="615">
        <f t="shared" si="51"/>
        <v>46327</v>
      </c>
      <c r="AM87" s="907">
        <f t="shared" si="51"/>
        <v>46357</v>
      </c>
    </row>
    <row r="88" spans="2:66" s="300" customFormat="1" ht="10.8" customHeight="1">
      <c r="D88" s="615"/>
      <c r="E88" s="615"/>
      <c r="F88" s="615"/>
      <c r="G88" s="615"/>
      <c r="H88" s="615"/>
      <c r="I88" s="615"/>
      <c r="J88" s="615"/>
      <c r="K88" s="615"/>
      <c r="L88" s="615"/>
      <c r="M88" s="615"/>
      <c r="N88" s="615"/>
      <c r="O88" s="615"/>
      <c r="P88" s="923"/>
      <c r="Q88" s="615"/>
      <c r="R88" s="615"/>
      <c r="S88" s="615"/>
      <c r="T88" s="615"/>
      <c r="U88" s="615"/>
      <c r="V88" s="615"/>
      <c r="W88" s="615"/>
      <c r="X88" s="615"/>
      <c r="Y88" s="615"/>
      <c r="Z88" s="615"/>
      <c r="AA88" s="907"/>
      <c r="AB88" s="923"/>
      <c r="AC88" s="615"/>
      <c r="AD88" s="615"/>
      <c r="AE88" s="615"/>
      <c r="AF88" s="615"/>
      <c r="AG88" s="615"/>
      <c r="AH88" s="615"/>
      <c r="AI88" s="615"/>
      <c r="AJ88" s="615"/>
      <c r="AK88" s="615"/>
      <c r="AL88" s="615"/>
      <c r="AM88" s="907"/>
    </row>
    <row r="89" spans="2:66">
      <c r="B89" s="305" t="s">
        <v>253</v>
      </c>
      <c r="D89" s="323"/>
      <c r="E89" s="323"/>
      <c r="F89" s="323"/>
      <c r="G89" s="323"/>
      <c r="H89" s="323"/>
      <c r="I89" s="323"/>
      <c r="J89" s="323"/>
      <c r="K89" s="323"/>
      <c r="L89" s="323"/>
      <c r="M89" s="323"/>
      <c r="N89" s="323"/>
      <c r="O89" s="598"/>
      <c r="P89" s="924"/>
      <c r="Q89" s="598"/>
      <c r="R89" s="598"/>
      <c r="S89" s="598"/>
      <c r="T89" s="598"/>
      <c r="U89" s="598"/>
      <c r="V89" s="598"/>
      <c r="W89" s="598"/>
      <c r="X89" s="598"/>
      <c r="Y89" s="598"/>
      <c r="Z89" s="598"/>
      <c r="AA89" s="925"/>
      <c r="AB89" s="924"/>
      <c r="AC89" s="598"/>
      <c r="AD89" s="598"/>
      <c r="AE89" s="598"/>
      <c r="AF89" s="598"/>
      <c r="AG89" s="598"/>
      <c r="AH89" s="598"/>
      <c r="AI89" s="598"/>
      <c r="AJ89" s="598"/>
      <c r="AK89" s="598"/>
      <c r="AL89" s="598"/>
      <c r="AM89" s="925"/>
      <c r="AN89" s="323"/>
      <c r="AO89" s="323"/>
      <c r="AP89" s="323"/>
      <c r="AQ89" s="323"/>
      <c r="AR89" s="323"/>
      <c r="AS89" s="323"/>
      <c r="AT89" s="323"/>
      <c r="AU89" s="323"/>
      <c r="AV89" s="323"/>
      <c r="AW89" s="323"/>
      <c r="AX89" s="323"/>
      <c r="AY89" s="323"/>
      <c r="AZ89" s="323"/>
      <c r="BA89" s="323"/>
      <c r="BB89" s="323"/>
      <c r="BC89" s="323"/>
      <c r="BD89" s="323"/>
      <c r="BE89" s="323"/>
      <c r="BF89" s="323"/>
      <c r="BG89" s="323"/>
      <c r="BH89" s="323"/>
    </row>
    <row r="90" spans="2:66">
      <c r="B90" s="593" t="s">
        <v>495</v>
      </c>
      <c r="D90" s="593">
        <f>'Profit &amp; Loss Ecommerce'!D203</f>
        <v>-1353.7619047619048</v>
      </c>
      <c r="E90" s="593">
        <f>'Profit &amp; Loss Ecommerce'!E203</f>
        <v>-1353.7619047619048</v>
      </c>
      <c r="F90" s="593">
        <f>'Profit &amp; Loss Ecommerce'!F203</f>
        <v>-1353.7619047619048</v>
      </c>
      <c r="G90" s="593">
        <f>'Profit &amp; Loss Ecommerce'!G203</f>
        <v>-1353.7619047619048</v>
      </c>
      <c r="H90" s="593">
        <f>'Profit &amp; Loss Ecommerce'!H203</f>
        <v>-1353.7619047619048</v>
      </c>
      <c r="I90" s="593">
        <f>'Profit &amp; Loss Ecommerce'!I203</f>
        <v>-1353.7619047619048</v>
      </c>
      <c r="J90" s="593">
        <f>'Profit &amp; Loss Ecommerce'!J203</f>
        <v>-1353.7619047619048</v>
      </c>
      <c r="K90" s="593">
        <f>'Profit &amp; Loss Ecommerce'!K203</f>
        <v>-1353.7619047619048</v>
      </c>
      <c r="L90" s="593">
        <f>'Profit &amp; Loss Ecommerce'!L203</f>
        <v>-1353.7619047619048</v>
      </c>
      <c r="M90" s="593">
        <f>'Profit &amp; Loss Ecommerce'!M203</f>
        <v>-1353.7619047619048</v>
      </c>
      <c r="N90" s="593">
        <f>'Profit &amp; Loss Ecommerce'!N203</f>
        <v>-1353.7619047619048</v>
      </c>
      <c r="O90" s="593">
        <f>'Profit &amp; Loss Ecommerce'!O203</f>
        <v>-1353.7619047619048</v>
      </c>
      <c r="P90" s="926">
        <f>'Profit &amp; Loss Ecommerce'!P203</f>
        <v>-2627.6309523809523</v>
      </c>
      <c r="Q90" s="593">
        <f>'Profit &amp; Loss Ecommerce'!Q203</f>
        <v>-2627.6309523809523</v>
      </c>
      <c r="R90" s="593">
        <f>'Profit &amp; Loss Ecommerce'!R203</f>
        <v>-2627.6309523809523</v>
      </c>
      <c r="S90" s="593">
        <f>'Profit &amp; Loss Ecommerce'!S203</f>
        <v>-2627.6309523809523</v>
      </c>
      <c r="T90" s="593">
        <f>'Profit &amp; Loss Ecommerce'!T203</f>
        <v>-2627.6309523809523</v>
      </c>
      <c r="U90" s="593">
        <f>'Profit &amp; Loss Ecommerce'!U203</f>
        <v>-2627.6309523809523</v>
      </c>
      <c r="V90" s="593">
        <f>'Profit &amp; Loss Ecommerce'!V203</f>
        <v>-2627.6309523809523</v>
      </c>
      <c r="W90" s="593">
        <f>'Profit &amp; Loss Ecommerce'!W203</f>
        <v>-2627.6309523809523</v>
      </c>
      <c r="X90" s="593">
        <f>'Profit &amp; Loss Ecommerce'!X203</f>
        <v>-2627.6309523809523</v>
      </c>
      <c r="Y90" s="593">
        <f>'Profit &amp; Loss Ecommerce'!Y203</f>
        <v>-2627.6309523809523</v>
      </c>
      <c r="Z90" s="593">
        <f>'Profit &amp; Loss Ecommerce'!Z203</f>
        <v>-2627.6309523809523</v>
      </c>
      <c r="AA90" s="927">
        <f>'Profit &amp; Loss Ecommerce'!AA203</f>
        <v>-2627.6309523809523</v>
      </c>
      <c r="AB90" s="926">
        <f>'Profit &amp; Loss Ecommerce'!AB203</f>
        <v>-5088.4880952380954</v>
      </c>
      <c r="AC90" s="593">
        <f>'Profit &amp; Loss Ecommerce'!AC203</f>
        <v>-5088.4880952380954</v>
      </c>
      <c r="AD90" s="593">
        <f>'Profit &amp; Loss Ecommerce'!AD203</f>
        <v>-5088.4880952380954</v>
      </c>
      <c r="AE90" s="593">
        <f>'Profit &amp; Loss Ecommerce'!AE203</f>
        <v>-5088.4880952380954</v>
      </c>
      <c r="AF90" s="593">
        <f>'Profit &amp; Loss Ecommerce'!AF203</f>
        <v>-5088.4880952380954</v>
      </c>
      <c r="AG90" s="593">
        <f>'Profit &amp; Loss Ecommerce'!AG203</f>
        <v>-5088.4880952380954</v>
      </c>
      <c r="AH90" s="593">
        <f>'Profit &amp; Loss Ecommerce'!AH203</f>
        <v>-5088.4880952380954</v>
      </c>
      <c r="AI90" s="593">
        <f>'Profit &amp; Loss Ecommerce'!AI203</f>
        <v>-5088.4880952380954</v>
      </c>
      <c r="AJ90" s="593">
        <f>'Profit &amp; Loss Ecommerce'!AJ203</f>
        <v>-5088.4880952380954</v>
      </c>
      <c r="AK90" s="593">
        <f>'Profit &amp; Loss Ecommerce'!AK203</f>
        <v>-5088.4880952380954</v>
      </c>
      <c r="AL90" s="593">
        <f>'Profit &amp; Loss Ecommerce'!AL203</f>
        <v>-5088.4880952380954</v>
      </c>
      <c r="AM90" s="927">
        <f>'Profit &amp; Loss Ecommerce'!AM203</f>
        <v>-5088.4880952380954</v>
      </c>
      <c r="AN90" s="323"/>
      <c r="AO90" s="323"/>
      <c r="AP90" s="323"/>
      <c r="AQ90" s="323"/>
      <c r="AR90" s="323"/>
      <c r="AS90" s="323"/>
      <c r="AT90" s="323"/>
      <c r="AU90" s="323"/>
      <c r="AV90" s="323"/>
      <c r="AW90" s="323"/>
      <c r="AX90" s="323"/>
      <c r="AY90" s="323"/>
      <c r="AZ90" s="323"/>
      <c r="BA90" s="323"/>
      <c r="BB90" s="323"/>
      <c r="BC90" s="323"/>
      <c r="BD90" s="323"/>
      <c r="BE90" s="323"/>
      <c r="BF90" s="323"/>
      <c r="BG90" s="323"/>
      <c r="BH90" s="323"/>
    </row>
    <row r="91" spans="2:66">
      <c r="B91" s="593" t="s">
        <v>496</v>
      </c>
      <c r="D91" s="610">
        <f>'Profit &amp; Loss Store'!D239</f>
        <v>0</v>
      </c>
      <c r="E91" s="610">
        <f>'Profit &amp; Loss Store'!E239</f>
        <v>0</v>
      </c>
      <c r="F91" s="610">
        <f>'Profit &amp; Loss Store'!F239</f>
        <v>0</v>
      </c>
      <c r="G91" s="610">
        <f>'Profit &amp; Loss Store'!G239</f>
        <v>0</v>
      </c>
      <c r="H91" s="610">
        <f>'Profit &amp; Loss Store'!H239</f>
        <v>0</v>
      </c>
      <c r="I91" s="610">
        <f>'Profit &amp; Loss Store'!I239</f>
        <v>0</v>
      </c>
      <c r="J91" s="610">
        <f>'Profit &amp; Loss Store'!J239</f>
        <v>0</v>
      </c>
      <c r="K91" s="610">
        <f>'Profit &amp; Loss Store'!K239</f>
        <v>0</v>
      </c>
      <c r="L91" s="610">
        <f>'Profit &amp; Loss Store'!L239</f>
        <v>0</v>
      </c>
      <c r="M91" s="610">
        <f>'Profit &amp; Loss Store'!M239</f>
        <v>0</v>
      </c>
      <c r="N91" s="610">
        <f>'Profit &amp; Loss Store'!N239</f>
        <v>0</v>
      </c>
      <c r="O91" s="610">
        <f>'Profit &amp; Loss Store'!O239</f>
        <v>0</v>
      </c>
      <c r="P91" s="928">
        <f>'Profit &amp; Loss Store'!P239</f>
        <v>0</v>
      </c>
      <c r="Q91" s="929">
        <f>'Profit &amp; Loss Store'!Q239</f>
        <v>0</v>
      </c>
      <c r="R91" s="929">
        <f>'Profit &amp; Loss Store'!R239</f>
        <v>0</v>
      </c>
      <c r="S91" s="929">
        <f>'Profit &amp; Loss Store'!S239</f>
        <v>0</v>
      </c>
      <c r="T91" s="929">
        <f>'Profit &amp; Loss Store'!T239</f>
        <v>0</v>
      </c>
      <c r="U91" s="929">
        <f>'Profit &amp; Loss Store'!U239</f>
        <v>0</v>
      </c>
      <c r="V91" s="929">
        <f>'Profit &amp; Loss Store'!V239</f>
        <v>0</v>
      </c>
      <c r="W91" s="929">
        <f>'Profit &amp; Loss Store'!W239</f>
        <v>0</v>
      </c>
      <c r="X91" s="929">
        <f>'Profit &amp; Loss Store'!X239</f>
        <v>0</v>
      </c>
      <c r="Y91" s="929">
        <f>'Profit &amp; Loss Store'!Y239</f>
        <v>0</v>
      </c>
      <c r="Z91" s="929">
        <f>'Profit &amp; Loss Store'!Z239</f>
        <v>0</v>
      </c>
      <c r="AA91" s="930">
        <f>'Profit &amp; Loss Store'!AA239</f>
        <v>0</v>
      </c>
      <c r="AB91" s="928">
        <f>'Profit &amp; Loss Store'!AB239</f>
        <v>-2599.3452380952385</v>
      </c>
      <c r="AC91" s="929">
        <f>'Profit &amp; Loss Store'!AC239</f>
        <v>-2599.3452380952385</v>
      </c>
      <c r="AD91" s="929">
        <f>'Profit &amp; Loss Store'!AD239</f>
        <v>-2599.3452380952385</v>
      </c>
      <c r="AE91" s="929">
        <f>'Profit &amp; Loss Store'!AE239</f>
        <v>-2599.3452380952385</v>
      </c>
      <c r="AF91" s="929">
        <f>'Profit &amp; Loss Store'!AF239</f>
        <v>-2599.3452380952385</v>
      </c>
      <c r="AG91" s="929">
        <f>'Profit &amp; Loss Store'!AG239</f>
        <v>-2599.3452380952385</v>
      </c>
      <c r="AH91" s="929">
        <f>'Profit &amp; Loss Store'!AH239</f>
        <v>-2599.3452380952385</v>
      </c>
      <c r="AI91" s="929">
        <f>'Profit &amp; Loss Store'!AI239</f>
        <v>-2599.3452380952385</v>
      </c>
      <c r="AJ91" s="929">
        <f>'Profit &amp; Loss Store'!AJ239</f>
        <v>-2599.3452380952385</v>
      </c>
      <c r="AK91" s="929">
        <f>'Profit &amp; Loss Store'!AK239</f>
        <v>-2599.3452380952385</v>
      </c>
      <c r="AL91" s="929">
        <f>'Profit &amp; Loss Store'!AL239</f>
        <v>-2599.3452380952385</v>
      </c>
      <c r="AM91" s="930">
        <f>'Profit &amp; Loss Store'!AM239</f>
        <v>-2599.3452380952385</v>
      </c>
      <c r="AN91" s="323"/>
      <c r="AO91" s="323"/>
      <c r="AP91" s="323"/>
      <c r="AQ91" s="323"/>
      <c r="AR91" s="323"/>
      <c r="AS91" s="323"/>
      <c r="AT91" s="323"/>
      <c r="AU91" s="323"/>
      <c r="AV91" s="323"/>
      <c r="AW91" s="323"/>
      <c r="AX91" s="323"/>
      <c r="AY91" s="323"/>
      <c r="AZ91" s="323"/>
      <c r="BA91" s="323"/>
      <c r="BB91" s="323"/>
      <c r="BC91" s="323"/>
      <c r="BD91" s="323"/>
      <c r="BE91" s="323"/>
      <c r="BF91" s="323"/>
      <c r="BG91" s="323"/>
      <c r="BH91" s="323"/>
    </row>
    <row r="92" spans="2:66" s="947" customFormat="1">
      <c r="B92" s="946" t="s">
        <v>497</v>
      </c>
      <c r="D92" s="942">
        <f>SUM(D90:D91)</f>
        <v>-1353.7619047619048</v>
      </c>
      <c r="E92" s="942">
        <f t="shared" ref="E92:AM92" si="52">SUM(E90:E91)</f>
        <v>-1353.7619047619048</v>
      </c>
      <c r="F92" s="942">
        <f t="shared" si="52"/>
        <v>-1353.7619047619048</v>
      </c>
      <c r="G92" s="942">
        <f t="shared" si="52"/>
        <v>-1353.7619047619048</v>
      </c>
      <c r="H92" s="942">
        <f t="shared" si="52"/>
        <v>-1353.7619047619048</v>
      </c>
      <c r="I92" s="942">
        <f t="shared" si="52"/>
        <v>-1353.7619047619048</v>
      </c>
      <c r="J92" s="942">
        <f t="shared" si="52"/>
        <v>-1353.7619047619048</v>
      </c>
      <c r="K92" s="942">
        <f t="shared" si="52"/>
        <v>-1353.7619047619048</v>
      </c>
      <c r="L92" s="942">
        <f t="shared" si="52"/>
        <v>-1353.7619047619048</v>
      </c>
      <c r="M92" s="942">
        <f t="shared" si="52"/>
        <v>-1353.7619047619048</v>
      </c>
      <c r="N92" s="942">
        <f t="shared" si="52"/>
        <v>-1353.7619047619048</v>
      </c>
      <c r="O92" s="942">
        <f t="shared" si="52"/>
        <v>-1353.7619047619048</v>
      </c>
      <c r="P92" s="943">
        <f t="shared" si="52"/>
        <v>-2627.6309523809523</v>
      </c>
      <c r="Q92" s="944">
        <f t="shared" si="52"/>
        <v>-2627.6309523809523</v>
      </c>
      <c r="R92" s="944">
        <f t="shared" si="52"/>
        <v>-2627.6309523809523</v>
      </c>
      <c r="S92" s="944">
        <f t="shared" si="52"/>
        <v>-2627.6309523809523</v>
      </c>
      <c r="T92" s="944">
        <f t="shared" si="52"/>
        <v>-2627.6309523809523</v>
      </c>
      <c r="U92" s="944">
        <f t="shared" si="52"/>
        <v>-2627.6309523809523</v>
      </c>
      <c r="V92" s="944">
        <f t="shared" si="52"/>
        <v>-2627.6309523809523</v>
      </c>
      <c r="W92" s="944">
        <f t="shared" si="52"/>
        <v>-2627.6309523809523</v>
      </c>
      <c r="X92" s="944">
        <f t="shared" si="52"/>
        <v>-2627.6309523809523</v>
      </c>
      <c r="Y92" s="944">
        <f t="shared" si="52"/>
        <v>-2627.6309523809523</v>
      </c>
      <c r="Z92" s="944">
        <f t="shared" si="52"/>
        <v>-2627.6309523809523</v>
      </c>
      <c r="AA92" s="945">
        <f t="shared" si="52"/>
        <v>-2627.6309523809523</v>
      </c>
      <c r="AB92" s="943">
        <f t="shared" si="52"/>
        <v>-7687.8333333333339</v>
      </c>
      <c r="AC92" s="944">
        <f t="shared" si="52"/>
        <v>-7687.8333333333339</v>
      </c>
      <c r="AD92" s="944">
        <f t="shared" si="52"/>
        <v>-7687.8333333333339</v>
      </c>
      <c r="AE92" s="944">
        <f t="shared" si="52"/>
        <v>-7687.8333333333339</v>
      </c>
      <c r="AF92" s="944">
        <f t="shared" si="52"/>
        <v>-7687.8333333333339</v>
      </c>
      <c r="AG92" s="944">
        <f t="shared" si="52"/>
        <v>-7687.8333333333339</v>
      </c>
      <c r="AH92" s="944">
        <f t="shared" si="52"/>
        <v>-7687.8333333333339</v>
      </c>
      <c r="AI92" s="944">
        <f t="shared" si="52"/>
        <v>-7687.8333333333339</v>
      </c>
      <c r="AJ92" s="944">
        <f t="shared" si="52"/>
        <v>-7687.8333333333339</v>
      </c>
      <c r="AK92" s="944">
        <f t="shared" si="52"/>
        <v>-7687.8333333333339</v>
      </c>
      <c r="AL92" s="944">
        <f t="shared" si="52"/>
        <v>-7687.8333333333339</v>
      </c>
      <c r="AM92" s="945">
        <f t="shared" si="52"/>
        <v>-7687.8333333333339</v>
      </c>
      <c r="AN92" s="323"/>
      <c r="AO92" s="323"/>
      <c r="AP92" s="323"/>
      <c r="AQ92" s="323"/>
      <c r="AR92" s="323"/>
      <c r="AS92" s="323"/>
      <c r="AT92" s="323"/>
      <c r="AU92" s="323"/>
      <c r="AV92" s="323"/>
      <c r="AW92" s="323"/>
      <c r="AX92" s="323"/>
      <c r="AY92" s="323"/>
      <c r="AZ92" s="323"/>
      <c r="BA92" s="323"/>
      <c r="BB92" s="323"/>
      <c r="BC92" s="323"/>
      <c r="BD92" s="323"/>
      <c r="BE92" s="323"/>
      <c r="BF92" s="323"/>
      <c r="BG92" s="323"/>
      <c r="BH92" s="323"/>
      <c r="BI92" s="593"/>
      <c r="BJ92" s="593"/>
      <c r="BK92" s="593"/>
      <c r="BL92" s="593"/>
      <c r="BM92" s="593"/>
      <c r="BN92" s="593"/>
    </row>
    <row r="93" spans="2:66" ht="15" customHeight="1">
      <c r="E93" s="323"/>
      <c r="F93" s="323"/>
      <c r="G93" s="323"/>
      <c r="H93" s="323"/>
      <c r="I93" s="323"/>
      <c r="J93" s="323"/>
      <c r="K93" s="323"/>
      <c r="L93" s="323"/>
      <c r="M93" s="323"/>
      <c r="N93" s="323"/>
      <c r="O93" s="598"/>
      <c r="P93" s="924"/>
      <c r="Q93" s="598"/>
      <c r="R93" s="598"/>
      <c r="S93" s="598"/>
      <c r="T93" s="598"/>
      <c r="U93" s="598"/>
      <c r="V93" s="598"/>
      <c r="W93" s="598"/>
      <c r="X93" s="598"/>
      <c r="Y93" s="598"/>
      <c r="Z93" s="598"/>
      <c r="AA93" s="925"/>
      <c r="AB93" s="924"/>
      <c r="AC93" s="598"/>
      <c r="AD93" s="598"/>
      <c r="AE93" s="598"/>
      <c r="AF93" s="598"/>
      <c r="AG93" s="598"/>
      <c r="AH93" s="598"/>
      <c r="AI93" s="598"/>
      <c r="AJ93" s="598"/>
      <c r="AK93" s="598"/>
      <c r="AL93" s="598"/>
      <c r="AM93" s="925"/>
      <c r="AN93" s="323"/>
      <c r="AO93" s="323"/>
      <c r="AP93" s="323"/>
      <c r="AQ93" s="323"/>
      <c r="AR93" s="323"/>
      <c r="AS93" s="323"/>
      <c r="AT93" s="323"/>
      <c r="AU93" s="323"/>
      <c r="AV93" s="323"/>
      <c r="AW93" s="323"/>
      <c r="AX93" s="323"/>
      <c r="AY93" s="323"/>
      <c r="AZ93" s="323"/>
      <c r="BA93" s="323"/>
      <c r="BB93" s="323"/>
      <c r="BC93" s="323"/>
      <c r="BD93" s="323"/>
      <c r="BE93" s="323"/>
      <c r="BF93" s="323"/>
      <c r="BG93" s="323"/>
      <c r="BH93" s="323"/>
    </row>
    <row r="94" spans="2:66" ht="15" customHeight="1">
      <c r="B94" s="401" t="s">
        <v>4</v>
      </c>
      <c r="D94" s="323"/>
      <c r="E94" s="323"/>
      <c r="F94" s="323"/>
      <c r="G94" s="323"/>
      <c r="H94" s="323"/>
      <c r="I94" s="323"/>
      <c r="J94" s="323"/>
      <c r="K94" s="323"/>
      <c r="L94" s="323"/>
      <c r="M94" s="323"/>
      <c r="N94" s="323"/>
      <c r="O94" s="598"/>
      <c r="P94" s="924"/>
      <c r="Q94" s="598"/>
      <c r="R94" s="598"/>
      <c r="S94" s="598"/>
      <c r="T94" s="598"/>
      <c r="U94" s="598"/>
      <c r="V94" s="598"/>
      <c r="W94" s="598"/>
      <c r="X94" s="598"/>
      <c r="Y94" s="598"/>
      <c r="Z94" s="598"/>
      <c r="AA94" s="925"/>
      <c r="AB94" s="924"/>
      <c r="AC94" s="598"/>
      <c r="AD94" s="598"/>
      <c r="AE94" s="598"/>
      <c r="AF94" s="598"/>
      <c r="AG94" s="598"/>
      <c r="AH94" s="598"/>
      <c r="AI94" s="598"/>
      <c r="AJ94" s="598"/>
      <c r="AK94" s="598"/>
      <c r="AL94" s="598"/>
      <c r="AM94" s="925"/>
      <c r="AN94" s="323"/>
      <c r="AO94" s="323"/>
      <c r="AP94" s="323"/>
      <c r="AQ94" s="323"/>
      <c r="AR94" s="323"/>
      <c r="AS94" s="323"/>
      <c r="AT94" s="323"/>
      <c r="AU94" s="323"/>
      <c r="AV94" s="323"/>
      <c r="AW94" s="323"/>
      <c r="AX94" s="323"/>
      <c r="AY94" s="323"/>
      <c r="AZ94" s="323"/>
      <c r="BA94" s="323"/>
      <c r="BB94" s="323"/>
      <c r="BC94" s="323"/>
      <c r="BD94" s="323"/>
      <c r="BE94" s="323"/>
      <c r="BF94" s="323"/>
      <c r="BG94" s="323"/>
      <c r="BH94" s="323"/>
    </row>
    <row r="95" spans="2:66" s="947" customFormat="1" ht="15" customHeight="1">
      <c r="B95" s="948" t="s">
        <v>105</v>
      </c>
      <c r="D95" s="942">
        <f t="shared" ref="D95:AM95" si="53">D77</f>
        <v>-17394.928571428569</v>
      </c>
      <c r="E95" s="942">
        <f t="shared" si="53"/>
        <v>-15460.294056892435</v>
      </c>
      <c r="F95" s="942">
        <f t="shared" si="53"/>
        <v>-11973.331898545737</v>
      </c>
      <c r="G95" s="942">
        <f t="shared" si="53"/>
        <v>-10260.241564539254</v>
      </c>
      <c r="H95" s="942">
        <f t="shared" si="53"/>
        <v>-6725.6225208077503</v>
      </c>
      <c r="I95" s="942">
        <f t="shared" si="53"/>
        <v>-3864.3742310606972</v>
      </c>
      <c r="J95" s="942">
        <f t="shared" si="53"/>
        <v>-368.19615677302909</v>
      </c>
      <c r="K95" s="942">
        <f t="shared" si="53"/>
        <v>-400.97275717582829</v>
      </c>
      <c r="L95" s="942">
        <f t="shared" si="53"/>
        <v>1408.2515107530232</v>
      </c>
      <c r="M95" s="942">
        <f t="shared" si="53"/>
        <v>4516.3221922982411</v>
      </c>
      <c r="N95" s="942">
        <f t="shared" si="53"/>
        <v>7236.7568350165748</v>
      </c>
      <c r="O95" s="942">
        <f t="shared" si="53"/>
        <v>10731.954988746231</v>
      </c>
      <c r="P95" s="943">
        <f t="shared" si="53"/>
        <v>18432.960491330698</v>
      </c>
      <c r="Q95" s="944">
        <f t="shared" si="53"/>
        <v>30258.01532577119</v>
      </c>
      <c r="R95" s="944">
        <f t="shared" si="53"/>
        <v>45920.075334521847</v>
      </c>
      <c r="S95" s="944">
        <f t="shared" si="53"/>
        <v>60372.6410766423</v>
      </c>
      <c r="T95" s="944">
        <f t="shared" si="53"/>
        <v>68879.170113521584</v>
      </c>
      <c r="U95" s="944">
        <f t="shared" si="53"/>
        <v>78478.810008887885</v>
      </c>
      <c r="V95" s="944">
        <f t="shared" si="53"/>
        <v>88278.82832881817</v>
      </c>
      <c r="W95" s="944">
        <f t="shared" si="53"/>
        <v>86139.551941748199</v>
      </c>
      <c r="X95" s="944">
        <f t="shared" si="53"/>
        <v>103978.4165184821</v>
      </c>
      <c r="Y95" s="944">
        <f t="shared" si="53"/>
        <v>116794.65953220238</v>
      </c>
      <c r="Z95" s="944">
        <f t="shared" si="53"/>
        <v>130962.15425847983</v>
      </c>
      <c r="AA95" s="945">
        <f t="shared" si="53"/>
        <v>130097.95547528347</v>
      </c>
      <c r="AB95" s="943">
        <f t="shared" si="53"/>
        <v>98625.114122038038</v>
      </c>
      <c r="AC95" s="944">
        <f t="shared" si="53"/>
        <v>120953.67080344376</v>
      </c>
      <c r="AD95" s="944">
        <f t="shared" si="53"/>
        <v>161497.477743772</v>
      </c>
      <c r="AE95" s="944">
        <f t="shared" si="53"/>
        <v>172155.68519068504</v>
      </c>
      <c r="AF95" s="944">
        <f t="shared" si="53"/>
        <v>204392.14647429337</v>
      </c>
      <c r="AG95" s="944">
        <f t="shared" si="53"/>
        <v>257994.41446716691</v>
      </c>
      <c r="AH95" s="944">
        <f t="shared" si="53"/>
        <v>295575.02158434404</v>
      </c>
      <c r="AI95" s="944">
        <f t="shared" si="53"/>
        <v>312253.35897634272</v>
      </c>
      <c r="AJ95" s="944">
        <f t="shared" si="53"/>
        <v>320083.1778241705</v>
      </c>
      <c r="AK95" s="944">
        <f t="shared" si="53"/>
        <v>369518.87620933517</v>
      </c>
      <c r="AL95" s="944">
        <f t="shared" si="53"/>
        <v>403104.22512145463</v>
      </c>
      <c r="AM95" s="945">
        <f t="shared" si="53"/>
        <v>434029.08847226802</v>
      </c>
      <c r="AN95" s="323"/>
      <c r="AO95" s="323"/>
      <c r="AP95" s="323"/>
      <c r="AQ95" s="323"/>
      <c r="AR95" s="323"/>
      <c r="AS95" s="323"/>
      <c r="AT95" s="323"/>
      <c r="AU95" s="323"/>
      <c r="AV95" s="323"/>
      <c r="AW95" s="323"/>
      <c r="AX95" s="323"/>
      <c r="AY95" s="323"/>
      <c r="AZ95" s="323"/>
      <c r="BA95" s="323"/>
      <c r="BB95" s="323"/>
      <c r="BC95" s="323"/>
      <c r="BD95" s="323"/>
      <c r="BE95" s="323"/>
      <c r="BF95" s="323"/>
      <c r="BG95" s="323"/>
      <c r="BH95" s="323"/>
      <c r="BI95" s="593"/>
      <c r="BJ95" s="593"/>
      <c r="BK95" s="593"/>
      <c r="BL95" s="593"/>
      <c r="BM95" s="593"/>
      <c r="BN95" s="593"/>
    </row>
    <row r="96" spans="2:66" ht="15" customHeight="1">
      <c r="B96" s="661" t="s">
        <v>214</v>
      </c>
      <c r="D96" s="383">
        <f>-D92</f>
        <v>1353.7619047619048</v>
      </c>
      <c r="E96" s="383">
        <f t="shared" ref="E96:AM96" si="54">-E92</f>
        <v>1353.7619047619048</v>
      </c>
      <c r="F96" s="383">
        <f t="shared" si="54"/>
        <v>1353.7619047619048</v>
      </c>
      <c r="G96" s="383">
        <f t="shared" si="54"/>
        <v>1353.7619047619048</v>
      </c>
      <c r="H96" s="383">
        <f t="shared" si="54"/>
        <v>1353.7619047619048</v>
      </c>
      <c r="I96" s="383">
        <f t="shared" si="54"/>
        <v>1353.7619047619048</v>
      </c>
      <c r="J96" s="383">
        <f t="shared" si="54"/>
        <v>1353.7619047619048</v>
      </c>
      <c r="K96" s="383">
        <f t="shared" si="54"/>
        <v>1353.7619047619048</v>
      </c>
      <c r="L96" s="383">
        <f t="shared" si="54"/>
        <v>1353.7619047619048</v>
      </c>
      <c r="M96" s="383">
        <f t="shared" si="54"/>
        <v>1353.7619047619048</v>
      </c>
      <c r="N96" s="383">
        <f t="shared" si="54"/>
        <v>1353.7619047619048</v>
      </c>
      <c r="O96" s="383">
        <f t="shared" si="54"/>
        <v>1353.7619047619048</v>
      </c>
      <c r="P96" s="931">
        <f t="shared" si="54"/>
        <v>2627.6309523809523</v>
      </c>
      <c r="Q96" s="932">
        <f t="shared" si="54"/>
        <v>2627.6309523809523</v>
      </c>
      <c r="R96" s="932">
        <f t="shared" si="54"/>
        <v>2627.6309523809523</v>
      </c>
      <c r="S96" s="932">
        <f t="shared" si="54"/>
        <v>2627.6309523809523</v>
      </c>
      <c r="T96" s="932">
        <f t="shared" si="54"/>
        <v>2627.6309523809523</v>
      </c>
      <c r="U96" s="932">
        <f t="shared" si="54"/>
        <v>2627.6309523809523</v>
      </c>
      <c r="V96" s="932">
        <f t="shared" si="54"/>
        <v>2627.6309523809523</v>
      </c>
      <c r="W96" s="932">
        <f t="shared" si="54"/>
        <v>2627.6309523809523</v>
      </c>
      <c r="X96" s="932">
        <f t="shared" si="54"/>
        <v>2627.6309523809523</v>
      </c>
      <c r="Y96" s="932">
        <f t="shared" si="54"/>
        <v>2627.6309523809523</v>
      </c>
      <c r="Z96" s="932">
        <f t="shared" si="54"/>
        <v>2627.6309523809523</v>
      </c>
      <c r="AA96" s="933">
        <f t="shared" si="54"/>
        <v>2627.6309523809523</v>
      </c>
      <c r="AB96" s="931">
        <f t="shared" si="54"/>
        <v>7687.8333333333339</v>
      </c>
      <c r="AC96" s="932">
        <f t="shared" si="54"/>
        <v>7687.8333333333339</v>
      </c>
      <c r="AD96" s="932">
        <f t="shared" si="54"/>
        <v>7687.8333333333339</v>
      </c>
      <c r="AE96" s="932">
        <f t="shared" si="54"/>
        <v>7687.8333333333339</v>
      </c>
      <c r="AF96" s="932">
        <f t="shared" si="54"/>
        <v>7687.8333333333339</v>
      </c>
      <c r="AG96" s="932">
        <f t="shared" si="54"/>
        <v>7687.8333333333339</v>
      </c>
      <c r="AH96" s="932">
        <f t="shared" si="54"/>
        <v>7687.8333333333339</v>
      </c>
      <c r="AI96" s="932">
        <f t="shared" si="54"/>
        <v>7687.8333333333339</v>
      </c>
      <c r="AJ96" s="932">
        <f t="shared" si="54"/>
        <v>7687.8333333333339</v>
      </c>
      <c r="AK96" s="932">
        <f t="shared" si="54"/>
        <v>7687.8333333333339</v>
      </c>
      <c r="AL96" s="932">
        <f t="shared" si="54"/>
        <v>7687.8333333333339</v>
      </c>
      <c r="AM96" s="933">
        <f t="shared" si="54"/>
        <v>7687.8333333333339</v>
      </c>
      <c r="AN96" s="323"/>
      <c r="AO96" s="323"/>
      <c r="AP96" s="323"/>
      <c r="AQ96" s="323"/>
      <c r="AR96" s="323"/>
      <c r="AS96" s="323"/>
      <c r="AT96" s="323"/>
      <c r="AU96" s="323"/>
      <c r="AV96" s="323"/>
      <c r="AW96" s="323"/>
      <c r="AX96" s="323"/>
      <c r="AY96" s="323"/>
      <c r="AZ96" s="323"/>
      <c r="BA96" s="323"/>
      <c r="BB96" s="323"/>
      <c r="BC96" s="323"/>
      <c r="BD96" s="323"/>
      <c r="BE96" s="323"/>
      <c r="BF96" s="323"/>
      <c r="BG96" s="323"/>
      <c r="BH96" s="323"/>
    </row>
    <row r="97" spans="2:60" s="305" customFormat="1" ht="15" customHeight="1">
      <c r="B97" s="661" t="s">
        <v>215</v>
      </c>
      <c r="D97" s="383">
        <f>-M36</f>
        <v>-49800</v>
      </c>
      <c r="E97" s="383"/>
      <c r="F97" s="383"/>
      <c r="G97" s="383"/>
      <c r="H97" s="383"/>
      <c r="I97" s="383"/>
      <c r="J97" s="383"/>
      <c r="K97" s="383"/>
      <c r="L97" s="383"/>
      <c r="M97" s="383"/>
      <c r="N97" s="383"/>
      <c r="O97" s="932"/>
      <c r="P97" s="924">
        <f>-N36</f>
        <v>-44380</v>
      </c>
      <c r="Q97" s="598"/>
      <c r="R97" s="598"/>
      <c r="S97" s="598"/>
      <c r="T97" s="598"/>
      <c r="U97" s="598"/>
      <c r="V97" s="598"/>
      <c r="W97" s="598"/>
      <c r="X97" s="598"/>
      <c r="Y97" s="598"/>
      <c r="Z97" s="598"/>
      <c r="AA97" s="925"/>
      <c r="AB97" s="924">
        <f>-O36</f>
        <v>-179280</v>
      </c>
      <c r="AC97" s="598"/>
      <c r="AD97" s="598"/>
      <c r="AE97" s="598"/>
      <c r="AF97" s="598"/>
      <c r="AG97" s="598"/>
      <c r="AH97" s="598"/>
      <c r="AI97" s="598"/>
      <c r="AJ97" s="598"/>
      <c r="AK97" s="598"/>
      <c r="AL97" s="598"/>
      <c r="AM97" s="925"/>
      <c r="AN97" s="345"/>
      <c r="AO97" s="345"/>
      <c r="AP97" s="345"/>
      <c r="AQ97" s="345"/>
      <c r="AR97" s="345"/>
      <c r="AS97" s="345"/>
      <c r="AT97" s="345"/>
      <c r="AU97" s="345"/>
      <c r="AV97" s="345"/>
      <c r="AW97" s="345"/>
      <c r="AX97" s="345"/>
      <c r="AY97" s="345"/>
      <c r="AZ97" s="345"/>
      <c r="BA97" s="345"/>
      <c r="BB97" s="345"/>
      <c r="BC97" s="345"/>
      <c r="BD97" s="345"/>
      <c r="BE97" s="345"/>
      <c r="BF97" s="345"/>
      <c r="BG97" s="345"/>
      <c r="BH97" s="345"/>
    </row>
    <row r="98" spans="2:60" ht="15" customHeight="1">
      <c r="B98" s="661" t="s">
        <v>62</v>
      </c>
      <c r="D98" s="383">
        <f>SUM(D95:D97)</f>
        <v>-65841.166666666657</v>
      </c>
      <c r="E98" s="383">
        <f t="shared" ref="E98:AI98" si="55">SUM(E95:E97)</f>
        <v>-14106.53215213053</v>
      </c>
      <c r="F98" s="383">
        <f t="shared" si="55"/>
        <v>-10619.569993783833</v>
      </c>
      <c r="G98" s="383">
        <f t="shared" si="55"/>
        <v>-8906.4796597773493</v>
      </c>
      <c r="H98" s="383">
        <f t="shared" si="55"/>
        <v>-5371.8606160458457</v>
      </c>
      <c r="I98" s="383">
        <f t="shared" si="55"/>
        <v>-2510.6123262987921</v>
      </c>
      <c r="J98" s="383">
        <f t="shared" si="55"/>
        <v>985.56574798887573</v>
      </c>
      <c r="K98" s="383">
        <f t="shared" si="55"/>
        <v>952.78914758607652</v>
      </c>
      <c r="L98" s="383">
        <f t="shared" si="55"/>
        <v>2762.0134155149281</v>
      </c>
      <c r="M98" s="383">
        <f t="shared" si="55"/>
        <v>5870.0840970601457</v>
      </c>
      <c r="N98" s="383">
        <f t="shared" si="55"/>
        <v>8590.5187397784794</v>
      </c>
      <c r="O98" s="383">
        <f t="shared" si="55"/>
        <v>12085.716893508135</v>
      </c>
      <c r="P98" s="931">
        <f t="shared" si="55"/>
        <v>-23319.408556288348</v>
      </c>
      <c r="Q98" s="932">
        <f t="shared" si="55"/>
        <v>32885.64627815214</v>
      </c>
      <c r="R98" s="932">
        <f t="shared" si="55"/>
        <v>48547.706286902801</v>
      </c>
      <c r="S98" s="932">
        <f t="shared" si="55"/>
        <v>63000.272029023254</v>
      </c>
      <c r="T98" s="932">
        <f t="shared" si="55"/>
        <v>71506.801065902531</v>
      </c>
      <c r="U98" s="932">
        <f t="shared" si="55"/>
        <v>81106.440961268832</v>
      </c>
      <c r="V98" s="932">
        <f t="shared" si="55"/>
        <v>90906.459281199117</v>
      </c>
      <c r="W98" s="932">
        <f t="shared" si="55"/>
        <v>88767.182894129146</v>
      </c>
      <c r="X98" s="932">
        <f t="shared" si="55"/>
        <v>106606.04747086305</v>
      </c>
      <c r="Y98" s="932">
        <f t="shared" si="55"/>
        <v>119422.29048458333</v>
      </c>
      <c r="Z98" s="932">
        <f t="shared" si="55"/>
        <v>133589.78521086078</v>
      </c>
      <c r="AA98" s="933">
        <f t="shared" si="55"/>
        <v>132725.58642766441</v>
      </c>
      <c r="AB98" s="931">
        <f t="shared" si="55"/>
        <v>-72967.052544628634</v>
      </c>
      <c r="AC98" s="932">
        <f t="shared" si="55"/>
        <v>128641.50413677709</v>
      </c>
      <c r="AD98" s="932">
        <f t="shared" si="55"/>
        <v>169185.31107710535</v>
      </c>
      <c r="AE98" s="932">
        <f t="shared" si="55"/>
        <v>179843.51852401838</v>
      </c>
      <c r="AF98" s="932">
        <f t="shared" si="55"/>
        <v>212079.97980762672</v>
      </c>
      <c r="AG98" s="932">
        <f t="shared" si="55"/>
        <v>265682.24780050025</v>
      </c>
      <c r="AH98" s="932">
        <f t="shared" si="55"/>
        <v>303262.85491767735</v>
      </c>
      <c r="AI98" s="932">
        <f t="shared" si="55"/>
        <v>319941.19230967603</v>
      </c>
      <c r="AJ98" s="932">
        <f t="shared" ref="AJ98:AM98" si="56">SUM(AJ95:AJ97)</f>
        <v>327771.01115750382</v>
      </c>
      <c r="AK98" s="932">
        <f t="shared" si="56"/>
        <v>377206.70954266848</v>
      </c>
      <c r="AL98" s="932">
        <f t="shared" si="56"/>
        <v>410792.05845478794</v>
      </c>
      <c r="AM98" s="933">
        <f t="shared" si="56"/>
        <v>441716.92180560133</v>
      </c>
      <c r="AN98" s="323"/>
      <c r="AO98" s="323"/>
      <c r="AP98" s="323"/>
      <c r="AQ98" s="323"/>
      <c r="AR98" s="323"/>
      <c r="AS98" s="323"/>
      <c r="AT98" s="323"/>
      <c r="AU98" s="323"/>
      <c r="AV98" s="323"/>
      <c r="AW98" s="323"/>
      <c r="AX98" s="323"/>
      <c r="AY98" s="323"/>
      <c r="AZ98" s="323"/>
      <c r="BA98" s="323"/>
      <c r="BB98" s="323"/>
      <c r="BC98" s="323"/>
      <c r="BD98" s="323"/>
      <c r="BE98" s="323"/>
      <c r="BF98" s="323"/>
      <c r="BG98" s="323"/>
      <c r="BH98" s="323"/>
    </row>
    <row r="99" spans="2:60" ht="15" customHeight="1">
      <c r="B99" s="661" t="s">
        <v>121</v>
      </c>
      <c r="D99" s="333">
        <f>MIN(SUM($D98:D98),0)</f>
        <v>-65841.166666666657</v>
      </c>
      <c r="E99" s="333">
        <f>MIN(SUM($D98:E98),0)</f>
        <v>-79947.698818797187</v>
      </c>
      <c r="F99" s="333">
        <f>MIN(SUM($D98:F98),0)</f>
        <v>-90567.268812581024</v>
      </c>
      <c r="G99" s="333">
        <f>MIN(SUM($D98:G98),0)</f>
        <v>-99473.748472358377</v>
      </c>
      <c r="H99" s="333">
        <f>MIN(SUM($D98:H98),0)</f>
        <v>-104845.60908840422</v>
      </c>
      <c r="I99" s="333">
        <f>MIN(SUM($D98:I98),0)</f>
        <v>-107356.22141470302</v>
      </c>
      <c r="J99" s="333">
        <f>MIN(SUM($D98:J98),0)</f>
        <v>-106370.65566671414</v>
      </c>
      <c r="K99" s="333">
        <f>MIN(SUM($D98:K98),0)</f>
        <v>-105417.86651912806</v>
      </c>
      <c r="L99" s="333">
        <f>MIN(SUM($D98:L98),0)</f>
        <v>-102655.85310361313</v>
      </c>
      <c r="M99" s="333">
        <f>MIN(SUM($D98:M98),0)</f>
        <v>-96785.76900655299</v>
      </c>
      <c r="N99" s="333">
        <f>MIN(SUM($D98:N98),0)</f>
        <v>-88195.250266774514</v>
      </c>
      <c r="O99" s="333">
        <f>MIN(SUM($D98:O98),0)</f>
        <v>-76109.533373266371</v>
      </c>
      <c r="P99" s="914">
        <f>MIN(SUM($D98:P98),0)</f>
        <v>-99428.941929554712</v>
      </c>
      <c r="Q99" s="603">
        <f>MIN(SUM($D98:Q98),0)</f>
        <v>-66543.295651402572</v>
      </c>
      <c r="R99" s="603">
        <f>MIN(SUM($D98:R98),0)</f>
        <v>-17995.58936449977</v>
      </c>
      <c r="S99" s="603">
        <f>MIN(SUM($D98:S98),0)</f>
        <v>0</v>
      </c>
      <c r="T99" s="603">
        <f>MIN(SUM($D98:T98),0)</f>
        <v>0</v>
      </c>
      <c r="U99" s="603">
        <f>MIN(SUM($D98:U98),0)</f>
        <v>0</v>
      </c>
      <c r="V99" s="603">
        <f>MIN(SUM($D98:V98),0)</f>
        <v>0</v>
      </c>
      <c r="W99" s="603">
        <f>MIN(SUM($D98:W98),0)</f>
        <v>0</v>
      </c>
      <c r="X99" s="603">
        <f>MIN(SUM($D98:X98),0)</f>
        <v>0</v>
      </c>
      <c r="Y99" s="603">
        <f>MIN(SUM($D98:Y98),0)</f>
        <v>0</v>
      </c>
      <c r="Z99" s="603">
        <f>MIN(SUM($D98:Z98),0)</f>
        <v>0</v>
      </c>
      <c r="AA99" s="915">
        <f>MIN(SUM($D98:AA98),0)</f>
        <v>0</v>
      </c>
      <c r="AB99" s="914">
        <f>MIN(SUM($D98:AB98),0)</f>
        <v>0</v>
      </c>
      <c r="AC99" s="603">
        <f>MIN(SUM($D98:AC98),0)</f>
        <v>0</v>
      </c>
      <c r="AD99" s="603">
        <f>MIN(SUM($D98:AD98),0)</f>
        <v>0</v>
      </c>
      <c r="AE99" s="603">
        <f>MIN(SUM($D98:AE98),0)</f>
        <v>0</v>
      </c>
      <c r="AF99" s="603">
        <f>MIN(SUM($D98:AF98),0)</f>
        <v>0</v>
      </c>
      <c r="AG99" s="603">
        <f>MIN(SUM($D98:AG98),0)</f>
        <v>0</v>
      </c>
      <c r="AH99" s="603">
        <f>MIN(SUM($D98:AH98),0)</f>
        <v>0</v>
      </c>
      <c r="AI99" s="603">
        <f>MIN(SUM($D98:AI98),0)</f>
        <v>0</v>
      </c>
      <c r="AJ99" s="603">
        <f>MIN(SUM($D98:AJ98),0)</f>
        <v>0</v>
      </c>
      <c r="AK99" s="603">
        <f>MIN(SUM($D98:AK98),0)</f>
        <v>0</v>
      </c>
      <c r="AL99" s="603">
        <f>MIN(SUM($D98:AL98),0)</f>
        <v>0</v>
      </c>
      <c r="AM99" s="915">
        <f>MIN(SUM($D98:AM98),0)</f>
        <v>0</v>
      </c>
      <c r="AN99" s="323"/>
      <c r="AO99" s="323"/>
      <c r="AP99" s="323"/>
      <c r="AQ99" s="323"/>
      <c r="AR99" s="323"/>
      <c r="AS99" s="323"/>
      <c r="AT99" s="323"/>
      <c r="AU99" s="323"/>
      <c r="AV99" s="323"/>
      <c r="AW99" s="323"/>
      <c r="AX99" s="323"/>
      <c r="AY99" s="323"/>
      <c r="AZ99" s="323"/>
      <c r="BA99" s="323"/>
      <c r="BB99" s="323"/>
      <c r="BC99" s="323"/>
      <c r="BD99" s="323"/>
      <c r="BE99" s="323"/>
      <c r="BF99" s="323"/>
      <c r="BG99" s="323"/>
      <c r="BH99" s="323"/>
    </row>
    <row r="100" spans="2:60" ht="15" customHeight="1">
      <c r="B100" s="661" t="s">
        <v>122</v>
      </c>
      <c r="D100" s="333">
        <f>MIN(MAX(SUM($D98:D98),0),MAX(D98,0))</f>
        <v>0</v>
      </c>
      <c r="E100" s="333">
        <f>MIN(MAX(SUM($D98:E98),0),MAX(E98,0))</f>
        <v>0</v>
      </c>
      <c r="F100" s="333">
        <f>MIN(MAX(SUM($D98:F98),0),MAX(F98,0))</f>
        <v>0</v>
      </c>
      <c r="G100" s="333">
        <f>MIN(MAX(SUM($D98:G98),0),MAX(G98,0))</f>
        <v>0</v>
      </c>
      <c r="H100" s="333">
        <f>MIN(MAX(SUM($D98:H98),0),MAX(H98,0))</f>
        <v>0</v>
      </c>
      <c r="I100" s="333">
        <f>MIN(MAX(SUM($D98:I98),0),MAX(I98,0))</f>
        <v>0</v>
      </c>
      <c r="J100" s="333">
        <f>MIN(MAX(SUM($D98:J98),0),MAX(J98,0))</f>
        <v>0</v>
      </c>
      <c r="K100" s="333">
        <f>MIN(MAX(SUM($D98:K98),0),MAX(K98,0))</f>
        <v>0</v>
      </c>
      <c r="L100" s="333">
        <f>MIN(MAX(SUM($D98:L98),0),MAX(L98,0))</f>
        <v>0</v>
      </c>
      <c r="M100" s="333">
        <f>MIN(MAX(SUM($D98:M98),0),MAX(M98,0))</f>
        <v>0</v>
      </c>
      <c r="N100" s="333">
        <f>MIN(MAX(SUM($D98:N98),0),MAX(N98,0))</f>
        <v>0</v>
      </c>
      <c r="O100" s="333">
        <f>MIN(MAX(SUM($D98:O98),0),MAX(O98,0))</f>
        <v>0</v>
      </c>
      <c r="P100" s="914">
        <f>MIN(MAX(SUM($D98:P98),0),MAX(P98,0))</f>
        <v>0</v>
      </c>
      <c r="Q100" s="603">
        <f>MIN(MAX(SUM($D98:Q98),0),MAX(Q98,0))</f>
        <v>0</v>
      </c>
      <c r="R100" s="603">
        <f>MIN(MAX(SUM($D98:R98),0),MAX(R98,0))</f>
        <v>0</v>
      </c>
      <c r="S100" s="603">
        <f>MIN(MAX(SUM($D98:S98),0),MAX(S98,0))</f>
        <v>45004.682664523483</v>
      </c>
      <c r="T100" s="603">
        <f>MIN(MAX(SUM($D98:T98),0),MAX(T98,0))</f>
        <v>71506.801065902531</v>
      </c>
      <c r="U100" s="603">
        <f>MIN(MAX(SUM($D98:U98),0),MAX(U98,0))</f>
        <v>81106.440961268832</v>
      </c>
      <c r="V100" s="603">
        <f>MIN(MAX(SUM($D98:V98),0),MAX(V98,0))</f>
        <v>90906.459281199117</v>
      </c>
      <c r="W100" s="603">
        <f>MIN(MAX(SUM($D98:W98),0),MAX(W98,0))</f>
        <v>88767.182894129146</v>
      </c>
      <c r="X100" s="603">
        <f>MIN(MAX(SUM($D98:X98),0),MAX(X98,0))</f>
        <v>106606.04747086305</v>
      </c>
      <c r="Y100" s="603">
        <f>MIN(MAX(SUM($D98:Y98),0),MAX(Y98,0))</f>
        <v>119422.29048458333</v>
      </c>
      <c r="Z100" s="603">
        <f>MIN(MAX(SUM($D98:Z98),0),MAX(Z98,0))</f>
        <v>133589.78521086078</v>
      </c>
      <c r="AA100" s="915">
        <f>MIN(MAX(SUM($D98:AA98),0),MAX(AA98,0))</f>
        <v>132725.58642766441</v>
      </c>
      <c r="AB100" s="914">
        <f>MIN(MAX(SUM($D98:AB98),0),MAX(AB98,0))</f>
        <v>0</v>
      </c>
      <c r="AC100" s="603">
        <f>MIN(MAX(SUM($D98:AC98),0),MAX(AC98,0))</f>
        <v>128641.50413677709</v>
      </c>
      <c r="AD100" s="603">
        <f>MIN(MAX(SUM($D98:AD98),0),MAX(AD98,0))</f>
        <v>169185.31107710535</v>
      </c>
      <c r="AE100" s="603">
        <f>MIN(MAX(SUM($D98:AE98),0),MAX(AE98,0))</f>
        <v>179843.51852401838</v>
      </c>
      <c r="AF100" s="603">
        <f>MIN(MAX(SUM($D98:AF98),0),MAX(AF98,0))</f>
        <v>212079.97980762672</v>
      </c>
      <c r="AG100" s="603">
        <f>MIN(MAX(SUM($D98:AG98),0),MAX(AG98,0))</f>
        <v>265682.24780050025</v>
      </c>
      <c r="AH100" s="603">
        <f>MIN(MAX(SUM($D98:AH98),0),MAX(AH98,0))</f>
        <v>303262.85491767735</v>
      </c>
      <c r="AI100" s="603">
        <f>MIN(MAX(SUM($D98:AI98),0),MAX(AI98,0))</f>
        <v>319941.19230967603</v>
      </c>
      <c r="AJ100" s="603">
        <f>MIN(MAX(SUM($D98:AJ98),0),MAX(AJ98,0))</f>
        <v>327771.01115750382</v>
      </c>
      <c r="AK100" s="603">
        <f>MIN(MAX(SUM($D98:AK98),0),MAX(AK98,0))</f>
        <v>377206.70954266848</v>
      </c>
      <c r="AL100" s="603">
        <f>MIN(MAX(SUM($D98:AL98),0),MAX(AL98,0))</f>
        <v>410792.05845478794</v>
      </c>
      <c r="AM100" s="915">
        <f>MIN(MAX(SUM($D98:AM98),0),MAX(AM98,0))</f>
        <v>441716.92180560133</v>
      </c>
      <c r="AN100" s="323"/>
      <c r="AO100" s="323"/>
      <c r="AP100" s="323"/>
      <c r="AQ100" s="323"/>
      <c r="AR100" s="323"/>
      <c r="AS100" s="323"/>
      <c r="AT100" s="323"/>
      <c r="AU100" s="323"/>
      <c r="AV100" s="323"/>
      <c r="AW100" s="323"/>
      <c r="AX100" s="323"/>
      <c r="AY100" s="323"/>
      <c r="AZ100" s="323"/>
      <c r="BA100" s="323"/>
      <c r="BB100" s="323"/>
      <c r="BC100" s="323"/>
      <c r="BD100" s="323"/>
      <c r="BE100" s="323"/>
      <c r="BF100" s="323"/>
      <c r="BG100" s="323"/>
      <c r="BH100" s="323"/>
    </row>
    <row r="101" spans="2:60" ht="15" customHeight="1">
      <c r="B101" s="661" t="s">
        <v>162</v>
      </c>
      <c r="D101" s="333">
        <f>$D$46*D100</f>
        <v>0</v>
      </c>
      <c r="E101" s="333">
        <f t="shared" ref="E101:AI101" si="57">$D$46*E100</f>
        <v>0</v>
      </c>
      <c r="F101" s="333">
        <f t="shared" si="57"/>
        <v>0</v>
      </c>
      <c r="G101" s="333">
        <f t="shared" si="57"/>
        <v>0</v>
      </c>
      <c r="H101" s="333">
        <f t="shared" si="57"/>
        <v>0</v>
      </c>
      <c r="I101" s="333">
        <f t="shared" si="57"/>
        <v>0</v>
      </c>
      <c r="J101" s="333">
        <f t="shared" si="57"/>
        <v>0</v>
      </c>
      <c r="K101" s="333">
        <f t="shared" si="57"/>
        <v>0</v>
      </c>
      <c r="L101" s="333">
        <f t="shared" si="57"/>
        <v>0</v>
      </c>
      <c r="M101" s="333">
        <f t="shared" si="57"/>
        <v>0</v>
      </c>
      <c r="N101" s="333">
        <f t="shared" si="57"/>
        <v>0</v>
      </c>
      <c r="O101" s="333">
        <f t="shared" si="57"/>
        <v>0</v>
      </c>
      <c r="P101" s="914">
        <f t="shared" si="57"/>
        <v>0</v>
      </c>
      <c r="Q101" s="603">
        <f t="shared" si="57"/>
        <v>0</v>
      </c>
      <c r="R101" s="603">
        <f t="shared" si="57"/>
        <v>0</v>
      </c>
      <c r="S101" s="603">
        <f t="shared" si="57"/>
        <v>11251.170666130871</v>
      </c>
      <c r="T101" s="603">
        <f t="shared" si="57"/>
        <v>17876.700266475633</v>
      </c>
      <c r="U101" s="603">
        <f t="shared" si="57"/>
        <v>20276.610240317208</v>
      </c>
      <c r="V101" s="603">
        <f t="shared" si="57"/>
        <v>22726.614820299779</v>
      </c>
      <c r="W101" s="603">
        <f t="shared" si="57"/>
        <v>22191.795723532287</v>
      </c>
      <c r="X101" s="603">
        <f t="shared" si="57"/>
        <v>26651.511867715762</v>
      </c>
      <c r="Y101" s="603">
        <f t="shared" si="57"/>
        <v>29855.572621145831</v>
      </c>
      <c r="Z101" s="603">
        <f t="shared" si="57"/>
        <v>33397.446302715194</v>
      </c>
      <c r="AA101" s="915">
        <f t="shared" si="57"/>
        <v>33181.396606916103</v>
      </c>
      <c r="AB101" s="914">
        <f>$D$46*AB100</f>
        <v>0</v>
      </c>
      <c r="AC101" s="603">
        <f t="shared" si="57"/>
        <v>32160.376034194273</v>
      </c>
      <c r="AD101" s="603">
        <f t="shared" si="57"/>
        <v>42296.327769276337</v>
      </c>
      <c r="AE101" s="603">
        <f t="shared" si="57"/>
        <v>44960.879631004595</v>
      </c>
      <c r="AF101" s="603">
        <f t="shared" si="57"/>
        <v>53019.994951906679</v>
      </c>
      <c r="AG101" s="603">
        <f t="shared" si="57"/>
        <v>66420.561950125062</v>
      </c>
      <c r="AH101" s="603">
        <f t="shared" si="57"/>
        <v>75815.713729419338</v>
      </c>
      <c r="AI101" s="603">
        <f t="shared" si="57"/>
        <v>79985.298077419007</v>
      </c>
      <c r="AJ101" s="603">
        <f t="shared" ref="AJ101:AM101" si="58">$D$46*AJ100</f>
        <v>81942.752789375954</v>
      </c>
      <c r="AK101" s="603">
        <f t="shared" si="58"/>
        <v>94301.677385667121</v>
      </c>
      <c r="AL101" s="603">
        <f t="shared" si="58"/>
        <v>102698.01461369699</v>
      </c>
      <c r="AM101" s="915">
        <f t="shared" si="58"/>
        <v>110429.23045140033</v>
      </c>
      <c r="AN101" s="323"/>
      <c r="AO101" s="323"/>
      <c r="AP101" s="323"/>
      <c r="AQ101" s="323"/>
      <c r="AR101" s="323"/>
      <c r="AS101" s="323"/>
      <c r="AT101" s="323"/>
      <c r="AU101" s="323"/>
      <c r="AV101" s="323"/>
      <c r="AW101" s="323"/>
      <c r="AX101" s="323"/>
      <c r="AY101" s="323"/>
      <c r="AZ101" s="323"/>
      <c r="BA101" s="323"/>
      <c r="BB101" s="323"/>
      <c r="BC101" s="323"/>
      <c r="BD101" s="323"/>
      <c r="BE101" s="323"/>
      <c r="BF101" s="323"/>
      <c r="BG101" s="323"/>
      <c r="BH101" s="323"/>
    </row>
    <row r="102" spans="2:60" ht="15" customHeight="1">
      <c r="D102" s="323"/>
      <c r="E102" s="323"/>
      <c r="F102" s="323"/>
      <c r="G102" s="323"/>
      <c r="H102" s="323"/>
      <c r="I102" s="323"/>
      <c r="J102" s="323"/>
      <c r="K102" s="323"/>
      <c r="L102" s="323"/>
      <c r="M102" s="323"/>
      <c r="N102" s="323"/>
      <c r="O102" s="598"/>
      <c r="P102" s="598"/>
      <c r="Q102" s="323"/>
      <c r="R102" s="323"/>
      <c r="S102" s="323"/>
      <c r="T102" s="323"/>
      <c r="U102" s="323"/>
      <c r="V102" s="323"/>
      <c r="W102" s="323"/>
      <c r="X102" s="323"/>
      <c r="Y102" s="323"/>
      <c r="Z102" s="323"/>
      <c r="AA102" s="598"/>
      <c r="AB102" s="598"/>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s="323"/>
      <c r="BE102" s="323"/>
      <c r="BF102" s="323"/>
      <c r="BG102" s="323"/>
      <c r="BH102" s="323"/>
    </row>
    <row r="103" spans="2:60" ht="15" customHeight="1">
      <c r="D103" s="323"/>
      <c r="E103" s="323"/>
      <c r="F103" s="323"/>
      <c r="G103" s="323"/>
      <c r="H103" s="323"/>
      <c r="I103" s="323"/>
      <c r="J103" s="323"/>
      <c r="K103" s="323"/>
      <c r="L103" s="323"/>
      <c r="M103" s="323"/>
      <c r="N103" s="323"/>
      <c r="O103" s="598"/>
      <c r="P103" s="598"/>
      <c r="Q103" s="323"/>
      <c r="R103" s="323"/>
      <c r="S103" s="323"/>
      <c r="T103" s="323"/>
      <c r="U103" s="323"/>
      <c r="V103" s="323"/>
      <c r="W103" s="323"/>
      <c r="X103" s="323"/>
      <c r="Y103" s="323"/>
      <c r="Z103" s="323"/>
      <c r="AA103" s="323"/>
      <c r="AB103" s="598"/>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row>
    <row r="104" spans="2:60" s="305" customFormat="1" ht="15" customHeight="1">
      <c r="D104" s="323"/>
      <c r="E104" s="323"/>
      <c r="F104" s="323"/>
      <c r="G104" s="323"/>
      <c r="H104" s="323"/>
      <c r="I104" s="323"/>
      <c r="J104" s="323"/>
      <c r="K104" s="323"/>
      <c r="L104" s="323"/>
      <c r="M104" s="323"/>
      <c r="N104" s="323"/>
      <c r="O104" s="598"/>
      <c r="P104" s="598"/>
      <c r="Q104" s="323"/>
      <c r="R104" s="323"/>
      <c r="S104" s="323"/>
      <c r="T104" s="323"/>
      <c r="U104" s="323"/>
      <c r="V104" s="323"/>
      <c r="W104" s="323"/>
      <c r="X104" s="323"/>
      <c r="Y104" s="323"/>
      <c r="Z104" s="323"/>
      <c r="AA104" s="598"/>
      <c r="AB104" s="598"/>
      <c r="AC104" s="323"/>
      <c r="AD104" s="323"/>
      <c r="AE104" s="323"/>
      <c r="AF104" s="323"/>
      <c r="AG104" s="323"/>
      <c r="AH104" s="323"/>
      <c r="AI104" s="323"/>
      <c r="AJ104" s="323"/>
      <c r="AK104" s="323"/>
      <c r="AL104" s="323"/>
      <c r="AM104" s="323"/>
      <c r="AN104" s="345"/>
      <c r="AO104" s="345"/>
      <c r="AP104" s="345"/>
      <c r="AQ104" s="345"/>
      <c r="AR104" s="345"/>
      <c r="AS104" s="345"/>
      <c r="AT104" s="345"/>
      <c r="AU104" s="345"/>
      <c r="AV104" s="345"/>
      <c r="AW104" s="345"/>
      <c r="AX104" s="345"/>
      <c r="AY104" s="345"/>
      <c r="AZ104" s="345"/>
      <c r="BA104" s="345"/>
      <c r="BB104" s="345"/>
      <c r="BC104" s="345"/>
      <c r="BD104" s="345"/>
      <c r="BE104" s="345"/>
      <c r="BF104" s="345"/>
      <c r="BG104" s="345"/>
      <c r="BH104" s="345"/>
    </row>
    <row r="105" spans="2:60" s="305" customFormat="1">
      <c r="D105" s="345"/>
      <c r="E105" s="345"/>
      <c r="F105" s="345"/>
      <c r="G105" s="345"/>
      <c r="H105" s="345"/>
      <c r="I105" s="345"/>
      <c r="J105" s="345"/>
      <c r="K105" s="345"/>
      <c r="L105" s="345"/>
      <c r="M105" s="345"/>
      <c r="N105" s="345"/>
      <c r="O105" s="591"/>
      <c r="P105" s="591"/>
      <c r="Q105" s="345"/>
      <c r="R105" s="345"/>
      <c r="S105" s="345"/>
      <c r="T105" s="345"/>
      <c r="U105" s="345"/>
      <c r="V105" s="345"/>
      <c r="W105" s="345"/>
      <c r="X105" s="345"/>
      <c r="Y105" s="345"/>
      <c r="Z105" s="345"/>
      <c r="AA105" s="591"/>
      <c r="AB105" s="591"/>
      <c r="AC105" s="345"/>
      <c r="AD105" s="345"/>
      <c r="AE105" s="345"/>
      <c r="AF105" s="345"/>
      <c r="AG105" s="345"/>
      <c r="AH105" s="345"/>
      <c r="AI105" s="345"/>
      <c r="AJ105" s="345"/>
      <c r="AK105" s="345"/>
      <c r="AL105" s="345"/>
      <c r="AM105" s="345"/>
      <c r="AN105" s="345"/>
      <c r="AO105" s="345"/>
      <c r="AP105" s="345"/>
      <c r="AQ105" s="345"/>
      <c r="AR105" s="345"/>
      <c r="AS105" s="345"/>
      <c r="AT105" s="345"/>
      <c r="AU105" s="345"/>
      <c r="AV105" s="345"/>
      <c r="AW105" s="345"/>
      <c r="AX105" s="345"/>
      <c r="AY105" s="345"/>
      <c r="AZ105" s="345"/>
      <c r="BA105" s="345"/>
      <c r="BB105" s="345"/>
      <c r="BC105" s="345"/>
      <c r="BD105" s="345"/>
      <c r="BE105" s="345"/>
      <c r="BF105" s="345"/>
      <c r="BG105" s="345"/>
      <c r="BH105" s="345"/>
    </row>
    <row r="106" spans="2:60" s="305" customFormat="1">
      <c r="B106" s="593"/>
      <c r="C106" s="593"/>
      <c r="D106" s="323"/>
      <c r="E106" s="323"/>
      <c r="F106" s="323"/>
      <c r="G106" s="323"/>
      <c r="H106" s="323"/>
      <c r="I106" s="323"/>
      <c r="J106" s="323"/>
      <c r="K106" s="323"/>
      <c r="L106" s="323"/>
      <c r="M106" s="323"/>
      <c r="N106" s="323"/>
      <c r="O106" s="598"/>
      <c r="P106" s="598"/>
      <c r="Q106" s="323"/>
      <c r="R106" s="323"/>
      <c r="S106" s="323"/>
      <c r="T106" s="323"/>
      <c r="U106" s="323"/>
      <c r="V106" s="323"/>
      <c r="W106" s="323"/>
      <c r="X106" s="323"/>
      <c r="Y106" s="323"/>
      <c r="Z106" s="323"/>
      <c r="AA106" s="598"/>
      <c r="AB106" s="598"/>
      <c r="AC106" s="323"/>
      <c r="AD106" s="323"/>
      <c r="AE106" s="323"/>
      <c r="AF106" s="323"/>
      <c r="AG106" s="323"/>
      <c r="AH106" s="323"/>
      <c r="AI106" s="323"/>
      <c r="AJ106" s="323"/>
      <c r="AK106" s="323"/>
      <c r="AL106" s="323"/>
      <c r="AM106" s="323"/>
      <c r="AN106" s="345"/>
      <c r="AO106" s="345"/>
      <c r="AP106" s="345"/>
      <c r="AQ106" s="345"/>
      <c r="AR106" s="345"/>
      <c r="AS106" s="345"/>
      <c r="AT106" s="345"/>
      <c r="AU106" s="345"/>
      <c r="AV106" s="345"/>
      <c r="AW106" s="345"/>
      <c r="AX106" s="345"/>
      <c r="AY106" s="345"/>
      <c r="AZ106" s="345"/>
      <c r="BA106" s="345"/>
      <c r="BB106" s="345"/>
      <c r="BC106" s="345"/>
      <c r="BD106" s="345"/>
      <c r="BE106" s="345"/>
      <c r="BF106" s="345"/>
      <c r="BG106" s="345"/>
      <c r="BH106" s="345"/>
    </row>
    <row r="107" spans="2:60" s="305" customFormat="1">
      <c r="B107" s="593"/>
      <c r="C107" s="593"/>
      <c r="D107" s="593"/>
      <c r="E107" s="323"/>
      <c r="F107" s="323"/>
      <c r="G107" s="323"/>
      <c r="H107" s="323"/>
      <c r="I107" s="323"/>
      <c r="J107" s="323"/>
      <c r="K107" s="323"/>
      <c r="L107" s="323"/>
      <c r="M107" s="323"/>
      <c r="N107" s="323"/>
      <c r="O107" s="598"/>
      <c r="P107" s="598"/>
      <c r="Q107" s="323"/>
      <c r="R107" s="323"/>
      <c r="S107" s="323"/>
      <c r="T107" s="323"/>
      <c r="U107" s="323"/>
      <c r="V107" s="323"/>
      <c r="W107" s="323"/>
      <c r="X107" s="323"/>
      <c r="Y107" s="323"/>
      <c r="Z107" s="323"/>
      <c r="AA107" s="598"/>
      <c r="AB107" s="598"/>
      <c r="AC107" s="323"/>
      <c r="AD107" s="323"/>
      <c r="AE107" s="323"/>
      <c r="AF107" s="323"/>
      <c r="AG107" s="323"/>
      <c r="AH107" s="323"/>
      <c r="AI107" s="323"/>
      <c r="AJ107" s="323"/>
      <c r="AK107" s="323"/>
      <c r="AL107" s="323"/>
      <c r="AM107" s="323"/>
      <c r="AN107" s="345"/>
      <c r="AO107" s="345"/>
      <c r="AP107" s="345"/>
      <c r="AQ107" s="345"/>
      <c r="AR107" s="345"/>
      <c r="AS107" s="345"/>
      <c r="AT107" s="345"/>
      <c r="AU107" s="345"/>
      <c r="AV107" s="345"/>
      <c r="AW107" s="345"/>
      <c r="AX107" s="345"/>
      <c r="AY107" s="345"/>
      <c r="AZ107" s="345"/>
      <c r="BA107" s="345"/>
      <c r="BB107" s="345"/>
      <c r="BC107" s="345"/>
      <c r="BD107" s="345"/>
      <c r="BE107" s="345"/>
      <c r="BF107" s="345"/>
      <c r="BG107" s="345"/>
      <c r="BH107" s="345"/>
    </row>
    <row r="108" spans="2:60" s="305" customFormat="1">
      <c r="B108" s="593"/>
      <c r="C108" s="593"/>
      <c r="D108" s="323"/>
      <c r="E108" s="323"/>
      <c r="F108" s="323"/>
      <c r="G108" s="323"/>
      <c r="H108" s="323"/>
      <c r="I108" s="323"/>
      <c r="J108" s="323"/>
      <c r="K108" s="323"/>
      <c r="L108" s="323"/>
      <c r="M108" s="323"/>
      <c r="N108" s="323"/>
      <c r="O108" s="598"/>
      <c r="P108" s="598"/>
      <c r="Q108" s="323"/>
      <c r="R108" s="323"/>
      <c r="S108" s="323"/>
      <c r="T108" s="323"/>
      <c r="U108" s="323"/>
      <c r="V108" s="323"/>
      <c r="W108" s="323"/>
      <c r="X108" s="323"/>
      <c r="Y108" s="323"/>
      <c r="Z108" s="323"/>
      <c r="AA108" s="598"/>
      <c r="AB108" s="598"/>
      <c r="AC108" s="323"/>
      <c r="AD108" s="323"/>
      <c r="AE108" s="323"/>
      <c r="AF108" s="323"/>
      <c r="AG108" s="323"/>
      <c r="AH108" s="323"/>
      <c r="AI108" s="323"/>
      <c r="AJ108" s="323"/>
      <c r="AK108" s="323"/>
      <c r="AL108" s="323"/>
      <c r="AM108" s="323"/>
      <c r="AN108" s="345"/>
      <c r="AO108" s="345"/>
      <c r="AP108" s="345"/>
      <c r="AQ108" s="345"/>
      <c r="AR108" s="345"/>
      <c r="AS108" s="345"/>
      <c r="AT108" s="345"/>
      <c r="AU108" s="345"/>
      <c r="AV108" s="345"/>
      <c r="AW108" s="345"/>
      <c r="AX108" s="345"/>
      <c r="AY108" s="345"/>
      <c r="AZ108" s="345"/>
      <c r="BA108" s="345"/>
      <c r="BB108" s="345"/>
      <c r="BC108" s="345"/>
      <c r="BD108" s="345"/>
      <c r="BE108" s="345"/>
      <c r="BF108" s="345"/>
      <c r="BG108" s="345"/>
      <c r="BH108" s="345"/>
    </row>
    <row r="109" spans="2:60">
      <c r="D109" s="323"/>
      <c r="E109" s="323"/>
      <c r="F109" s="323"/>
      <c r="G109" s="323"/>
      <c r="H109" s="323"/>
      <c r="I109" s="323"/>
      <c r="J109" s="323"/>
      <c r="K109" s="323"/>
      <c r="L109" s="323"/>
      <c r="M109" s="323"/>
      <c r="N109" s="323"/>
      <c r="O109" s="598"/>
      <c r="P109" s="598"/>
      <c r="Q109" s="323"/>
      <c r="R109" s="323"/>
      <c r="S109" s="323"/>
      <c r="T109" s="323"/>
      <c r="U109" s="323"/>
      <c r="V109" s="323"/>
      <c r="W109" s="323"/>
      <c r="X109" s="323"/>
      <c r="Y109" s="323"/>
      <c r="Z109" s="323"/>
      <c r="AA109" s="598"/>
      <c r="AB109" s="598"/>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row>
    <row r="110" spans="2:60">
      <c r="D110" s="323"/>
      <c r="E110" s="323"/>
      <c r="F110" s="323"/>
      <c r="G110" s="323"/>
      <c r="H110" s="323"/>
      <c r="I110" s="323"/>
      <c r="J110" s="323"/>
      <c r="K110" s="323"/>
      <c r="L110" s="323"/>
      <c r="M110" s="323"/>
      <c r="N110" s="323"/>
      <c r="O110" s="598"/>
      <c r="P110" s="598"/>
      <c r="Q110" s="323"/>
      <c r="R110" s="323"/>
      <c r="S110" s="323"/>
      <c r="T110" s="323"/>
      <c r="U110" s="323"/>
      <c r="V110" s="323"/>
      <c r="W110" s="323"/>
      <c r="X110" s="323"/>
      <c r="Y110" s="323"/>
      <c r="Z110" s="323"/>
      <c r="AA110" s="323"/>
      <c r="AB110" s="598"/>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row>
    <row r="111" spans="2:60">
      <c r="B111" s="305"/>
      <c r="C111" s="305"/>
      <c r="D111" s="323"/>
      <c r="E111" s="323"/>
      <c r="F111" s="323"/>
      <c r="G111" s="323"/>
      <c r="H111" s="323"/>
      <c r="I111" s="323"/>
      <c r="J111" s="323"/>
      <c r="K111" s="323"/>
      <c r="L111" s="323"/>
      <c r="M111" s="323"/>
      <c r="N111" s="323"/>
      <c r="O111" s="598"/>
      <c r="P111" s="598"/>
      <c r="Q111" s="323"/>
      <c r="R111" s="323"/>
      <c r="S111" s="323"/>
      <c r="T111" s="323"/>
      <c r="U111" s="323"/>
      <c r="V111" s="323"/>
      <c r="W111" s="323"/>
      <c r="X111" s="323"/>
      <c r="Y111" s="323"/>
      <c r="Z111" s="323"/>
      <c r="AA111" s="598"/>
      <c r="AB111" s="598"/>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row>
    <row r="112" spans="2:60">
      <c r="B112" s="639"/>
      <c r="D112" s="323"/>
      <c r="E112" s="323"/>
      <c r="F112" s="323"/>
      <c r="G112" s="323"/>
      <c r="H112" s="323"/>
      <c r="I112" s="323"/>
      <c r="J112" s="323"/>
      <c r="K112" s="323"/>
      <c r="L112" s="323"/>
      <c r="M112" s="323"/>
      <c r="N112" s="323"/>
      <c r="O112" s="598"/>
      <c r="P112" s="598"/>
      <c r="Q112" s="323"/>
      <c r="R112" s="323"/>
      <c r="S112" s="323"/>
      <c r="T112" s="323"/>
      <c r="U112" s="323"/>
      <c r="V112" s="323"/>
      <c r="W112" s="323"/>
      <c r="X112" s="323"/>
      <c r="Y112" s="323"/>
      <c r="Z112" s="323"/>
      <c r="AA112" s="598"/>
      <c r="AB112" s="598"/>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row>
    <row r="113" spans="2:60">
      <c r="D113" s="323"/>
      <c r="E113" s="323"/>
      <c r="F113" s="323"/>
      <c r="G113" s="323"/>
      <c r="H113" s="323"/>
      <c r="I113" s="323"/>
      <c r="J113" s="323"/>
      <c r="K113" s="323"/>
      <c r="L113" s="323"/>
      <c r="M113" s="323"/>
      <c r="N113" s="323"/>
      <c r="O113" s="598"/>
      <c r="P113" s="598"/>
      <c r="Q113" s="323"/>
      <c r="R113" s="323"/>
      <c r="S113" s="323"/>
      <c r="T113" s="323"/>
      <c r="U113" s="323"/>
      <c r="V113" s="323"/>
      <c r="W113" s="323"/>
      <c r="X113" s="323"/>
      <c r="Y113" s="323"/>
      <c r="Z113" s="323"/>
      <c r="AA113" s="598"/>
      <c r="AB113" s="598"/>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row>
    <row r="114" spans="2:60">
      <c r="E114" s="323"/>
      <c r="F114" s="323"/>
      <c r="G114" s="323"/>
      <c r="H114" s="323"/>
      <c r="I114" s="323"/>
      <c r="J114" s="323"/>
      <c r="K114" s="323"/>
      <c r="L114" s="323"/>
      <c r="M114" s="323"/>
      <c r="N114" s="323"/>
      <c r="O114" s="598"/>
      <c r="P114" s="598"/>
      <c r="Q114" s="323"/>
      <c r="R114" s="323"/>
      <c r="S114" s="323"/>
      <c r="T114" s="323"/>
      <c r="U114" s="323"/>
      <c r="V114" s="323"/>
      <c r="W114" s="323"/>
      <c r="X114" s="323"/>
      <c r="Y114" s="323"/>
      <c r="Z114" s="323"/>
      <c r="AA114" s="598"/>
      <c r="AB114" s="598"/>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row>
    <row r="115" spans="2:60">
      <c r="D115" s="323"/>
      <c r="E115" s="323"/>
      <c r="F115" s="323"/>
      <c r="G115" s="323"/>
      <c r="H115" s="323"/>
      <c r="I115" s="323"/>
      <c r="J115" s="323"/>
      <c r="K115" s="323"/>
      <c r="L115" s="323"/>
      <c r="M115" s="323"/>
      <c r="N115" s="323"/>
      <c r="O115" s="598"/>
      <c r="P115" s="598"/>
      <c r="Q115" s="323"/>
      <c r="R115" s="323"/>
      <c r="S115" s="323"/>
      <c r="T115" s="323"/>
      <c r="U115" s="323"/>
      <c r="V115" s="323"/>
      <c r="W115" s="323"/>
      <c r="X115" s="323"/>
      <c r="Y115" s="323"/>
      <c r="Z115" s="323"/>
      <c r="AA115" s="598"/>
      <c r="AB115" s="598"/>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row>
    <row r="116" spans="2:60">
      <c r="D116" s="323"/>
      <c r="E116" s="323"/>
      <c r="F116" s="323"/>
      <c r="G116" s="323"/>
      <c r="H116" s="323"/>
      <c r="I116" s="323"/>
      <c r="J116" s="323"/>
      <c r="K116" s="323"/>
      <c r="L116" s="323"/>
      <c r="M116" s="323"/>
      <c r="N116" s="323"/>
      <c r="O116" s="598"/>
      <c r="P116" s="598"/>
      <c r="Q116" s="323"/>
      <c r="R116" s="323"/>
      <c r="S116" s="323"/>
      <c r="T116" s="323"/>
      <c r="U116" s="323"/>
      <c r="V116" s="323"/>
      <c r="W116" s="323"/>
      <c r="X116" s="323"/>
      <c r="Y116" s="323"/>
      <c r="Z116" s="323"/>
      <c r="AA116" s="598"/>
      <c r="AB116" s="598"/>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row>
    <row r="117" spans="2:60">
      <c r="D117" s="323"/>
      <c r="E117" s="323"/>
      <c r="F117" s="323"/>
      <c r="G117" s="323"/>
      <c r="H117" s="323"/>
      <c r="I117" s="323"/>
      <c r="J117" s="323"/>
      <c r="K117" s="323"/>
      <c r="L117" s="323"/>
      <c r="M117" s="323"/>
      <c r="N117" s="323"/>
      <c r="O117" s="598"/>
      <c r="P117" s="598"/>
      <c r="Q117" s="323"/>
      <c r="R117" s="323"/>
      <c r="S117" s="323"/>
      <c r="T117" s="323"/>
      <c r="U117" s="323"/>
      <c r="V117" s="323"/>
      <c r="W117" s="323"/>
      <c r="X117" s="323"/>
      <c r="Y117" s="323"/>
      <c r="Z117" s="323"/>
      <c r="AA117" s="323"/>
      <c r="AB117" s="598"/>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row>
    <row r="118" spans="2:60">
      <c r="B118" s="305"/>
      <c r="C118" s="305"/>
      <c r="D118" s="323"/>
      <c r="E118" s="323"/>
      <c r="F118" s="323"/>
      <c r="G118" s="323"/>
      <c r="H118" s="323"/>
      <c r="I118" s="323"/>
      <c r="J118" s="323"/>
      <c r="K118" s="323"/>
      <c r="L118" s="323"/>
      <c r="M118" s="323"/>
      <c r="N118" s="323"/>
      <c r="O118" s="598"/>
      <c r="P118" s="598"/>
      <c r="Q118" s="323"/>
      <c r="R118" s="323"/>
      <c r="S118" s="323"/>
      <c r="T118" s="323"/>
      <c r="U118" s="323"/>
      <c r="V118" s="323"/>
      <c r="W118" s="323"/>
      <c r="X118" s="323"/>
      <c r="Y118" s="323"/>
      <c r="Z118" s="323"/>
      <c r="AA118" s="598"/>
      <c r="AB118" s="598"/>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row>
    <row r="119" spans="2:60">
      <c r="B119" s="639"/>
      <c r="D119" s="323"/>
      <c r="E119" s="323"/>
      <c r="F119" s="323"/>
      <c r="G119" s="323"/>
      <c r="H119" s="323"/>
      <c r="I119" s="323"/>
      <c r="J119" s="323"/>
      <c r="K119" s="323"/>
      <c r="L119" s="323"/>
      <c r="M119" s="323"/>
      <c r="N119" s="323"/>
      <c r="O119" s="598"/>
      <c r="P119" s="598"/>
      <c r="Q119" s="323"/>
      <c r="R119" s="323"/>
      <c r="S119" s="323"/>
      <c r="T119" s="323"/>
      <c r="U119" s="323"/>
      <c r="V119" s="323"/>
      <c r="W119" s="323"/>
      <c r="X119" s="323"/>
      <c r="Y119" s="323"/>
      <c r="Z119" s="323"/>
      <c r="AA119" s="598"/>
      <c r="AB119" s="598"/>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row>
    <row r="120" spans="2:60">
      <c r="D120" s="323"/>
      <c r="E120" s="323"/>
      <c r="F120" s="323"/>
      <c r="G120" s="323"/>
      <c r="H120" s="323"/>
      <c r="I120" s="323"/>
      <c r="J120" s="323"/>
      <c r="K120" s="323"/>
      <c r="L120" s="323"/>
      <c r="M120" s="323"/>
      <c r="N120" s="323"/>
      <c r="O120" s="598"/>
      <c r="P120" s="598"/>
      <c r="Q120" s="323"/>
      <c r="R120" s="323"/>
      <c r="S120" s="323"/>
      <c r="T120" s="323"/>
      <c r="U120" s="323"/>
      <c r="V120" s="323"/>
      <c r="W120" s="323"/>
      <c r="X120" s="323"/>
      <c r="Y120" s="323"/>
      <c r="Z120" s="323"/>
      <c r="AA120" s="598"/>
      <c r="AB120" s="598"/>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row>
    <row r="121" spans="2:60">
      <c r="E121" s="323"/>
      <c r="F121" s="323"/>
      <c r="G121" s="323"/>
      <c r="H121" s="323"/>
      <c r="I121" s="323"/>
      <c r="J121" s="323"/>
      <c r="K121" s="323"/>
      <c r="L121" s="323"/>
      <c r="M121" s="323"/>
      <c r="N121" s="323"/>
      <c r="O121" s="598"/>
      <c r="P121" s="598"/>
      <c r="Q121" s="323"/>
      <c r="R121" s="323"/>
      <c r="S121" s="323"/>
      <c r="T121" s="323"/>
      <c r="U121" s="323"/>
      <c r="V121" s="323"/>
      <c r="W121" s="323"/>
      <c r="X121" s="323"/>
      <c r="Y121" s="323"/>
      <c r="Z121" s="323"/>
      <c r="AA121" s="598"/>
      <c r="AB121" s="598"/>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row>
    <row r="122" spans="2:60">
      <c r="D122" s="323"/>
      <c r="E122" s="323"/>
      <c r="F122" s="323"/>
      <c r="G122" s="323"/>
      <c r="H122" s="323"/>
      <c r="I122" s="323"/>
      <c r="J122" s="323"/>
      <c r="K122" s="323"/>
      <c r="L122" s="323"/>
      <c r="M122" s="323"/>
      <c r="N122" s="323"/>
      <c r="O122" s="598"/>
      <c r="P122" s="598"/>
      <c r="Q122" s="323"/>
      <c r="R122" s="323"/>
      <c r="S122" s="323"/>
      <c r="T122" s="323"/>
      <c r="U122" s="323"/>
      <c r="V122" s="323"/>
      <c r="W122" s="323"/>
      <c r="X122" s="323"/>
      <c r="Y122" s="323"/>
      <c r="Z122" s="323"/>
      <c r="AA122" s="598"/>
      <c r="AB122" s="598"/>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row>
    <row r="123" spans="2:60">
      <c r="D123" s="323"/>
      <c r="E123" s="323"/>
      <c r="F123" s="323"/>
      <c r="G123" s="323"/>
      <c r="H123" s="323"/>
      <c r="I123" s="323"/>
      <c r="J123" s="323"/>
      <c r="K123" s="323"/>
      <c r="L123" s="323"/>
      <c r="M123" s="323"/>
      <c r="N123" s="323"/>
      <c r="O123" s="598"/>
      <c r="P123" s="598"/>
      <c r="Q123" s="323"/>
      <c r="R123" s="323"/>
      <c r="S123" s="323"/>
      <c r="T123" s="323"/>
      <c r="U123" s="323"/>
      <c r="V123" s="323"/>
      <c r="W123" s="323"/>
      <c r="X123" s="323"/>
      <c r="Y123" s="323"/>
      <c r="Z123" s="323"/>
      <c r="AA123" s="598"/>
      <c r="AB123" s="598"/>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row>
    <row r="124" spans="2:60">
      <c r="D124" s="323"/>
      <c r="E124" s="323"/>
      <c r="F124" s="323"/>
      <c r="G124" s="323"/>
      <c r="H124" s="323"/>
      <c r="I124" s="323"/>
      <c r="J124" s="323"/>
      <c r="K124" s="323"/>
      <c r="L124" s="323"/>
      <c r="M124" s="323"/>
      <c r="N124" s="323"/>
      <c r="O124" s="598"/>
      <c r="P124" s="598"/>
      <c r="Q124" s="323"/>
      <c r="R124" s="323"/>
      <c r="S124" s="323"/>
      <c r="T124" s="323"/>
      <c r="U124" s="323"/>
      <c r="V124" s="323"/>
      <c r="W124" s="323"/>
      <c r="X124" s="323"/>
      <c r="Y124" s="323"/>
      <c r="Z124" s="323"/>
      <c r="AA124" s="323"/>
      <c r="AB124" s="598"/>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row>
    <row r="125" spans="2:60">
      <c r="B125" s="305"/>
      <c r="C125" s="305"/>
      <c r="D125" s="323"/>
      <c r="E125" s="323"/>
      <c r="F125" s="323"/>
      <c r="G125" s="323"/>
      <c r="H125" s="323"/>
      <c r="I125" s="323"/>
      <c r="J125" s="323"/>
      <c r="K125" s="323"/>
      <c r="L125" s="323"/>
      <c r="M125" s="323"/>
      <c r="N125" s="323"/>
      <c r="O125" s="598"/>
      <c r="P125" s="598"/>
      <c r="Q125" s="323"/>
      <c r="R125" s="323"/>
      <c r="S125" s="323"/>
      <c r="T125" s="323"/>
      <c r="U125" s="323"/>
      <c r="V125" s="323"/>
      <c r="W125" s="323"/>
      <c r="X125" s="323"/>
      <c r="Y125" s="323"/>
      <c r="Z125" s="323"/>
      <c r="AA125" s="598"/>
      <c r="AB125" s="598"/>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row>
    <row r="126" spans="2:60">
      <c r="B126" s="639"/>
      <c r="D126" s="323"/>
      <c r="E126" s="323"/>
      <c r="F126" s="323"/>
      <c r="G126" s="323"/>
      <c r="H126" s="323"/>
      <c r="I126" s="323"/>
      <c r="J126" s="323"/>
      <c r="K126" s="323"/>
      <c r="L126" s="323"/>
      <c r="M126" s="323"/>
      <c r="N126" s="323"/>
      <c r="O126" s="598"/>
      <c r="P126" s="598"/>
      <c r="Q126" s="323"/>
      <c r="R126" s="323"/>
      <c r="S126" s="323"/>
      <c r="T126" s="323"/>
      <c r="U126" s="323"/>
      <c r="V126" s="323"/>
      <c r="W126" s="323"/>
      <c r="X126" s="323"/>
      <c r="Y126" s="323"/>
      <c r="Z126" s="323"/>
      <c r="AA126" s="598"/>
      <c r="AB126" s="598"/>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c r="AW126" s="323"/>
      <c r="AX126" s="323"/>
      <c r="AY126" s="323"/>
      <c r="AZ126" s="323"/>
      <c r="BA126" s="323"/>
      <c r="BB126" s="323"/>
      <c r="BC126" s="323"/>
      <c r="BD126" s="323"/>
      <c r="BE126" s="323"/>
      <c r="BF126" s="323"/>
      <c r="BG126" s="323"/>
      <c r="BH126" s="323"/>
    </row>
    <row r="127" spans="2:60">
      <c r="D127" s="323"/>
      <c r="E127" s="323"/>
      <c r="F127" s="323"/>
      <c r="G127" s="323"/>
      <c r="H127" s="323"/>
      <c r="I127" s="323"/>
      <c r="J127" s="323"/>
      <c r="K127" s="323"/>
      <c r="L127" s="323"/>
      <c r="M127" s="323"/>
      <c r="N127" s="323"/>
      <c r="O127" s="598"/>
      <c r="P127" s="598"/>
      <c r="Q127" s="323"/>
      <c r="R127" s="323"/>
      <c r="S127" s="323"/>
      <c r="T127" s="323"/>
      <c r="U127" s="323"/>
      <c r="V127" s="323"/>
      <c r="W127" s="323"/>
      <c r="X127" s="323"/>
      <c r="Y127" s="323"/>
      <c r="Z127" s="323"/>
      <c r="AA127" s="598"/>
      <c r="AB127" s="598"/>
      <c r="AC127" s="323"/>
      <c r="AD127" s="323"/>
      <c r="AE127" s="323"/>
      <c r="AF127" s="323"/>
      <c r="AG127" s="323"/>
      <c r="AH127" s="323"/>
      <c r="AI127" s="323"/>
      <c r="AJ127" s="323"/>
      <c r="AK127" s="323"/>
      <c r="AL127" s="323"/>
      <c r="AM127" s="323"/>
      <c r="AN127" s="323"/>
      <c r="AO127" s="323"/>
      <c r="AP127" s="323"/>
      <c r="AQ127" s="323"/>
      <c r="AR127" s="323"/>
      <c r="AS127" s="323"/>
      <c r="AT127" s="323"/>
      <c r="AU127" s="323"/>
      <c r="AV127" s="323"/>
      <c r="AW127" s="323"/>
      <c r="AX127" s="323"/>
      <c r="AY127" s="323"/>
      <c r="AZ127" s="323"/>
      <c r="BA127" s="323"/>
      <c r="BB127" s="323"/>
      <c r="BC127" s="323"/>
      <c r="BD127" s="323"/>
      <c r="BE127" s="323"/>
      <c r="BF127" s="323"/>
      <c r="BG127" s="323"/>
      <c r="BH127" s="323"/>
    </row>
    <row r="128" spans="2:60">
      <c r="E128" s="323"/>
      <c r="F128" s="323"/>
      <c r="G128" s="323"/>
      <c r="H128" s="323"/>
      <c r="I128" s="323"/>
      <c r="J128" s="323"/>
      <c r="K128" s="323"/>
      <c r="L128" s="323"/>
      <c r="M128" s="323"/>
      <c r="N128" s="323"/>
      <c r="O128" s="598"/>
      <c r="P128" s="598"/>
      <c r="Q128" s="323"/>
      <c r="R128" s="323"/>
      <c r="S128" s="323"/>
      <c r="T128" s="323"/>
      <c r="U128" s="323"/>
      <c r="V128" s="323"/>
      <c r="W128" s="323"/>
      <c r="X128" s="323"/>
      <c r="Y128" s="323"/>
      <c r="Z128" s="323"/>
      <c r="AA128" s="598"/>
      <c r="AB128" s="598"/>
      <c r="AC128" s="323"/>
      <c r="AD128" s="323"/>
      <c r="AE128" s="323"/>
      <c r="AF128" s="323"/>
      <c r="AG128" s="323"/>
      <c r="AH128" s="323"/>
      <c r="AI128" s="323"/>
      <c r="AJ128" s="323"/>
      <c r="AK128" s="323"/>
      <c r="AL128" s="323"/>
      <c r="AM128" s="323"/>
      <c r="AN128" s="323"/>
      <c r="AO128" s="323"/>
      <c r="AP128" s="323"/>
      <c r="AQ128" s="323"/>
      <c r="AR128" s="323"/>
      <c r="AS128" s="323"/>
      <c r="AT128" s="323"/>
      <c r="AU128" s="323"/>
      <c r="AV128" s="323"/>
      <c r="AW128" s="323"/>
      <c r="AX128" s="323"/>
      <c r="AY128" s="323"/>
      <c r="AZ128" s="323"/>
      <c r="BA128" s="323"/>
      <c r="BB128" s="323"/>
      <c r="BC128" s="323"/>
      <c r="BD128" s="323"/>
      <c r="BE128" s="323"/>
      <c r="BF128" s="323"/>
      <c r="BG128" s="323"/>
      <c r="BH128" s="323"/>
    </row>
    <row r="129" spans="2:60">
      <c r="D129" s="323"/>
      <c r="E129" s="323"/>
      <c r="F129" s="323"/>
      <c r="G129" s="323"/>
      <c r="H129" s="323"/>
      <c r="I129" s="323"/>
      <c r="J129" s="323"/>
      <c r="K129" s="323"/>
      <c r="L129" s="323"/>
      <c r="M129" s="323"/>
      <c r="N129" s="323"/>
      <c r="O129" s="598"/>
      <c r="P129" s="598"/>
      <c r="Q129" s="323"/>
      <c r="R129" s="323"/>
      <c r="S129" s="323"/>
      <c r="T129" s="323"/>
      <c r="U129" s="323"/>
      <c r="V129" s="323"/>
      <c r="W129" s="323"/>
      <c r="X129" s="323"/>
      <c r="Y129" s="323"/>
      <c r="Z129" s="323"/>
      <c r="AA129" s="598"/>
      <c r="AB129" s="598"/>
      <c r="AC129" s="323"/>
      <c r="AD129" s="323"/>
      <c r="AE129" s="323"/>
      <c r="AF129" s="323"/>
      <c r="AG129" s="323"/>
      <c r="AH129" s="323"/>
      <c r="AI129" s="323"/>
      <c r="AJ129" s="323"/>
      <c r="AK129" s="323"/>
      <c r="AL129" s="323"/>
      <c r="AM129" s="323"/>
      <c r="AN129" s="323"/>
      <c r="AO129" s="323"/>
      <c r="AP129" s="323"/>
      <c r="AQ129" s="323"/>
      <c r="AR129" s="323"/>
      <c r="AS129" s="323"/>
      <c r="AT129" s="323"/>
      <c r="AU129" s="323"/>
      <c r="AV129" s="323"/>
      <c r="AW129" s="323"/>
      <c r="AX129" s="323"/>
      <c r="AY129" s="323"/>
      <c r="AZ129" s="323"/>
      <c r="BA129" s="323"/>
      <c r="BB129" s="323"/>
      <c r="BC129" s="323"/>
      <c r="BD129" s="323"/>
      <c r="BE129" s="323"/>
      <c r="BF129" s="323"/>
      <c r="BG129" s="323"/>
      <c r="BH129" s="323"/>
    </row>
    <row r="130" spans="2:60">
      <c r="D130" s="323"/>
      <c r="E130" s="323"/>
      <c r="F130" s="323"/>
      <c r="G130" s="323"/>
      <c r="H130" s="323"/>
      <c r="I130" s="323"/>
      <c r="J130" s="323"/>
      <c r="K130" s="323"/>
      <c r="L130" s="323"/>
      <c r="M130" s="323"/>
      <c r="N130" s="323"/>
      <c r="O130" s="598"/>
      <c r="P130" s="598"/>
      <c r="Q130" s="323"/>
      <c r="R130" s="323"/>
      <c r="S130" s="323"/>
      <c r="T130" s="323"/>
      <c r="U130" s="323"/>
      <c r="V130" s="323"/>
      <c r="W130" s="323"/>
      <c r="X130" s="323"/>
      <c r="Y130" s="323"/>
      <c r="Z130" s="323"/>
      <c r="AA130" s="598"/>
      <c r="AB130" s="598"/>
      <c r="AC130" s="323"/>
      <c r="AD130" s="323"/>
      <c r="AE130" s="323"/>
      <c r="AF130" s="323"/>
      <c r="AG130" s="323"/>
      <c r="AH130" s="323"/>
      <c r="AI130" s="323"/>
      <c r="AJ130" s="323"/>
      <c r="AK130" s="323"/>
      <c r="AL130" s="323"/>
      <c r="AM130" s="323"/>
      <c r="AN130" s="323"/>
      <c r="AO130" s="323"/>
      <c r="AP130" s="323"/>
      <c r="AQ130" s="323"/>
      <c r="AR130" s="323"/>
      <c r="AS130" s="323"/>
      <c r="AT130" s="323"/>
      <c r="AU130" s="323"/>
      <c r="AV130" s="323"/>
      <c r="AW130" s="323"/>
      <c r="AX130" s="323"/>
      <c r="AY130" s="323"/>
      <c r="AZ130" s="323"/>
      <c r="BA130" s="323"/>
      <c r="BB130" s="323"/>
      <c r="BC130" s="323"/>
      <c r="BD130" s="323"/>
      <c r="BE130" s="323"/>
      <c r="BF130" s="323"/>
      <c r="BG130" s="323"/>
      <c r="BH130" s="323"/>
    </row>
    <row r="131" spans="2:60">
      <c r="D131" s="323"/>
      <c r="E131" s="323"/>
      <c r="F131" s="323"/>
      <c r="G131" s="323"/>
      <c r="H131" s="323"/>
      <c r="I131" s="323"/>
      <c r="J131" s="323"/>
      <c r="K131" s="323"/>
      <c r="L131" s="323"/>
      <c r="M131" s="323"/>
      <c r="N131" s="323"/>
      <c r="O131" s="598"/>
      <c r="P131" s="598"/>
      <c r="Q131" s="323"/>
      <c r="R131" s="323"/>
      <c r="S131" s="323"/>
      <c r="T131" s="323"/>
      <c r="U131" s="323"/>
      <c r="V131" s="323"/>
      <c r="W131" s="323"/>
      <c r="X131" s="323"/>
      <c r="Y131" s="323"/>
      <c r="Z131" s="323"/>
      <c r="AA131" s="323"/>
      <c r="AB131" s="598"/>
      <c r="AC131" s="323"/>
      <c r="AD131" s="323"/>
      <c r="AE131" s="323"/>
      <c r="AF131" s="323"/>
      <c r="AG131" s="323"/>
      <c r="AH131" s="323"/>
      <c r="AI131" s="323"/>
      <c r="AJ131" s="323"/>
      <c r="AK131" s="323"/>
      <c r="AL131" s="323"/>
      <c r="AM131" s="323"/>
      <c r="AN131" s="323"/>
      <c r="AO131" s="323"/>
      <c r="AP131" s="323"/>
      <c r="AQ131" s="323"/>
      <c r="AR131" s="323"/>
      <c r="AS131" s="323"/>
      <c r="AT131" s="323"/>
      <c r="AU131" s="323"/>
      <c r="AV131" s="323"/>
      <c r="AW131" s="323"/>
      <c r="AX131" s="323"/>
      <c r="AY131" s="323"/>
      <c r="AZ131" s="323"/>
      <c r="BA131" s="323"/>
      <c r="BB131" s="323"/>
      <c r="BC131" s="323"/>
      <c r="BD131" s="323"/>
      <c r="BE131" s="323"/>
      <c r="BF131" s="323"/>
      <c r="BG131" s="323"/>
      <c r="BH131" s="323"/>
    </row>
    <row r="132" spans="2:60">
      <c r="B132" s="305"/>
      <c r="C132" s="305"/>
      <c r="D132" s="323"/>
      <c r="E132" s="323"/>
      <c r="F132" s="323"/>
      <c r="G132" s="323"/>
      <c r="H132" s="323"/>
      <c r="I132" s="323"/>
      <c r="J132" s="323"/>
      <c r="K132" s="323"/>
      <c r="L132" s="323"/>
      <c r="M132" s="323"/>
      <c r="N132" s="323"/>
      <c r="O132" s="598"/>
      <c r="P132" s="598"/>
      <c r="Q132" s="323"/>
      <c r="R132" s="323"/>
      <c r="S132" s="323"/>
      <c r="T132" s="323"/>
      <c r="U132" s="323"/>
      <c r="V132" s="323"/>
      <c r="W132" s="323"/>
      <c r="X132" s="323"/>
      <c r="Y132" s="323"/>
      <c r="Z132" s="323"/>
      <c r="AA132" s="598"/>
      <c r="AB132" s="598"/>
      <c r="AC132" s="323"/>
      <c r="AD132" s="323"/>
      <c r="AE132" s="323"/>
      <c r="AF132" s="323"/>
      <c r="AG132" s="323"/>
      <c r="AH132" s="323"/>
      <c r="AI132" s="323"/>
      <c r="AJ132" s="323"/>
      <c r="AK132" s="323"/>
      <c r="AL132" s="323"/>
      <c r="AM132" s="323"/>
      <c r="AN132" s="323"/>
      <c r="AO132" s="323"/>
      <c r="AP132" s="323"/>
      <c r="AQ132" s="323"/>
      <c r="AR132" s="323"/>
      <c r="AS132" s="323"/>
      <c r="AT132" s="323"/>
      <c r="AU132" s="323"/>
      <c r="AV132" s="323"/>
      <c r="AW132" s="323"/>
      <c r="AX132" s="323"/>
      <c r="AY132" s="323"/>
      <c r="AZ132" s="323"/>
      <c r="BA132" s="323"/>
      <c r="BB132" s="323"/>
      <c r="BC132" s="323"/>
      <c r="BD132" s="323"/>
      <c r="BE132" s="323"/>
      <c r="BF132" s="323"/>
      <c r="BG132" s="323"/>
      <c r="BH132" s="323"/>
    </row>
    <row r="133" spans="2:60">
      <c r="B133" s="639"/>
      <c r="D133" s="323"/>
      <c r="E133" s="323"/>
      <c r="F133" s="323"/>
      <c r="G133" s="323"/>
      <c r="H133" s="323"/>
      <c r="I133" s="323"/>
      <c r="J133" s="323"/>
      <c r="K133" s="323"/>
      <c r="L133" s="323"/>
      <c r="M133" s="323"/>
      <c r="N133" s="323"/>
      <c r="O133" s="598"/>
      <c r="P133" s="598"/>
      <c r="Q133" s="323"/>
      <c r="R133" s="323"/>
      <c r="S133" s="323"/>
      <c r="T133" s="323"/>
      <c r="U133" s="323"/>
      <c r="V133" s="323"/>
      <c r="W133" s="323"/>
      <c r="X133" s="323"/>
      <c r="Y133" s="323"/>
      <c r="Z133" s="323"/>
      <c r="AA133" s="598"/>
      <c r="AB133" s="598"/>
      <c r="AC133" s="323"/>
      <c r="AD133" s="323"/>
      <c r="AE133" s="323"/>
      <c r="AF133" s="323"/>
      <c r="AG133" s="323"/>
      <c r="AH133" s="323"/>
      <c r="AI133" s="323"/>
      <c r="AJ133" s="323"/>
      <c r="AK133" s="323"/>
      <c r="AL133" s="323"/>
      <c r="AM133" s="323"/>
      <c r="AN133" s="323"/>
      <c r="AO133" s="323"/>
      <c r="AP133" s="323"/>
      <c r="AQ133" s="323"/>
      <c r="AR133" s="323"/>
      <c r="AS133" s="323"/>
      <c r="AT133" s="323"/>
      <c r="AU133" s="323"/>
      <c r="AV133" s="323"/>
      <c r="AW133" s="323"/>
      <c r="AX133" s="323"/>
      <c r="AY133" s="323"/>
      <c r="AZ133" s="323"/>
      <c r="BA133" s="323"/>
      <c r="BB133" s="323"/>
      <c r="BC133" s="323"/>
      <c r="BD133" s="323"/>
      <c r="BE133" s="323"/>
      <c r="BF133" s="323"/>
      <c r="BG133" s="323"/>
      <c r="BH133" s="323"/>
    </row>
    <row r="134" spans="2:60">
      <c r="D134" s="323"/>
      <c r="E134" s="323"/>
      <c r="F134" s="323"/>
      <c r="G134" s="323"/>
      <c r="H134" s="323"/>
      <c r="I134" s="323"/>
      <c r="J134" s="323"/>
      <c r="K134" s="323"/>
      <c r="L134" s="323"/>
      <c r="M134" s="323"/>
      <c r="N134" s="323"/>
      <c r="O134" s="598"/>
      <c r="P134" s="598"/>
      <c r="Q134" s="323"/>
      <c r="R134" s="323"/>
      <c r="S134" s="323"/>
      <c r="T134" s="323"/>
      <c r="U134" s="323"/>
      <c r="V134" s="323"/>
      <c r="W134" s="323"/>
      <c r="X134" s="323"/>
      <c r="Y134" s="323"/>
      <c r="Z134" s="323"/>
      <c r="AA134" s="598"/>
      <c r="AB134" s="598"/>
      <c r="AC134" s="323"/>
      <c r="AD134" s="323"/>
      <c r="AE134" s="323"/>
      <c r="AF134" s="323"/>
      <c r="AG134" s="323"/>
      <c r="AH134" s="323"/>
      <c r="AI134" s="323"/>
      <c r="AJ134" s="323"/>
      <c r="AK134" s="323"/>
      <c r="AL134" s="323"/>
      <c r="AM134" s="323"/>
      <c r="AN134" s="323"/>
      <c r="AO134" s="323"/>
      <c r="AP134" s="323"/>
      <c r="AQ134" s="323"/>
      <c r="AR134" s="323"/>
      <c r="AS134" s="323"/>
      <c r="AT134" s="323"/>
      <c r="AU134" s="323"/>
      <c r="AV134" s="323"/>
      <c r="AW134" s="323"/>
      <c r="AX134" s="323"/>
      <c r="AY134" s="323"/>
      <c r="AZ134" s="323"/>
      <c r="BA134" s="323"/>
      <c r="BB134" s="323"/>
      <c r="BC134" s="323"/>
      <c r="BD134" s="323"/>
      <c r="BE134" s="323"/>
      <c r="BF134" s="323"/>
      <c r="BG134" s="323"/>
      <c r="BH134" s="323"/>
    </row>
    <row r="135" spans="2:60">
      <c r="E135" s="323"/>
      <c r="F135" s="323"/>
      <c r="G135" s="323"/>
      <c r="H135" s="323"/>
      <c r="I135" s="323"/>
      <c r="J135" s="323"/>
      <c r="K135" s="323"/>
      <c r="L135" s="323"/>
      <c r="M135" s="323"/>
      <c r="N135" s="323"/>
      <c r="O135" s="598"/>
      <c r="P135" s="598"/>
      <c r="Q135" s="323"/>
      <c r="R135" s="323"/>
      <c r="S135" s="323"/>
      <c r="T135" s="323"/>
      <c r="U135" s="323"/>
      <c r="V135" s="323"/>
      <c r="W135" s="323"/>
      <c r="X135" s="323"/>
      <c r="Y135" s="323"/>
      <c r="Z135" s="323"/>
      <c r="AA135" s="598"/>
      <c r="AB135" s="598"/>
      <c r="AC135" s="323"/>
      <c r="AD135" s="323"/>
      <c r="AE135" s="323"/>
      <c r="AF135" s="323"/>
      <c r="AG135" s="323"/>
      <c r="AH135" s="323"/>
      <c r="AI135" s="323"/>
      <c r="AJ135" s="323"/>
      <c r="AK135" s="323"/>
      <c r="AL135" s="323"/>
      <c r="AM135" s="323"/>
      <c r="AN135" s="323"/>
      <c r="AO135" s="323"/>
      <c r="AP135" s="323"/>
      <c r="AQ135" s="323"/>
      <c r="AR135" s="323"/>
      <c r="AS135" s="323"/>
      <c r="AT135" s="323"/>
      <c r="AU135" s="323"/>
      <c r="AV135" s="323"/>
      <c r="AW135" s="323"/>
      <c r="AX135" s="323"/>
      <c r="AY135" s="323"/>
      <c r="AZ135" s="323"/>
      <c r="BA135" s="323"/>
      <c r="BB135" s="323"/>
      <c r="BC135" s="323"/>
      <c r="BD135" s="323"/>
      <c r="BE135" s="323"/>
      <c r="BF135" s="323"/>
      <c r="BG135" s="323"/>
      <c r="BH135" s="323"/>
    </row>
    <row r="136" spans="2:60">
      <c r="D136" s="323"/>
      <c r="E136" s="323"/>
      <c r="F136" s="323"/>
      <c r="G136" s="323"/>
      <c r="H136" s="323"/>
      <c r="I136" s="323"/>
      <c r="J136" s="323"/>
      <c r="K136" s="323"/>
      <c r="L136" s="323"/>
      <c r="M136" s="323"/>
      <c r="N136" s="323"/>
      <c r="O136" s="598"/>
      <c r="P136" s="598"/>
      <c r="Q136" s="323"/>
      <c r="R136" s="323"/>
      <c r="S136" s="323"/>
      <c r="T136" s="323"/>
      <c r="U136" s="323"/>
      <c r="V136" s="323"/>
      <c r="W136" s="323"/>
      <c r="X136" s="323"/>
      <c r="Y136" s="323"/>
      <c r="Z136" s="323"/>
      <c r="AA136" s="598"/>
      <c r="AB136" s="598"/>
      <c r="AC136" s="323"/>
      <c r="AD136" s="323"/>
      <c r="AE136" s="323"/>
      <c r="AF136" s="323"/>
      <c r="AG136" s="323"/>
      <c r="AH136" s="323"/>
      <c r="AI136" s="323"/>
      <c r="AJ136" s="323"/>
      <c r="AK136" s="323"/>
      <c r="AL136" s="323"/>
      <c r="AM136" s="323"/>
      <c r="AN136" s="323"/>
      <c r="AO136" s="323"/>
      <c r="AP136" s="323"/>
      <c r="AQ136" s="323"/>
      <c r="AR136" s="323"/>
      <c r="AS136" s="323"/>
      <c r="AT136" s="323"/>
      <c r="AU136" s="323"/>
      <c r="AV136" s="323"/>
      <c r="AW136" s="323"/>
      <c r="AX136" s="323"/>
      <c r="AY136" s="323"/>
      <c r="AZ136" s="323"/>
      <c r="BA136" s="323"/>
      <c r="BB136" s="323"/>
      <c r="BC136" s="323"/>
      <c r="BD136" s="323"/>
      <c r="BE136" s="323"/>
      <c r="BF136" s="323"/>
      <c r="BG136" s="323"/>
      <c r="BH136" s="323"/>
    </row>
    <row r="137" spans="2:60">
      <c r="D137" s="323"/>
      <c r="E137" s="323"/>
      <c r="F137" s="323"/>
      <c r="G137" s="323"/>
      <c r="H137" s="323"/>
      <c r="I137" s="323"/>
      <c r="J137" s="323"/>
      <c r="K137" s="323"/>
      <c r="L137" s="323"/>
      <c r="M137" s="323"/>
      <c r="N137" s="323"/>
      <c r="O137" s="598"/>
      <c r="P137" s="598"/>
      <c r="Q137" s="323"/>
      <c r="R137" s="323"/>
      <c r="S137" s="323"/>
      <c r="T137" s="323"/>
      <c r="U137" s="323"/>
      <c r="V137" s="323"/>
      <c r="W137" s="323"/>
      <c r="X137" s="323"/>
      <c r="Y137" s="323"/>
      <c r="Z137" s="323"/>
      <c r="AA137" s="598"/>
      <c r="AB137" s="598"/>
      <c r="AC137" s="323"/>
      <c r="AD137" s="323"/>
      <c r="AE137" s="323"/>
      <c r="AF137" s="323"/>
      <c r="AG137" s="323"/>
      <c r="AH137" s="323"/>
      <c r="AI137" s="323"/>
      <c r="AJ137" s="323"/>
      <c r="AK137" s="323"/>
      <c r="AL137" s="323"/>
      <c r="AM137" s="323"/>
      <c r="AN137" s="323"/>
      <c r="AO137" s="323"/>
      <c r="AP137" s="323"/>
      <c r="AQ137" s="323"/>
      <c r="AR137" s="323"/>
      <c r="AS137" s="323"/>
      <c r="AT137" s="323"/>
      <c r="AU137" s="323"/>
      <c r="AV137" s="323"/>
      <c r="AW137" s="323"/>
      <c r="AX137" s="323"/>
      <c r="AY137" s="323"/>
      <c r="AZ137" s="323"/>
      <c r="BA137" s="323"/>
      <c r="BB137" s="323"/>
      <c r="BC137" s="323"/>
      <c r="BD137" s="323"/>
      <c r="BE137" s="323"/>
      <c r="BF137" s="323"/>
      <c r="BG137" s="323"/>
      <c r="BH137" s="323"/>
    </row>
    <row r="138" spans="2:60">
      <c r="D138" s="323"/>
      <c r="E138" s="323"/>
      <c r="F138" s="323"/>
      <c r="G138" s="323"/>
      <c r="H138" s="323"/>
      <c r="I138" s="323"/>
      <c r="J138" s="323"/>
      <c r="K138" s="323"/>
      <c r="L138" s="323"/>
      <c r="M138" s="323"/>
      <c r="N138" s="323"/>
      <c r="O138" s="598"/>
      <c r="P138" s="598"/>
      <c r="Q138" s="323"/>
      <c r="R138" s="323"/>
      <c r="S138" s="323"/>
      <c r="T138" s="323"/>
      <c r="U138" s="323"/>
      <c r="V138" s="323"/>
      <c r="W138" s="323"/>
      <c r="X138" s="323"/>
      <c r="Y138" s="323"/>
      <c r="Z138" s="323"/>
      <c r="AA138" s="323"/>
      <c r="AB138" s="598"/>
      <c r="AC138" s="323"/>
      <c r="AD138" s="323"/>
      <c r="AE138" s="323"/>
      <c r="AF138" s="323"/>
      <c r="AG138" s="323"/>
      <c r="AH138" s="323"/>
      <c r="AI138" s="323"/>
      <c r="AJ138" s="323"/>
      <c r="AK138" s="323"/>
      <c r="AL138" s="323"/>
      <c r="AM138" s="323"/>
      <c r="AN138" s="323"/>
      <c r="AO138" s="323"/>
      <c r="AP138" s="323"/>
      <c r="AQ138" s="323"/>
      <c r="AR138" s="323"/>
      <c r="AS138" s="323"/>
      <c r="AT138" s="323"/>
      <c r="AU138" s="323"/>
      <c r="AV138" s="323"/>
      <c r="AW138" s="323"/>
      <c r="AX138" s="323"/>
      <c r="AY138" s="323"/>
      <c r="AZ138" s="323"/>
      <c r="BA138" s="323"/>
      <c r="BB138" s="323"/>
      <c r="BC138" s="323"/>
      <c r="BD138" s="323"/>
      <c r="BE138" s="323"/>
      <c r="BF138" s="323"/>
      <c r="BG138" s="323"/>
      <c r="BH138" s="323"/>
    </row>
    <row r="139" spans="2:60" s="300" customFormat="1">
      <c r="B139" s="305"/>
      <c r="C139" s="305"/>
      <c r="D139" s="323"/>
      <c r="E139" s="323"/>
      <c r="F139" s="323"/>
      <c r="G139" s="323"/>
      <c r="H139" s="323"/>
      <c r="I139" s="323"/>
      <c r="J139" s="323"/>
      <c r="K139" s="323"/>
      <c r="L139" s="323"/>
      <c r="M139" s="323"/>
      <c r="N139" s="323"/>
      <c r="O139" s="598"/>
      <c r="P139" s="598"/>
      <c r="Q139" s="323"/>
      <c r="R139" s="323"/>
      <c r="S139" s="323"/>
      <c r="T139" s="323"/>
      <c r="U139" s="323"/>
      <c r="V139" s="323"/>
      <c r="W139" s="323"/>
      <c r="X139" s="323"/>
      <c r="Y139" s="323"/>
      <c r="Z139" s="323"/>
      <c r="AA139" s="598"/>
      <c r="AB139" s="598"/>
      <c r="AC139" s="323"/>
      <c r="AD139" s="323"/>
      <c r="AE139" s="323"/>
      <c r="AF139" s="323"/>
      <c r="AG139" s="323"/>
      <c r="AH139" s="323"/>
      <c r="AI139" s="323"/>
      <c r="AJ139" s="323"/>
      <c r="AK139" s="323"/>
      <c r="AL139" s="323"/>
      <c r="AM139" s="323"/>
    </row>
    <row r="140" spans="2:60" s="300" customFormat="1">
      <c r="B140" s="305"/>
      <c r="C140" s="305"/>
      <c r="D140" s="323"/>
      <c r="E140" s="323"/>
      <c r="F140" s="323"/>
      <c r="G140" s="323"/>
      <c r="H140" s="323"/>
      <c r="I140" s="323"/>
      <c r="J140" s="323"/>
      <c r="K140" s="323"/>
      <c r="L140" s="323"/>
      <c r="M140" s="323"/>
      <c r="N140" s="323"/>
      <c r="O140" s="598"/>
      <c r="P140" s="598"/>
      <c r="Q140" s="323"/>
      <c r="R140" s="323"/>
      <c r="S140" s="323"/>
      <c r="T140" s="323"/>
      <c r="U140" s="323"/>
      <c r="V140" s="323"/>
      <c r="W140" s="323"/>
      <c r="X140" s="323"/>
      <c r="Y140" s="323"/>
      <c r="Z140" s="323"/>
      <c r="AA140" s="598"/>
      <c r="AB140" s="598"/>
      <c r="AC140" s="323"/>
      <c r="AD140" s="323"/>
      <c r="AE140" s="323"/>
      <c r="AF140" s="323"/>
      <c r="AG140" s="323"/>
      <c r="AH140" s="323"/>
      <c r="AI140" s="323"/>
      <c r="AJ140" s="323"/>
      <c r="AK140" s="323"/>
      <c r="AL140" s="323"/>
      <c r="AM140" s="323"/>
    </row>
    <row r="141" spans="2:60" s="300" customFormat="1">
      <c r="B141" s="593"/>
      <c r="C141" s="593"/>
      <c r="D141" s="323"/>
      <c r="E141" s="323"/>
      <c r="F141" s="323"/>
      <c r="G141" s="323"/>
      <c r="H141" s="323"/>
      <c r="I141" s="323"/>
      <c r="J141" s="323"/>
      <c r="K141" s="323"/>
      <c r="L141" s="323"/>
      <c r="M141" s="323"/>
      <c r="N141" s="323"/>
      <c r="O141" s="598"/>
      <c r="P141" s="598"/>
      <c r="Q141" s="323"/>
      <c r="R141" s="323"/>
      <c r="S141" s="323"/>
      <c r="T141" s="323"/>
      <c r="U141" s="323"/>
      <c r="V141" s="323"/>
      <c r="W141" s="323"/>
      <c r="X141" s="323"/>
      <c r="Y141" s="323"/>
      <c r="Z141" s="323"/>
      <c r="AA141" s="598"/>
      <c r="AB141" s="598"/>
      <c r="AC141" s="323"/>
      <c r="AD141" s="323"/>
      <c r="AE141" s="323"/>
      <c r="AF141" s="323"/>
      <c r="AG141" s="323"/>
      <c r="AH141" s="323"/>
      <c r="AI141" s="323"/>
      <c r="AJ141" s="323"/>
      <c r="AK141" s="323"/>
      <c r="AL141" s="323"/>
      <c r="AM141" s="323"/>
    </row>
    <row r="142" spans="2:60" s="300" customFormat="1">
      <c r="B142" s="593"/>
      <c r="C142" s="593"/>
      <c r="D142" s="593"/>
      <c r="E142" s="323"/>
      <c r="F142" s="323"/>
      <c r="G142" s="323"/>
      <c r="H142" s="323"/>
      <c r="I142" s="323"/>
      <c r="J142" s="323"/>
      <c r="K142" s="323"/>
      <c r="L142" s="323"/>
      <c r="M142" s="323"/>
      <c r="N142" s="323"/>
      <c r="O142" s="598"/>
      <c r="P142" s="598"/>
      <c r="Q142" s="323"/>
      <c r="R142" s="323"/>
      <c r="S142" s="323"/>
      <c r="T142" s="323"/>
      <c r="U142" s="323"/>
      <c r="V142" s="323"/>
      <c r="W142" s="323"/>
      <c r="X142" s="323"/>
      <c r="Y142" s="323"/>
      <c r="Z142" s="323"/>
      <c r="AA142" s="598"/>
      <c r="AB142" s="598"/>
      <c r="AC142" s="323"/>
      <c r="AD142" s="323"/>
      <c r="AE142" s="323"/>
      <c r="AF142" s="323"/>
      <c r="AG142" s="323"/>
      <c r="AH142" s="323"/>
      <c r="AI142" s="323"/>
      <c r="AJ142" s="323"/>
      <c r="AK142" s="323"/>
      <c r="AL142" s="323"/>
      <c r="AM142" s="323"/>
    </row>
    <row r="143" spans="2:60" s="300" customFormat="1">
      <c r="B143" s="593"/>
      <c r="C143" s="593"/>
      <c r="D143" s="323"/>
      <c r="E143" s="323"/>
      <c r="F143" s="323"/>
      <c r="G143" s="323"/>
      <c r="H143" s="323"/>
      <c r="I143" s="323"/>
      <c r="J143" s="323"/>
      <c r="K143" s="323"/>
      <c r="L143" s="323"/>
      <c r="M143" s="323"/>
      <c r="N143" s="323"/>
      <c r="O143" s="598"/>
      <c r="P143" s="598"/>
      <c r="Q143" s="323"/>
      <c r="R143" s="323"/>
      <c r="S143" s="323"/>
      <c r="T143" s="323"/>
      <c r="U143" s="323"/>
      <c r="V143" s="323"/>
      <c r="W143" s="323"/>
      <c r="X143" s="323"/>
      <c r="Y143" s="323"/>
      <c r="Z143" s="323"/>
      <c r="AA143" s="598"/>
      <c r="AB143" s="598"/>
      <c r="AC143" s="323"/>
      <c r="AD143" s="323"/>
      <c r="AE143" s="323"/>
      <c r="AF143" s="323"/>
      <c r="AG143" s="323"/>
      <c r="AH143" s="323"/>
      <c r="AI143" s="323"/>
      <c r="AJ143" s="323"/>
      <c r="AK143" s="323"/>
      <c r="AL143" s="323"/>
      <c r="AM143" s="323"/>
    </row>
    <row r="144" spans="2:60" s="300" customFormat="1">
      <c r="B144" s="593"/>
      <c r="C144" s="593"/>
      <c r="D144" s="323"/>
      <c r="E144" s="323"/>
      <c r="F144" s="323"/>
      <c r="G144" s="323"/>
      <c r="H144" s="323"/>
      <c r="I144" s="323"/>
      <c r="J144" s="323"/>
      <c r="K144" s="323"/>
      <c r="L144" s="323"/>
      <c r="M144" s="323"/>
      <c r="N144" s="323"/>
      <c r="O144" s="598"/>
      <c r="P144" s="598"/>
      <c r="Q144" s="323"/>
      <c r="R144" s="323"/>
      <c r="S144" s="323"/>
      <c r="T144" s="323"/>
      <c r="U144" s="323"/>
      <c r="V144" s="323"/>
      <c r="W144" s="323"/>
      <c r="X144" s="323"/>
      <c r="Y144" s="323"/>
      <c r="Z144" s="323"/>
      <c r="AA144" s="598"/>
      <c r="AB144" s="598"/>
      <c r="AC144" s="323"/>
      <c r="AD144" s="323"/>
      <c r="AE144" s="323"/>
      <c r="AF144" s="323"/>
      <c r="AG144" s="323"/>
      <c r="AH144" s="323"/>
      <c r="AI144" s="323"/>
      <c r="AJ144" s="323"/>
      <c r="AK144" s="323"/>
      <c r="AL144" s="323"/>
      <c r="AM144" s="323"/>
    </row>
    <row r="145" spans="2:39" s="300" customFormat="1">
      <c r="B145" s="593"/>
      <c r="C145" s="593"/>
      <c r="D145" s="323"/>
      <c r="E145" s="323"/>
      <c r="F145" s="323"/>
      <c r="G145" s="323"/>
      <c r="H145" s="323"/>
      <c r="I145" s="323"/>
      <c r="J145" s="323"/>
      <c r="K145" s="323"/>
      <c r="L145" s="323"/>
      <c r="M145" s="323"/>
      <c r="N145" s="323"/>
      <c r="O145" s="598"/>
      <c r="P145" s="598"/>
      <c r="Q145" s="323"/>
      <c r="R145" s="323"/>
      <c r="S145" s="323"/>
      <c r="T145" s="323"/>
      <c r="U145" s="323"/>
      <c r="V145" s="323"/>
      <c r="W145" s="323"/>
      <c r="X145" s="323"/>
      <c r="Y145" s="323"/>
      <c r="Z145" s="323"/>
      <c r="AA145" s="323"/>
      <c r="AB145" s="598"/>
      <c r="AC145" s="323"/>
      <c r="AD145" s="323"/>
      <c r="AE145" s="323"/>
      <c r="AF145" s="323"/>
      <c r="AG145" s="323"/>
      <c r="AH145" s="323"/>
      <c r="AI145" s="323"/>
      <c r="AJ145" s="323"/>
      <c r="AK145" s="323"/>
      <c r="AL145" s="323"/>
      <c r="AM145" s="323"/>
    </row>
    <row r="146" spans="2:39" s="300" customFormat="1">
      <c r="B146" s="305"/>
      <c r="C146" s="305"/>
      <c r="D146" s="323"/>
      <c r="E146" s="323"/>
      <c r="F146" s="323"/>
      <c r="G146" s="323"/>
      <c r="H146" s="323"/>
      <c r="I146" s="323"/>
      <c r="J146" s="323"/>
      <c r="K146" s="323"/>
      <c r="L146" s="323"/>
      <c r="M146" s="323"/>
      <c r="N146" s="323"/>
      <c r="O146" s="598"/>
      <c r="P146" s="598"/>
      <c r="Q146" s="323"/>
      <c r="R146" s="323"/>
      <c r="S146" s="323"/>
      <c r="T146" s="323"/>
      <c r="U146" s="323"/>
      <c r="V146" s="323"/>
      <c r="W146" s="323"/>
      <c r="X146" s="323"/>
      <c r="Y146" s="323"/>
      <c r="Z146" s="323"/>
      <c r="AA146" s="598"/>
      <c r="AB146" s="598"/>
      <c r="AC146" s="323"/>
      <c r="AD146" s="323"/>
      <c r="AE146" s="323"/>
      <c r="AF146" s="323"/>
      <c r="AG146" s="323"/>
      <c r="AH146" s="323"/>
      <c r="AI146" s="323"/>
      <c r="AJ146" s="323"/>
      <c r="AK146" s="323"/>
      <c r="AL146" s="323"/>
      <c r="AM146" s="323"/>
    </row>
    <row r="147" spans="2:39" s="300" customFormat="1">
      <c r="B147" s="305"/>
      <c r="C147" s="305"/>
      <c r="D147" s="323"/>
      <c r="E147" s="323"/>
      <c r="F147" s="323"/>
      <c r="G147" s="323"/>
      <c r="H147" s="323"/>
      <c r="I147" s="323"/>
      <c r="J147" s="323"/>
      <c r="K147" s="323"/>
      <c r="L147" s="323"/>
      <c r="M147" s="323"/>
      <c r="N147" s="323"/>
      <c r="O147" s="598"/>
      <c r="P147" s="598"/>
      <c r="Q147" s="323"/>
      <c r="R147" s="323"/>
      <c r="S147" s="323"/>
      <c r="T147" s="323"/>
      <c r="U147" s="323"/>
      <c r="V147" s="323"/>
      <c r="W147" s="323"/>
      <c r="X147" s="323"/>
      <c r="Y147" s="323"/>
      <c r="Z147" s="323"/>
      <c r="AA147" s="598"/>
      <c r="AB147" s="598"/>
      <c r="AC147" s="323"/>
      <c r="AD147" s="323"/>
      <c r="AE147" s="323"/>
      <c r="AF147" s="323"/>
      <c r="AG147" s="323"/>
      <c r="AH147" s="323"/>
      <c r="AI147" s="323"/>
      <c r="AJ147" s="323"/>
      <c r="AK147" s="323"/>
      <c r="AL147" s="323"/>
      <c r="AM147" s="323"/>
    </row>
    <row r="148" spans="2:39" s="300" customFormat="1">
      <c r="B148" s="593"/>
      <c r="C148" s="593"/>
      <c r="D148" s="323"/>
      <c r="E148" s="323"/>
      <c r="F148" s="323"/>
      <c r="G148" s="323"/>
      <c r="H148" s="323"/>
      <c r="I148" s="323"/>
      <c r="J148" s="323"/>
      <c r="K148" s="323"/>
      <c r="L148" s="323"/>
      <c r="M148" s="323"/>
      <c r="N148" s="323"/>
      <c r="O148" s="598"/>
      <c r="P148" s="598"/>
      <c r="Q148" s="323"/>
      <c r="R148" s="323"/>
      <c r="S148" s="323"/>
      <c r="T148" s="323"/>
      <c r="U148" s="323"/>
      <c r="V148" s="323"/>
      <c r="W148" s="323"/>
      <c r="X148" s="323"/>
      <c r="Y148" s="323"/>
      <c r="Z148" s="323"/>
      <c r="AA148" s="598"/>
      <c r="AB148" s="598"/>
      <c r="AC148" s="323"/>
      <c r="AD148" s="323"/>
      <c r="AE148" s="323"/>
      <c r="AF148" s="323"/>
      <c r="AG148" s="323"/>
      <c r="AH148" s="323"/>
      <c r="AI148" s="323"/>
      <c r="AJ148" s="323"/>
      <c r="AK148" s="323"/>
      <c r="AL148" s="323"/>
      <c r="AM148" s="323"/>
    </row>
    <row r="149" spans="2:39" s="300" customFormat="1">
      <c r="B149" s="593"/>
      <c r="C149" s="593"/>
      <c r="D149" s="593"/>
      <c r="E149" s="323"/>
      <c r="F149" s="323"/>
      <c r="G149" s="323"/>
      <c r="H149" s="323"/>
      <c r="I149" s="323"/>
      <c r="J149" s="323"/>
      <c r="K149" s="323"/>
      <c r="L149" s="323"/>
      <c r="M149" s="323"/>
      <c r="N149" s="323"/>
      <c r="O149" s="598"/>
      <c r="P149" s="598"/>
      <c r="Q149" s="323"/>
      <c r="R149" s="323"/>
      <c r="S149" s="323"/>
      <c r="T149" s="323"/>
      <c r="U149" s="323"/>
      <c r="V149" s="323"/>
      <c r="W149" s="323"/>
      <c r="X149" s="323"/>
      <c r="Y149" s="323"/>
      <c r="Z149" s="323"/>
      <c r="AA149" s="598"/>
      <c r="AB149" s="598"/>
      <c r="AC149" s="323"/>
      <c r="AD149" s="323"/>
      <c r="AE149" s="323"/>
      <c r="AF149" s="323"/>
      <c r="AG149" s="323"/>
      <c r="AH149" s="323"/>
      <c r="AI149" s="323"/>
      <c r="AJ149" s="323"/>
      <c r="AK149" s="323"/>
      <c r="AL149" s="323"/>
      <c r="AM149" s="323"/>
    </row>
    <row r="150" spans="2:39" s="300" customFormat="1">
      <c r="B150" s="593"/>
      <c r="C150" s="593"/>
      <c r="D150" s="323"/>
      <c r="E150" s="323"/>
      <c r="F150" s="323"/>
      <c r="G150" s="323"/>
      <c r="H150" s="323"/>
      <c r="I150" s="323"/>
      <c r="J150" s="323"/>
      <c r="K150" s="323"/>
      <c r="L150" s="323"/>
      <c r="M150" s="323"/>
      <c r="N150" s="323"/>
      <c r="O150" s="598"/>
      <c r="P150" s="598"/>
      <c r="Q150" s="323"/>
      <c r="R150" s="323"/>
      <c r="S150" s="323"/>
      <c r="T150" s="323"/>
      <c r="U150" s="323"/>
      <c r="V150" s="323"/>
      <c r="W150" s="323"/>
      <c r="X150" s="323"/>
      <c r="Y150" s="323"/>
      <c r="Z150" s="323"/>
      <c r="AA150" s="598"/>
      <c r="AB150" s="598"/>
      <c r="AC150" s="323"/>
      <c r="AD150" s="323"/>
      <c r="AE150" s="323"/>
      <c r="AF150" s="323"/>
      <c r="AG150" s="323"/>
      <c r="AH150" s="323"/>
      <c r="AI150" s="323"/>
      <c r="AJ150" s="323"/>
      <c r="AK150" s="323"/>
      <c r="AL150" s="323"/>
      <c r="AM150" s="323"/>
    </row>
    <row r="151" spans="2:39" s="300" customFormat="1">
      <c r="B151" s="593"/>
      <c r="C151" s="593"/>
      <c r="D151" s="323"/>
      <c r="E151" s="323"/>
      <c r="F151" s="323"/>
      <c r="G151" s="323"/>
      <c r="H151" s="323"/>
      <c r="I151" s="323"/>
      <c r="J151" s="323"/>
      <c r="K151" s="323"/>
      <c r="L151" s="323"/>
      <c r="M151" s="323"/>
      <c r="N151" s="323"/>
      <c r="O151" s="598"/>
      <c r="P151" s="598"/>
      <c r="Q151" s="323"/>
      <c r="R151" s="323"/>
      <c r="S151" s="323"/>
      <c r="T151" s="323"/>
      <c r="U151" s="323"/>
      <c r="V151" s="323"/>
      <c r="W151" s="323"/>
      <c r="X151" s="323"/>
      <c r="Y151" s="323"/>
      <c r="Z151" s="323"/>
      <c r="AA151" s="598"/>
      <c r="AB151" s="598"/>
      <c r="AC151" s="323"/>
      <c r="AD151" s="323"/>
      <c r="AE151" s="323"/>
      <c r="AF151" s="323"/>
      <c r="AG151" s="323"/>
      <c r="AH151" s="323"/>
      <c r="AI151" s="323"/>
      <c r="AJ151" s="323"/>
      <c r="AK151" s="323"/>
      <c r="AL151" s="323"/>
      <c r="AM151" s="323"/>
    </row>
    <row r="152" spans="2:39" s="300" customFormat="1">
      <c r="B152" s="593"/>
      <c r="C152" s="593"/>
      <c r="D152" s="323"/>
      <c r="E152" s="323"/>
      <c r="F152" s="323"/>
      <c r="G152" s="323"/>
      <c r="H152" s="323"/>
      <c r="I152" s="323"/>
      <c r="J152" s="323"/>
      <c r="K152" s="323"/>
      <c r="L152" s="323"/>
      <c r="M152" s="323"/>
      <c r="N152" s="323"/>
      <c r="O152" s="598"/>
      <c r="P152" s="598"/>
      <c r="Q152" s="323"/>
      <c r="R152" s="323"/>
      <c r="S152" s="323"/>
      <c r="T152" s="323"/>
      <c r="U152" s="323"/>
      <c r="V152" s="323"/>
      <c r="W152" s="323"/>
      <c r="X152" s="323"/>
      <c r="Y152" s="323"/>
      <c r="Z152" s="323"/>
      <c r="AA152" s="323"/>
      <c r="AB152" s="598"/>
      <c r="AC152" s="323"/>
      <c r="AD152" s="323"/>
      <c r="AE152" s="323"/>
      <c r="AF152" s="323"/>
      <c r="AG152" s="323"/>
      <c r="AH152" s="323"/>
      <c r="AI152" s="323"/>
      <c r="AJ152" s="323"/>
      <c r="AK152" s="323"/>
      <c r="AL152" s="323"/>
      <c r="AM152" s="323"/>
    </row>
    <row r="153" spans="2:39" s="300" customFormat="1">
      <c r="B153" s="305"/>
      <c r="C153" s="305"/>
      <c r="D153" s="323"/>
      <c r="E153" s="323"/>
      <c r="F153" s="323"/>
      <c r="G153" s="323"/>
      <c r="H153" s="323"/>
      <c r="I153" s="323"/>
      <c r="J153" s="323"/>
      <c r="K153" s="323"/>
      <c r="L153" s="323"/>
      <c r="M153" s="323"/>
      <c r="N153" s="323"/>
      <c r="O153" s="598"/>
      <c r="P153" s="598"/>
      <c r="Q153" s="323"/>
      <c r="R153" s="323"/>
      <c r="S153" s="323"/>
      <c r="T153" s="323"/>
      <c r="U153" s="323"/>
      <c r="V153" s="323"/>
      <c r="W153" s="323"/>
      <c r="X153" s="323"/>
      <c r="Y153" s="323"/>
      <c r="Z153" s="323"/>
      <c r="AA153" s="598"/>
      <c r="AB153" s="598"/>
      <c r="AC153" s="323"/>
      <c r="AD153" s="323"/>
      <c r="AE153" s="323"/>
      <c r="AF153" s="323"/>
      <c r="AG153" s="323"/>
      <c r="AH153" s="323"/>
      <c r="AI153" s="323"/>
      <c r="AJ153" s="323"/>
      <c r="AK153" s="323"/>
      <c r="AL153" s="323"/>
      <c r="AM153" s="323"/>
    </row>
    <row r="154" spans="2:39" s="300" customFormat="1">
      <c r="B154" s="305"/>
      <c r="C154" s="305"/>
      <c r="D154" s="323"/>
      <c r="E154" s="323"/>
      <c r="F154" s="323"/>
      <c r="G154" s="323"/>
      <c r="H154" s="323"/>
      <c r="I154" s="323"/>
      <c r="J154" s="323"/>
      <c r="K154" s="323"/>
      <c r="L154" s="323"/>
      <c r="M154" s="323"/>
      <c r="N154" s="323"/>
      <c r="O154" s="598"/>
      <c r="P154" s="598"/>
      <c r="Q154" s="323"/>
      <c r="R154" s="323"/>
      <c r="S154" s="323"/>
      <c r="T154" s="323"/>
      <c r="U154" s="323"/>
      <c r="V154" s="323"/>
      <c r="W154" s="323"/>
      <c r="X154" s="323"/>
      <c r="Y154" s="323"/>
      <c r="Z154" s="323"/>
      <c r="AA154" s="598"/>
      <c r="AB154" s="598"/>
      <c r="AC154" s="323"/>
      <c r="AD154" s="323"/>
      <c r="AE154" s="323"/>
      <c r="AF154" s="323"/>
      <c r="AG154" s="323"/>
      <c r="AH154" s="323"/>
      <c r="AI154" s="323"/>
      <c r="AJ154" s="323"/>
      <c r="AK154" s="323"/>
      <c r="AL154" s="323"/>
      <c r="AM154" s="323"/>
    </row>
    <row r="155" spans="2:39" s="300" customFormat="1">
      <c r="B155" s="593"/>
      <c r="C155" s="593"/>
      <c r="D155" s="323"/>
      <c r="E155" s="323"/>
      <c r="F155" s="323"/>
      <c r="G155" s="323"/>
      <c r="H155" s="323"/>
      <c r="I155" s="323"/>
      <c r="J155" s="323"/>
      <c r="K155" s="323"/>
      <c r="L155" s="323"/>
      <c r="M155" s="323"/>
      <c r="N155" s="323"/>
      <c r="O155" s="598"/>
      <c r="P155" s="598"/>
      <c r="Q155" s="323"/>
      <c r="R155" s="323"/>
      <c r="S155" s="323"/>
      <c r="T155" s="323"/>
      <c r="U155" s="323"/>
      <c r="V155" s="323"/>
      <c r="W155" s="323"/>
      <c r="X155" s="323"/>
      <c r="Y155" s="323"/>
      <c r="Z155" s="323"/>
      <c r="AA155" s="598"/>
      <c r="AB155" s="598"/>
      <c r="AC155" s="323"/>
      <c r="AD155" s="323"/>
      <c r="AE155" s="323"/>
      <c r="AF155" s="323"/>
      <c r="AG155" s="323"/>
      <c r="AH155" s="323"/>
      <c r="AI155" s="323"/>
      <c r="AJ155" s="323"/>
      <c r="AK155" s="323"/>
      <c r="AL155" s="323"/>
      <c r="AM155" s="323"/>
    </row>
    <row r="156" spans="2:39" s="300" customFormat="1">
      <c r="B156" s="593"/>
      <c r="C156" s="593"/>
      <c r="D156" s="593"/>
      <c r="E156" s="323"/>
      <c r="F156" s="323"/>
      <c r="G156" s="323"/>
      <c r="H156" s="323"/>
      <c r="I156" s="323"/>
      <c r="J156" s="323"/>
      <c r="K156" s="323"/>
      <c r="L156" s="323"/>
      <c r="M156" s="323"/>
      <c r="N156" s="323"/>
      <c r="O156" s="598"/>
      <c r="P156" s="598"/>
      <c r="Q156" s="323"/>
      <c r="R156" s="323"/>
      <c r="S156" s="323"/>
      <c r="T156" s="323"/>
      <c r="U156" s="323"/>
      <c r="V156" s="323"/>
      <c r="W156" s="323"/>
      <c r="X156" s="323"/>
      <c r="Y156" s="323"/>
      <c r="Z156" s="323"/>
      <c r="AA156" s="598"/>
      <c r="AB156" s="598"/>
      <c r="AC156" s="323"/>
      <c r="AD156" s="323"/>
      <c r="AE156" s="323"/>
      <c r="AF156" s="323"/>
      <c r="AG156" s="323"/>
      <c r="AH156" s="323"/>
      <c r="AI156" s="323"/>
      <c r="AJ156" s="323"/>
      <c r="AK156" s="323"/>
      <c r="AL156" s="323"/>
      <c r="AM156" s="323"/>
    </row>
    <row r="157" spans="2:39" s="300" customFormat="1">
      <c r="B157" s="593"/>
      <c r="C157" s="593"/>
      <c r="D157" s="323"/>
      <c r="E157" s="323"/>
      <c r="F157" s="323"/>
      <c r="G157" s="323"/>
      <c r="H157" s="323"/>
      <c r="I157" s="323"/>
      <c r="J157" s="323"/>
      <c r="K157" s="323"/>
      <c r="L157" s="323"/>
      <c r="M157" s="323"/>
      <c r="N157" s="323"/>
      <c r="O157" s="598"/>
      <c r="P157" s="598"/>
      <c r="Q157" s="323"/>
      <c r="R157" s="323"/>
      <c r="S157" s="323"/>
      <c r="T157" s="323"/>
      <c r="U157" s="323"/>
      <c r="V157" s="323"/>
      <c r="W157" s="323"/>
      <c r="X157" s="323"/>
      <c r="Y157" s="323"/>
      <c r="Z157" s="323"/>
      <c r="AA157" s="598"/>
      <c r="AB157" s="598"/>
      <c r="AC157" s="323"/>
      <c r="AD157" s="323"/>
      <c r="AE157" s="323"/>
      <c r="AF157" s="323"/>
      <c r="AG157" s="323"/>
      <c r="AH157" s="323"/>
      <c r="AI157" s="323"/>
      <c r="AJ157" s="323"/>
      <c r="AK157" s="323"/>
      <c r="AL157" s="323"/>
      <c r="AM157" s="323"/>
    </row>
    <row r="158" spans="2:39" s="300" customFormat="1">
      <c r="B158" s="593"/>
      <c r="C158" s="593"/>
      <c r="D158" s="323"/>
      <c r="E158" s="323"/>
      <c r="F158" s="323"/>
      <c r="G158" s="323"/>
      <c r="H158" s="323"/>
      <c r="I158" s="323"/>
      <c r="J158" s="323"/>
      <c r="K158" s="323"/>
      <c r="L158" s="323"/>
      <c r="M158" s="323"/>
      <c r="N158" s="323"/>
      <c r="O158" s="598"/>
      <c r="P158" s="598"/>
      <c r="Q158" s="323"/>
      <c r="R158" s="323"/>
      <c r="S158" s="323"/>
      <c r="T158" s="323"/>
      <c r="U158" s="323"/>
      <c r="V158" s="323"/>
      <c r="W158" s="323"/>
      <c r="X158" s="323"/>
      <c r="Y158" s="323"/>
      <c r="Z158" s="323"/>
      <c r="AA158" s="598"/>
      <c r="AB158" s="598"/>
      <c r="AC158" s="323"/>
      <c r="AD158" s="323"/>
      <c r="AE158" s="323"/>
      <c r="AF158" s="323"/>
      <c r="AG158" s="323"/>
      <c r="AH158" s="323"/>
      <c r="AI158" s="323"/>
      <c r="AJ158" s="323"/>
      <c r="AK158" s="323"/>
      <c r="AL158" s="323"/>
      <c r="AM158" s="323"/>
    </row>
    <row r="159" spans="2:39" s="300" customFormat="1">
      <c r="B159" s="593"/>
      <c r="C159" s="593"/>
      <c r="D159" s="323"/>
      <c r="E159" s="323"/>
      <c r="F159" s="323"/>
      <c r="G159" s="323"/>
      <c r="H159" s="323"/>
      <c r="I159" s="323"/>
      <c r="J159" s="323"/>
      <c r="K159" s="323"/>
      <c r="L159" s="323"/>
      <c r="M159" s="323"/>
      <c r="N159" s="323"/>
      <c r="O159" s="598"/>
      <c r="P159" s="598"/>
      <c r="Q159" s="323"/>
      <c r="R159" s="323"/>
      <c r="S159" s="323"/>
      <c r="T159" s="323"/>
      <c r="U159" s="323"/>
      <c r="V159" s="323"/>
      <c r="W159" s="323"/>
      <c r="X159" s="323"/>
      <c r="Y159" s="323"/>
      <c r="Z159" s="323"/>
      <c r="AA159" s="323"/>
      <c r="AB159" s="323"/>
      <c r="AC159" s="323"/>
      <c r="AD159" s="323"/>
      <c r="AE159" s="323"/>
      <c r="AF159" s="323"/>
      <c r="AG159" s="323"/>
      <c r="AH159" s="323"/>
      <c r="AI159" s="323"/>
      <c r="AJ159" s="323"/>
      <c r="AK159" s="323"/>
      <c r="AL159" s="323"/>
      <c r="AM159" s="323"/>
    </row>
    <row r="160" spans="2:39" s="300" customFormat="1">
      <c r="B160" s="305"/>
      <c r="C160" s="305"/>
      <c r="D160" s="323"/>
      <c r="E160" s="323"/>
      <c r="F160" s="323"/>
      <c r="G160" s="323"/>
      <c r="H160" s="323"/>
      <c r="I160" s="323"/>
      <c r="J160" s="323"/>
      <c r="K160" s="323"/>
      <c r="L160" s="323"/>
      <c r="M160" s="323"/>
      <c r="N160" s="323"/>
      <c r="O160" s="598"/>
      <c r="P160" s="598"/>
      <c r="Q160" s="323"/>
      <c r="R160" s="323"/>
      <c r="S160" s="323"/>
      <c r="T160" s="323"/>
      <c r="U160" s="323"/>
      <c r="V160" s="323"/>
      <c r="W160" s="323"/>
      <c r="X160" s="323"/>
      <c r="Y160" s="323"/>
      <c r="Z160" s="323"/>
      <c r="AA160" s="599"/>
      <c r="AB160" s="323"/>
      <c r="AC160" s="323"/>
      <c r="AD160" s="323"/>
      <c r="AE160" s="323"/>
      <c r="AF160" s="323"/>
      <c r="AG160" s="323"/>
      <c r="AH160" s="323"/>
      <c r="AI160" s="323"/>
      <c r="AJ160" s="323"/>
      <c r="AK160" s="323"/>
      <c r="AL160" s="323"/>
      <c r="AM160" s="323"/>
    </row>
    <row r="161" spans="2:39" s="300" customFormat="1">
      <c r="B161" s="305"/>
      <c r="C161" s="305"/>
      <c r="D161" s="323"/>
      <c r="E161" s="323"/>
      <c r="F161" s="323"/>
      <c r="G161" s="323"/>
      <c r="H161" s="323"/>
      <c r="I161" s="323"/>
      <c r="J161" s="323"/>
      <c r="K161" s="323"/>
      <c r="L161" s="323"/>
      <c r="M161" s="323"/>
      <c r="N161" s="323"/>
      <c r="O161" s="598"/>
      <c r="P161" s="598"/>
      <c r="Q161" s="323"/>
      <c r="R161" s="323"/>
      <c r="S161" s="323"/>
      <c r="T161" s="323"/>
      <c r="U161" s="323"/>
      <c r="V161" s="323"/>
      <c r="W161" s="323"/>
      <c r="X161" s="323"/>
      <c r="Y161" s="323"/>
      <c r="Z161" s="323"/>
      <c r="AA161" s="599"/>
      <c r="AB161" s="323"/>
      <c r="AC161" s="323"/>
      <c r="AD161" s="323"/>
      <c r="AE161" s="323"/>
      <c r="AF161" s="323"/>
      <c r="AG161" s="323"/>
      <c r="AH161" s="323"/>
      <c r="AI161" s="323"/>
      <c r="AJ161" s="323"/>
      <c r="AK161" s="323"/>
      <c r="AL161" s="323"/>
      <c r="AM161" s="323"/>
    </row>
    <row r="162" spans="2:39" s="300" customFormat="1">
      <c r="B162" s="593"/>
      <c r="C162" s="593"/>
      <c r="D162" s="323"/>
      <c r="E162" s="323"/>
      <c r="F162" s="323"/>
      <c r="G162" s="323"/>
      <c r="H162" s="323"/>
      <c r="I162" s="323"/>
      <c r="J162" s="323"/>
      <c r="K162" s="323"/>
      <c r="L162" s="323"/>
      <c r="M162" s="323"/>
      <c r="N162" s="323"/>
      <c r="O162" s="598"/>
      <c r="P162" s="598"/>
      <c r="Q162" s="323"/>
      <c r="R162" s="323"/>
      <c r="S162" s="323"/>
      <c r="T162" s="323"/>
      <c r="U162" s="323"/>
      <c r="V162" s="323"/>
      <c r="W162" s="323"/>
      <c r="X162" s="323"/>
      <c r="Y162" s="323"/>
      <c r="Z162" s="323"/>
      <c r="AA162" s="599"/>
      <c r="AB162" s="323"/>
      <c r="AC162" s="323"/>
      <c r="AD162" s="323"/>
      <c r="AE162" s="323"/>
      <c r="AF162" s="323"/>
      <c r="AG162" s="323"/>
      <c r="AH162" s="323"/>
      <c r="AI162" s="323"/>
      <c r="AJ162" s="323"/>
      <c r="AK162" s="323"/>
      <c r="AL162" s="323"/>
      <c r="AM162" s="323"/>
    </row>
    <row r="163" spans="2:39" s="300" customFormat="1">
      <c r="B163" s="593"/>
      <c r="C163" s="593"/>
      <c r="D163" s="593"/>
      <c r="E163" s="323"/>
      <c r="F163" s="323"/>
      <c r="G163" s="323"/>
      <c r="H163" s="323"/>
      <c r="I163" s="323"/>
      <c r="J163" s="323"/>
      <c r="K163" s="323"/>
      <c r="L163" s="323"/>
      <c r="M163" s="323"/>
      <c r="N163" s="323"/>
      <c r="O163" s="598"/>
      <c r="P163" s="598"/>
      <c r="Q163" s="323"/>
      <c r="R163" s="323"/>
      <c r="S163" s="323"/>
      <c r="T163" s="323"/>
      <c r="U163" s="323"/>
      <c r="V163" s="323"/>
      <c r="W163" s="323"/>
      <c r="X163" s="323"/>
      <c r="Y163" s="323"/>
      <c r="Z163" s="323"/>
      <c r="AA163" s="599"/>
      <c r="AB163" s="323"/>
      <c r="AC163" s="323"/>
      <c r="AD163" s="323"/>
      <c r="AE163" s="323"/>
      <c r="AF163" s="323"/>
      <c r="AG163" s="323"/>
      <c r="AH163" s="323"/>
      <c r="AI163" s="323"/>
      <c r="AJ163" s="323"/>
      <c r="AK163" s="323"/>
      <c r="AL163" s="323"/>
      <c r="AM163" s="323"/>
    </row>
    <row r="164" spans="2:39" s="300" customFormat="1">
      <c r="B164" s="593"/>
      <c r="C164" s="593"/>
      <c r="D164" s="323"/>
      <c r="E164" s="323"/>
      <c r="F164" s="323"/>
      <c r="G164" s="323"/>
      <c r="H164" s="323"/>
      <c r="I164" s="323"/>
      <c r="J164" s="323"/>
      <c r="K164" s="323"/>
      <c r="L164" s="323"/>
      <c r="M164" s="323"/>
      <c r="N164" s="323"/>
      <c r="O164" s="598"/>
      <c r="P164" s="598"/>
      <c r="Q164" s="323"/>
      <c r="R164" s="323"/>
      <c r="S164" s="323"/>
      <c r="T164" s="323"/>
      <c r="U164" s="323"/>
      <c r="V164" s="323"/>
      <c r="W164" s="323"/>
      <c r="X164" s="323"/>
      <c r="Y164" s="323"/>
      <c r="Z164" s="323"/>
      <c r="AA164" s="599"/>
      <c r="AB164" s="323"/>
      <c r="AC164" s="323"/>
      <c r="AD164" s="323"/>
      <c r="AE164" s="323"/>
      <c r="AF164" s="323"/>
      <c r="AG164" s="323"/>
      <c r="AH164" s="323"/>
      <c r="AI164" s="323"/>
      <c r="AJ164" s="323"/>
      <c r="AK164" s="323"/>
      <c r="AL164" s="323"/>
      <c r="AM164" s="323"/>
    </row>
    <row r="165" spans="2:39" s="300" customFormat="1">
      <c r="B165" s="593"/>
      <c r="C165" s="593"/>
      <c r="D165" s="323"/>
      <c r="E165" s="323"/>
      <c r="F165" s="323"/>
      <c r="G165" s="323"/>
      <c r="H165" s="323"/>
      <c r="I165" s="323"/>
      <c r="J165" s="323"/>
      <c r="K165" s="323"/>
      <c r="L165" s="323"/>
      <c r="M165" s="323"/>
      <c r="N165" s="323"/>
      <c r="O165" s="598"/>
      <c r="P165" s="598"/>
      <c r="Q165" s="323"/>
      <c r="R165" s="323"/>
      <c r="S165" s="323"/>
      <c r="T165" s="323"/>
      <c r="U165" s="323"/>
      <c r="V165" s="323"/>
      <c r="W165" s="323"/>
      <c r="X165" s="323"/>
      <c r="Y165" s="323"/>
      <c r="Z165" s="323"/>
      <c r="AA165" s="599"/>
      <c r="AB165" s="323"/>
      <c r="AC165" s="323"/>
      <c r="AD165" s="323"/>
      <c r="AE165" s="323"/>
      <c r="AF165" s="323"/>
      <c r="AG165" s="323"/>
      <c r="AH165" s="323"/>
      <c r="AI165" s="323"/>
      <c r="AJ165" s="323"/>
      <c r="AK165" s="323"/>
      <c r="AL165" s="323"/>
      <c r="AM165" s="323"/>
    </row>
    <row r="166" spans="2:39" s="300" customFormat="1">
      <c r="B166" s="593"/>
      <c r="C166" s="593"/>
      <c r="D166" s="323"/>
      <c r="E166" s="323"/>
      <c r="F166" s="323"/>
      <c r="G166" s="323"/>
      <c r="H166" s="323"/>
      <c r="I166" s="323"/>
      <c r="J166" s="323"/>
      <c r="K166" s="323"/>
      <c r="L166" s="323"/>
      <c r="M166" s="323"/>
      <c r="N166" s="323"/>
      <c r="O166" s="598"/>
      <c r="P166" s="598"/>
      <c r="Q166" s="323"/>
      <c r="R166" s="323"/>
      <c r="S166" s="323"/>
      <c r="T166" s="323"/>
      <c r="U166" s="323"/>
      <c r="V166" s="323"/>
      <c r="W166" s="323"/>
      <c r="X166" s="323"/>
      <c r="Y166" s="323"/>
      <c r="Z166" s="323"/>
      <c r="AA166" s="323"/>
      <c r="AB166" s="323"/>
      <c r="AC166" s="323"/>
      <c r="AD166" s="323"/>
      <c r="AE166" s="323"/>
      <c r="AF166" s="323"/>
      <c r="AG166" s="323"/>
      <c r="AH166" s="323"/>
      <c r="AI166" s="323"/>
      <c r="AJ166" s="323"/>
      <c r="AK166" s="323"/>
      <c r="AL166" s="323"/>
      <c r="AM166" s="323"/>
    </row>
    <row r="167" spans="2:39" s="300" customFormat="1">
      <c r="B167" s="305"/>
      <c r="C167" s="305"/>
      <c r="D167" s="323"/>
      <c r="E167" s="323"/>
      <c r="F167" s="323"/>
      <c r="G167" s="323"/>
      <c r="H167" s="323"/>
      <c r="I167" s="323"/>
      <c r="J167" s="323"/>
      <c r="K167" s="323"/>
      <c r="L167" s="323"/>
      <c r="M167" s="323"/>
      <c r="N167" s="323"/>
      <c r="O167" s="598"/>
      <c r="P167" s="598"/>
      <c r="Q167" s="323"/>
      <c r="R167" s="323"/>
      <c r="S167" s="323"/>
      <c r="T167" s="323"/>
      <c r="U167" s="323"/>
      <c r="V167" s="323"/>
      <c r="W167" s="323"/>
      <c r="X167" s="323"/>
      <c r="Y167" s="323"/>
      <c r="Z167" s="323"/>
      <c r="AA167" s="599"/>
      <c r="AB167" s="323"/>
      <c r="AC167" s="323"/>
      <c r="AD167" s="323"/>
      <c r="AE167" s="323"/>
      <c r="AF167" s="323"/>
      <c r="AG167" s="323"/>
      <c r="AH167" s="323"/>
      <c r="AI167" s="323"/>
      <c r="AJ167" s="323"/>
      <c r="AK167" s="323"/>
      <c r="AL167" s="323"/>
      <c r="AM167" s="323"/>
    </row>
    <row r="168" spans="2:39" s="300" customFormat="1">
      <c r="B168" s="305"/>
      <c r="C168" s="305"/>
      <c r="D168" s="323"/>
      <c r="E168" s="323"/>
      <c r="F168" s="323"/>
      <c r="G168" s="323"/>
      <c r="H168" s="323"/>
      <c r="I168" s="323"/>
      <c r="J168" s="323"/>
      <c r="K168" s="323"/>
      <c r="L168" s="323"/>
      <c r="M168" s="323"/>
      <c r="N168" s="323"/>
      <c r="O168" s="598"/>
      <c r="P168" s="598"/>
      <c r="Q168" s="323"/>
      <c r="R168" s="323"/>
      <c r="S168" s="323"/>
      <c r="T168" s="323"/>
      <c r="U168" s="323"/>
      <c r="V168" s="323"/>
      <c r="W168" s="323"/>
      <c r="X168" s="323"/>
      <c r="Y168" s="323"/>
      <c r="Z168" s="323"/>
      <c r="AA168" s="599"/>
      <c r="AB168" s="323"/>
      <c r="AC168" s="323"/>
      <c r="AD168" s="323"/>
      <c r="AE168" s="323"/>
      <c r="AF168" s="323"/>
      <c r="AG168" s="323"/>
      <c r="AH168" s="323"/>
      <c r="AI168" s="323"/>
      <c r="AJ168" s="323"/>
      <c r="AK168" s="323"/>
      <c r="AL168" s="323"/>
      <c r="AM168" s="323"/>
    </row>
    <row r="169" spans="2:39" s="300" customFormat="1">
      <c r="B169" s="593"/>
      <c r="C169" s="593"/>
      <c r="D169" s="323"/>
      <c r="E169" s="323"/>
      <c r="F169" s="323"/>
      <c r="G169" s="323"/>
      <c r="H169" s="323"/>
      <c r="I169" s="323"/>
      <c r="J169" s="323"/>
      <c r="K169" s="323"/>
      <c r="L169" s="323"/>
      <c r="M169" s="323"/>
      <c r="N169" s="323"/>
      <c r="O169" s="598"/>
      <c r="P169" s="598"/>
      <c r="Q169" s="323"/>
      <c r="R169" s="323"/>
      <c r="S169" s="323"/>
      <c r="T169" s="323"/>
      <c r="U169" s="323"/>
      <c r="V169" s="323"/>
      <c r="W169" s="323"/>
      <c r="X169" s="323"/>
      <c r="Y169" s="323"/>
      <c r="Z169" s="323"/>
      <c r="AA169" s="599"/>
      <c r="AB169" s="323"/>
      <c r="AC169" s="323"/>
      <c r="AD169" s="323"/>
      <c r="AE169" s="323"/>
      <c r="AF169" s="323"/>
      <c r="AG169" s="323"/>
      <c r="AH169" s="323"/>
      <c r="AI169" s="323"/>
      <c r="AJ169" s="323"/>
      <c r="AK169" s="323"/>
      <c r="AL169" s="323"/>
      <c r="AM169" s="323"/>
    </row>
    <row r="170" spans="2:39" s="300" customFormat="1">
      <c r="B170" s="593"/>
      <c r="C170" s="593"/>
      <c r="D170" s="593"/>
      <c r="E170" s="323"/>
      <c r="F170" s="323"/>
      <c r="G170" s="323"/>
      <c r="H170" s="323"/>
      <c r="I170" s="323"/>
      <c r="J170" s="323"/>
      <c r="K170" s="323"/>
      <c r="L170" s="323"/>
      <c r="M170" s="323"/>
      <c r="N170" s="323"/>
      <c r="O170" s="598"/>
      <c r="P170" s="598"/>
      <c r="Q170" s="323"/>
      <c r="R170" s="323"/>
      <c r="S170" s="323"/>
      <c r="T170" s="323"/>
      <c r="U170" s="323"/>
      <c r="V170" s="323"/>
      <c r="W170" s="323"/>
      <c r="X170" s="323"/>
      <c r="Y170" s="323"/>
      <c r="Z170" s="323"/>
      <c r="AA170" s="599"/>
      <c r="AB170" s="323"/>
      <c r="AC170" s="323"/>
      <c r="AD170" s="323"/>
      <c r="AE170" s="323"/>
      <c r="AF170" s="323"/>
      <c r="AG170" s="323"/>
      <c r="AH170" s="323"/>
      <c r="AI170" s="323"/>
      <c r="AJ170" s="323"/>
      <c r="AK170" s="323"/>
      <c r="AL170" s="323"/>
      <c r="AM170" s="323"/>
    </row>
    <row r="171" spans="2:39" s="300" customFormat="1">
      <c r="B171" s="593"/>
      <c r="C171" s="593"/>
      <c r="D171" s="323"/>
      <c r="E171" s="323"/>
      <c r="F171" s="323"/>
      <c r="G171" s="323"/>
      <c r="H171" s="323"/>
      <c r="I171" s="323"/>
      <c r="J171" s="323"/>
      <c r="K171" s="323"/>
      <c r="L171" s="323"/>
      <c r="M171" s="323"/>
      <c r="N171" s="323"/>
      <c r="O171" s="598"/>
      <c r="P171" s="598"/>
      <c r="Q171" s="323"/>
      <c r="R171" s="323"/>
      <c r="S171" s="323"/>
      <c r="T171" s="323"/>
      <c r="U171" s="323"/>
      <c r="V171" s="323"/>
      <c r="W171" s="323"/>
      <c r="X171" s="323"/>
      <c r="Y171" s="323"/>
      <c r="Z171" s="323"/>
      <c r="AA171" s="599"/>
      <c r="AB171" s="323"/>
      <c r="AC171" s="323"/>
      <c r="AD171" s="323"/>
      <c r="AE171" s="323"/>
      <c r="AF171" s="323"/>
      <c r="AG171" s="323"/>
      <c r="AH171" s="323"/>
      <c r="AI171" s="323"/>
      <c r="AJ171" s="323"/>
      <c r="AK171" s="323"/>
      <c r="AL171" s="323"/>
      <c r="AM171" s="323"/>
    </row>
    <row r="172" spans="2:39" s="300" customFormat="1">
      <c r="B172" s="593"/>
      <c r="C172" s="593"/>
      <c r="D172" s="323"/>
      <c r="E172" s="323"/>
      <c r="F172" s="323"/>
      <c r="G172" s="323"/>
      <c r="H172" s="323"/>
      <c r="I172" s="323"/>
      <c r="J172" s="323"/>
      <c r="K172" s="323"/>
      <c r="L172" s="323"/>
      <c r="M172" s="323"/>
      <c r="N172" s="323"/>
      <c r="O172" s="599"/>
      <c r="P172" s="323"/>
      <c r="Q172" s="323"/>
      <c r="R172" s="323"/>
      <c r="S172" s="323"/>
      <c r="T172" s="323"/>
      <c r="U172" s="323"/>
      <c r="V172" s="323"/>
      <c r="W172" s="323"/>
      <c r="X172" s="323"/>
      <c r="Y172" s="323"/>
      <c r="Z172" s="323"/>
      <c r="AA172" s="599"/>
      <c r="AB172" s="323"/>
      <c r="AC172" s="323"/>
      <c r="AD172" s="323"/>
      <c r="AE172" s="323"/>
      <c r="AF172" s="323"/>
      <c r="AG172" s="323"/>
      <c r="AH172" s="323"/>
      <c r="AI172" s="323"/>
      <c r="AJ172" s="323"/>
      <c r="AK172" s="323"/>
      <c r="AL172" s="323"/>
      <c r="AM172" s="323"/>
    </row>
    <row r="173" spans="2:39" s="300" customFormat="1">
      <c r="B173" s="593"/>
      <c r="C173" s="593"/>
      <c r="D173" s="323"/>
      <c r="E173" s="323"/>
      <c r="F173" s="323"/>
      <c r="G173" s="323"/>
      <c r="H173" s="323"/>
      <c r="I173" s="323"/>
      <c r="J173" s="323"/>
      <c r="K173" s="323"/>
      <c r="L173" s="323"/>
      <c r="M173" s="323"/>
      <c r="N173" s="323"/>
      <c r="O173" s="323"/>
      <c r="P173" s="323"/>
      <c r="Q173" s="323"/>
      <c r="R173" s="323"/>
      <c r="S173" s="323"/>
      <c r="T173" s="323"/>
      <c r="U173" s="323"/>
      <c r="V173" s="323"/>
      <c r="W173" s="323"/>
      <c r="X173" s="323"/>
      <c r="Y173" s="323"/>
      <c r="Z173" s="323"/>
      <c r="AA173" s="323"/>
      <c r="AB173" s="323"/>
      <c r="AC173" s="323"/>
      <c r="AD173" s="323"/>
      <c r="AE173" s="323"/>
      <c r="AF173" s="323"/>
      <c r="AG173" s="323"/>
      <c r="AH173" s="323"/>
      <c r="AI173" s="323"/>
      <c r="AJ173" s="323"/>
      <c r="AK173" s="323"/>
      <c r="AL173" s="323"/>
      <c r="AM173" s="323"/>
    </row>
    <row r="174" spans="2:39" s="300" customFormat="1">
      <c r="B174" s="305"/>
      <c r="C174" s="305"/>
      <c r="D174" s="323"/>
      <c r="E174" s="323"/>
      <c r="F174" s="323"/>
      <c r="G174" s="323"/>
      <c r="H174" s="323"/>
      <c r="I174" s="323"/>
      <c r="J174" s="323"/>
      <c r="K174" s="323"/>
      <c r="L174" s="323"/>
      <c r="M174" s="323"/>
      <c r="N174" s="323"/>
      <c r="O174" s="599"/>
      <c r="P174" s="323"/>
      <c r="Q174" s="323"/>
      <c r="R174" s="323"/>
      <c r="S174" s="323"/>
      <c r="T174" s="323"/>
      <c r="U174" s="323"/>
      <c r="V174" s="323"/>
      <c r="W174" s="323"/>
      <c r="X174" s="323"/>
      <c r="Y174" s="323"/>
      <c r="Z174" s="323"/>
      <c r="AA174" s="599"/>
      <c r="AB174" s="323"/>
      <c r="AC174" s="323"/>
      <c r="AD174" s="323"/>
      <c r="AE174" s="323"/>
      <c r="AF174" s="323"/>
      <c r="AG174" s="323"/>
      <c r="AH174" s="323"/>
      <c r="AI174" s="323"/>
      <c r="AJ174" s="323"/>
      <c r="AK174" s="323"/>
      <c r="AL174" s="323"/>
      <c r="AM174" s="323"/>
    </row>
    <row r="175" spans="2:39" s="300" customFormat="1">
      <c r="B175" s="305"/>
      <c r="C175" s="305"/>
      <c r="D175" s="323"/>
      <c r="E175" s="323"/>
      <c r="F175" s="323"/>
      <c r="G175" s="323"/>
      <c r="H175" s="323"/>
      <c r="I175" s="323"/>
      <c r="J175" s="323"/>
      <c r="K175" s="323"/>
      <c r="L175" s="323"/>
      <c r="M175" s="323"/>
      <c r="N175" s="323"/>
      <c r="O175" s="599"/>
      <c r="P175" s="323"/>
      <c r="Q175" s="323"/>
      <c r="R175" s="323"/>
      <c r="S175" s="323"/>
      <c r="T175" s="323"/>
      <c r="U175" s="323"/>
      <c r="V175" s="323"/>
      <c r="W175" s="323"/>
      <c r="X175" s="323"/>
      <c r="Y175" s="323"/>
      <c r="Z175" s="323"/>
      <c r="AA175" s="599"/>
      <c r="AB175" s="323"/>
      <c r="AC175" s="323"/>
      <c r="AD175" s="323"/>
      <c r="AE175" s="323"/>
      <c r="AF175" s="323"/>
      <c r="AG175" s="323"/>
      <c r="AH175" s="323"/>
      <c r="AI175" s="323"/>
      <c r="AJ175" s="323"/>
      <c r="AK175" s="323"/>
      <c r="AL175" s="323"/>
      <c r="AM175" s="323"/>
    </row>
    <row r="176" spans="2:39" s="300" customFormat="1">
      <c r="B176" s="593"/>
      <c r="C176" s="593"/>
      <c r="D176" s="323"/>
      <c r="E176" s="323"/>
      <c r="F176" s="323"/>
      <c r="G176" s="323"/>
      <c r="H176" s="323"/>
      <c r="I176" s="323"/>
      <c r="J176" s="323"/>
      <c r="K176" s="323"/>
      <c r="L176" s="323"/>
      <c r="M176" s="323"/>
      <c r="N176" s="323"/>
      <c r="O176" s="599"/>
      <c r="P176" s="323"/>
      <c r="Q176" s="323"/>
      <c r="R176" s="323"/>
      <c r="S176" s="323"/>
      <c r="T176" s="323"/>
      <c r="U176" s="323"/>
      <c r="V176" s="323"/>
      <c r="W176" s="323"/>
      <c r="X176" s="323"/>
      <c r="Y176" s="323"/>
      <c r="Z176" s="323"/>
      <c r="AA176" s="599"/>
      <c r="AB176" s="323"/>
      <c r="AC176" s="323"/>
      <c r="AD176" s="323"/>
      <c r="AE176" s="323"/>
      <c r="AF176" s="323"/>
      <c r="AG176" s="323"/>
      <c r="AH176" s="323"/>
      <c r="AI176" s="323"/>
      <c r="AJ176" s="323"/>
      <c r="AK176" s="323"/>
      <c r="AL176" s="323"/>
      <c r="AM176" s="323"/>
    </row>
    <row r="177" spans="2:70" s="300" customFormat="1">
      <c r="B177" s="593"/>
      <c r="C177" s="593"/>
      <c r="D177" s="593"/>
      <c r="E177" s="323"/>
      <c r="F177" s="323"/>
      <c r="G177" s="323"/>
      <c r="H177" s="323"/>
      <c r="I177" s="323"/>
      <c r="J177" s="323"/>
      <c r="K177" s="323"/>
      <c r="L177" s="323"/>
      <c r="M177" s="323"/>
      <c r="N177" s="323"/>
      <c r="O177" s="599"/>
      <c r="P177" s="323"/>
      <c r="Q177" s="323"/>
      <c r="R177" s="323"/>
      <c r="S177" s="323"/>
      <c r="T177" s="323"/>
      <c r="U177" s="323"/>
      <c r="V177" s="323"/>
      <c r="W177" s="323"/>
      <c r="X177" s="323"/>
      <c r="Y177" s="323"/>
      <c r="Z177" s="323"/>
      <c r="AA177" s="599"/>
      <c r="AB177" s="323"/>
      <c r="AC177" s="323"/>
      <c r="AD177" s="323"/>
      <c r="AE177" s="323"/>
      <c r="AF177" s="323"/>
      <c r="AG177" s="323"/>
      <c r="AH177" s="323"/>
      <c r="AI177" s="323"/>
      <c r="AJ177" s="323"/>
      <c r="AK177" s="323"/>
      <c r="AL177" s="323"/>
      <c r="AM177" s="323"/>
    </row>
    <row r="178" spans="2:70" s="300" customFormat="1">
      <c r="B178" s="593"/>
      <c r="C178" s="593"/>
      <c r="D178" s="323"/>
      <c r="E178" s="323"/>
      <c r="F178" s="323"/>
      <c r="G178" s="323"/>
      <c r="H178" s="323"/>
      <c r="I178" s="323"/>
      <c r="J178" s="323"/>
      <c r="K178" s="323"/>
      <c r="L178" s="323"/>
      <c r="M178" s="323"/>
      <c r="N178" s="323"/>
      <c r="O178" s="599"/>
      <c r="P178" s="323"/>
      <c r="Q178" s="323"/>
      <c r="R178" s="323"/>
      <c r="S178" s="323"/>
      <c r="T178" s="323"/>
      <c r="U178" s="323"/>
      <c r="V178" s="323"/>
      <c r="W178" s="323"/>
      <c r="X178" s="323"/>
      <c r="Y178" s="323"/>
      <c r="Z178" s="323"/>
      <c r="AA178" s="599"/>
      <c r="AB178" s="323"/>
      <c r="AC178" s="323"/>
      <c r="AD178" s="323"/>
      <c r="AE178" s="323"/>
      <c r="AF178" s="323"/>
      <c r="AG178" s="323"/>
      <c r="AH178" s="323"/>
      <c r="AI178" s="323"/>
      <c r="AJ178" s="323"/>
      <c r="AK178" s="323"/>
      <c r="AL178" s="323"/>
      <c r="AM178" s="323"/>
    </row>
    <row r="179" spans="2:70" s="300" customFormat="1">
      <c r="B179" s="593"/>
      <c r="C179" s="593"/>
      <c r="D179" s="323"/>
      <c r="E179" s="323"/>
      <c r="F179" s="323"/>
      <c r="G179" s="323"/>
      <c r="H179" s="323"/>
      <c r="I179" s="323"/>
      <c r="J179" s="323"/>
      <c r="K179" s="323"/>
      <c r="L179" s="323"/>
      <c r="M179" s="323"/>
      <c r="N179" s="323"/>
      <c r="O179" s="599"/>
      <c r="P179" s="323"/>
      <c r="Q179" s="323"/>
      <c r="R179" s="323"/>
      <c r="S179" s="323"/>
      <c r="T179" s="323"/>
      <c r="U179" s="323"/>
      <c r="V179" s="323"/>
      <c r="W179" s="323"/>
      <c r="X179" s="323"/>
      <c r="Y179" s="323"/>
      <c r="Z179" s="323"/>
      <c r="AA179" s="599"/>
      <c r="AB179" s="323"/>
      <c r="AC179" s="323"/>
      <c r="AD179" s="323"/>
      <c r="AE179" s="323"/>
      <c r="AF179" s="323"/>
      <c r="AG179" s="323"/>
      <c r="AH179" s="323"/>
      <c r="AI179" s="323"/>
      <c r="AJ179" s="323"/>
      <c r="AK179" s="323"/>
      <c r="AL179" s="323"/>
      <c r="AM179" s="323"/>
    </row>
    <row r="180" spans="2:70" s="300" customFormat="1">
      <c r="B180" s="593"/>
      <c r="C180" s="593"/>
      <c r="D180" s="323"/>
      <c r="E180" s="323"/>
      <c r="F180" s="323"/>
      <c r="G180" s="323"/>
      <c r="H180" s="323"/>
      <c r="I180" s="323"/>
      <c r="J180" s="323"/>
      <c r="K180" s="323"/>
      <c r="L180" s="323"/>
      <c r="M180" s="323"/>
      <c r="N180" s="323"/>
      <c r="O180" s="323"/>
      <c r="P180" s="323"/>
      <c r="Q180" s="323"/>
      <c r="R180" s="323"/>
      <c r="S180" s="323"/>
      <c r="T180" s="323"/>
      <c r="U180" s="323"/>
      <c r="V180" s="323"/>
      <c r="W180" s="323"/>
      <c r="X180" s="323"/>
      <c r="Y180" s="323"/>
      <c r="Z180" s="323"/>
      <c r="AA180" s="323"/>
      <c r="AB180" s="323"/>
      <c r="AC180" s="323"/>
      <c r="AD180" s="323"/>
      <c r="AE180" s="323"/>
      <c r="AF180" s="323"/>
      <c r="AG180" s="323"/>
      <c r="AH180" s="323"/>
      <c r="AI180" s="323"/>
      <c r="AJ180" s="323"/>
      <c r="AK180" s="323"/>
      <c r="AL180" s="323"/>
      <c r="AM180" s="323"/>
    </row>
    <row r="181" spans="2:70" s="300" customFormat="1">
      <c r="B181" s="305"/>
      <c r="C181" s="305"/>
      <c r="D181" s="323"/>
      <c r="E181" s="323"/>
      <c r="F181" s="323"/>
      <c r="G181" s="323"/>
      <c r="H181" s="323"/>
      <c r="I181" s="323"/>
      <c r="J181" s="323"/>
      <c r="K181" s="323"/>
      <c r="L181" s="323"/>
      <c r="M181" s="323"/>
      <c r="N181" s="323"/>
      <c r="O181" s="599"/>
      <c r="P181" s="323"/>
      <c r="Q181" s="323"/>
      <c r="R181" s="323"/>
      <c r="S181" s="323"/>
      <c r="T181" s="323"/>
      <c r="U181" s="323"/>
      <c r="V181" s="323"/>
      <c r="W181" s="323"/>
      <c r="X181" s="323"/>
      <c r="Y181" s="323"/>
      <c r="Z181" s="323"/>
      <c r="AA181" s="599"/>
      <c r="AB181" s="323"/>
      <c r="AC181" s="323"/>
      <c r="AD181" s="323"/>
      <c r="AE181" s="323"/>
      <c r="AF181" s="323"/>
      <c r="AG181" s="323"/>
      <c r="AH181" s="323"/>
      <c r="AI181" s="323"/>
      <c r="AJ181" s="323"/>
      <c r="AK181" s="323"/>
      <c r="AL181" s="323"/>
      <c r="AM181" s="323"/>
    </row>
    <row r="182" spans="2:70" s="300" customFormat="1">
      <c r="B182" s="305"/>
      <c r="C182" s="305"/>
      <c r="D182" s="323"/>
      <c r="E182" s="323"/>
      <c r="F182" s="323"/>
      <c r="G182" s="323"/>
      <c r="H182" s="323"/>
      <c r="I182" s="323"/>
      <c r="J182" s="323"/>
      <c r="K182" s="323"/>
      <c r="L182" s="323"/>
      <c r="M182" s="323"/>
      <c r="N182" s="323"/>
      <c r="O182" s="599"/>
      <c r="P182" s="323"/>
      <c r="Q182" s="323"/>
      <c r="R182" s="323"/>
      <c r="S182" s="323"/>
      <c r="T182" s="323"/>
      <c r="U182" s="323"/>
      <c r="V182" s="323"/>
      <c r="W182" s="323"/>
      <c r="X182" s="323"/>
      <c r="Y182" s="323"/>
      <c r="Z182" s="323"/>
      <c r="AA182" s="599"/>
      <c r="AB182" s="323"/>
      <c r="AC182" s="323"/>
      <c r="AD182" s="323"/>
      <c r="AE182" s="323"/>
      <c r="AF182" s="323"/>
      <c r="AG182" s="323"/>
      <c r="AH182" s="323"/>
      <c r="AI182" s="323"/>
      <c r="AJ182" s="323"/>
      <c r="AK182" s="323"/>
      <c r="AL182" s="323"/>
      <c r="AM182" s="323"/>
    </row>
    <row r="183" spans="2:70" s="300" customFormat="1">
      <c r="B183" s="593"/>
      <c r="C183" s="593"/>
      <c r="D183" s="323"/>
      <c r="E183" s="323"/>
      <c r="F183" s="323"/>
      <c r="G183" s="323"/>
      <c r="H183" s="323"/>
      <c r="I183" s="323"/>
      <c r="J183" s="323"/>
      <c r="K183" s="323"/>
      <c r="L183" s="323"/>
      <c r="M183" s="323"/>
      <c r="N183" s="323"/>
      <c r="O183" s="599"/>
      <c r="P183" s="323"/>
      <c r="Q183" s="323"/>
      <c r="R183" s="323"/>
      <c r="S183" s="323"/>
      <c r="T183" s="323"/>
      <c r="U183" s="323"/>
      <c r="V183" s="323"/>
      <c r="W183" s="323"/>
      <c r="X183" s="323"/>
      <c r="Y183" s="323"/>
      <c r="Z183" s="323"/>
      <c r="AA183" s="599"/>
      <c r="AB183" s="323"/>
      <c r="AC183" s="323"/>
      <c r="AD183" s="323"/>
      <c r="AE183" s="323"/>
      <c r="AF183" s="323"/>
      <c r="AG183" s="323"/>
      <c r="AH183" s="323"/>
      <c r="AI183" s="323"/>
      <c r="AJ183" s="323"/>
      <c r="AK183" s="323"/>
      <c r="AL183" s="323"/>
      <c r="AM183" s="323"/>
    </row>
    <row r="184" spans="2:70" s="300" customFormat="1">
      <c r="B184" s="593"/>
      <c r="C184" s="593"/>
      <c r="D184" s="593"/>
      <c r="E184" s="323"/>
      <c r="F184" s="323"/>
      <c r="G184" s="323"/>
      <c r="H184" s="323"/>
      <c r="I184" s="323"/>
      <c r="J184" s="323"/>
      <c r="K184" s="323"/>
      <c r="L184" s="323"/>
      <c r="M184" s="323"/>
      <c r="N184" s="323"/>
      <c r="O184" s="599"/>
      <c r="P184" s="323"/>
      <c r="Q184" s="323"/>
      <c r="R184" s="323"/>
      <c r="S184" s="323"/>
      <c r="T184" s="323"/>
      <c r="U184" s="323"/>
      <c r="V184" s="323"/>
      <c r="W184" s="323"/>
      <c r="X184" s="323"/>
      <c r="Y184" s="323"/>
      <c r="Z184" s="323"/>
      <c r="AA184" s="599"/>
      <c r="AB184" s="323"/>
      <c r="AC184" s="323"/>
      <c r="AD184" s="323"/>
      <c r="AE184" s="323"/>
      <c r="AF184" s="323"/>
      <c r="AG184" s="323"/>
      <c r="AH184" s="323"/>
      <c r="AI184" s="323"/>
      <c r="AJ184" s="323"/>
      <c r="AK184" s="323"/>
      <c r="AL184" s="323"/>
      <c r="AM184" s="323"/>
    </row>
    <row r="185" spans="2:70" s="300" customFormat="1">
      <c r="B185" s="593"/>
      <c r="C185" s="593"/>
      <c r="D185" s="323"/>
      <c r="E185" s="323"/>
      <c r="F185" s="323"/>
      <c r="G185" s="323"/>
      <c r="H185" s="323"/>
      <c r="I185" s="323"/>
      <c r="J185" s="323"/>
      <c r="K185" s="323"/>
      <c r="L185" s="323"/>
      <c r="M185" s="323"/>
      <c r="N185" s="323"/>
      <c r="O185" s="599"/>
      <c r="P185" s="323"/>
      <c r="Q185" s="323"/>
      <c r="R185" s="323"/>
      <c r="S185" s="323"/>
      <c r="T185" s="323"/>
      <c r="U185" s="323"/>
      <c r="V185" s="323"/>
      <c r="W185" s="323"/>
      <c r="X185" s="323"/>
      <c r="Y185" s="323"/>
      <c r="Z185" s="323"/>
      <c r="AA185" s="599"/>
      <c r="AB185" s="323"/>
      <c r="AC185" s="323"/>
      <c r="AD185" s="323"/>
      <c r="AE185" s="323"/>
      <c r="AF185" s="323"/>
      <c r="AG185" s="323"/>
      <c r="AH185" s="323"/>
      <c r="AI185" s="323"/>
      <c r="AJ185" s="323"/>
      <c r="AK185" s="323"/>
      <c r="AL185" s="323"/>
      <c r="AM185" s="323"/>
    </row>
    <row r="186" spans="2:70" s="300" customFormat="1">
      <c r="B186" s="593"/>
      <c r="C186" s="593"/>
      <c r="D186" s="323"/>
      <c r="E186" s="323"/>
      <c r="F186" s="323"/>
      <c r="G186" s="323"/>
      <c r="H186" s="323"/>
      <c r="I186" s="323"/>
      <c r="J186" s="323"/>
      <c r="K186" s="323"/>
      <c r="L186" s="323"/>
      <c r="M186" s="323"/>
      <c r="N186" s="323"/>
      <c r="O186" s="599"/>
      <c r="P186" s="323"/>
      <c r="Q186" s="323"/>
      <c r="R186" s="323"/>
      <c r="S186" s="323"/>
      <c r="T186" s="323"/>
      <c r="U186" s="323"/>
      <c r="V186" s="323"/>
      <c r="W186" s="323"/>
      <c r="X186" s="323"/>
      <c r="Y186" s="323"/>
      <c r="Z186" s="323"/>
      <c r="AA186" s="599"/>
      <c r="AB186" s="323"/>
      <c r="AC186" s="323"/>
      <c r="AD186" s="323"/>
      <c r="AE186" s="323"/>
      <c r="AF186" s="323"/>
      <c r="AG186" s="323"/>
      <c r="AH186" s="323"/>
      <c r="AI186" s="323"/>
      <c r="AJ186" s="323"/>
      <c r="AK186" s="323"/>
      <c r="AL186" s="323"/>
      <c r="AM186" s="323"/>
    </row>
    <row r="187" spans="2:70" s="300" customFormat="1" ht="4.2" customHeight="1">
      <c r="B187" s="593"/>
      <c r="C187" s="593"/>
      <c r="D187" s="323"/>
      <c r="E187" s="323"/>
      <c r="F187" s="323"/>
      <c r="G187" s="323"/>
      <c r="H187" s="323"/>
      <c r="I187" s="323"/>
      <c r="J187" s="323"/>
      <c r="K187" s="323"/>
      <c r="L187" s="323"/>
      <c r="M187" s="323"/>
      <c r="N187" s="323"/>
      <c r="O187" s="323"/>
      <c r="P187" s="323"/>
      <c r="Q187" s="323"/>
      <c r="R187" s="323"/>
      <c r="S187" s="323"/>
      <c r="T187" s="323"/>
      <c r="U187" s="323"/>
      <c r="V187" s="323"/>
      <c r="W187" s="323"/>
      <c r="X187" s="323"/>
      <c r="Y187" s="323"/>
      <c r="Z187" s="323"/>
      <c r="AA187" s="323"/>
      <c r="AB187" s="323"/>
      <c r="AC187" s="323"/>
      <c r="AD187" s="323"/>
      <c r="AE187" s="323"/>
      <c r="AF187" s="323"/>
      <c r="AG187" s="323"/>
      <c r="AH187" s="323"/>
      <c r="AI187" s="323"/>
      <c r="AJ187" s="323"/>
      <c r="AK187" s="323"/>
      <c r="AL187" s="323"/>
      <c r="AM187" s="323"/>
    </row>
    <row r="188" spans="2:70">
      <c r="D188" s="333"/>
      <c r="E188" s="333"/>
      <c r="F188" s="333"/>
      <c r="G188" s="333"/>
      <c r="H188" s="333"/>
      <c r="I188" s="333"/>
      <c r="J188" s="333"/>
      <c r="K188" s="333"/>
      <c r="L188" s="333"/>
      <c r="M188" s="333"/>
      <c r="N188" s="333"/>
      <c r="O188" s="597"/>
      <c r="P188" s="333"/>
      <c r="Q188" s="333"/>
      <c r="R188" s="333"/>
      <c r="S188" s="333"/>
      <c r="T188" s="333"/>
      <c r="U188" s="333"/>
      <c r="V188" s="333"/>
      <c r="W188" s="333"/>
      <c r="X188" s="333"/>
      <c r="Y188" s="333"/>
      <c r="Z188" s="333"/>
      <c r="AA188" s="597"/>
      <c r="AB188" s="333"/>
      <c r="AC188" s="333"/>
      <c r="AD188" s="333"/>
      <c r="AE188" s="333"/>
      <c r="AF188" s="333"/>
      <c r="AG188" s="333"/>
      <c r="AH188" s="333"/>
      <c r="AI188" s="333"/>
      <c r="AJ188" s="333"/>
      <c r="AK188" s="333"/>
      <c r="AL188" s="333"/>
      <c r="AM188" s="333"/>
      <c r="AN188" s="323"/>
      <c r="AO188" s="323"/>
      <c r="AP188" s="323"/>
      <c r="AQ188" s="323"/>
      <c r="AR188" s="323"/>
      <c r="AS188" s="323"/>
      <c r="AT188" s="323"/>
      <c r="AU188" s="323"/>
      <c r="AV188" s="323"/>
      <c r="AW188" s="323"/>
      <c r="AX188" s="323"/>
      <c r="AY188" s="323"/>
      <c r="AZ188" s="323"/>
      <c r="BA188" s="323"/>
      <c r="BB188" s="323"/>
      <c r="BC188" s="323"/>
      <c r="BD188" s="323"/>
      <c r="BE188" s="323"/>
      <c r="BF188" s="323"/>
      <c r="BG188" s="323"/>
      <c r="BH188" s="323"/>
      <c r="BI188" s="323"/>
      <c r="BJ188" s="323"/>
      <c r="BK188" s="323"/>
      <c r="BL188" s="323"/>
      <c r="BM188" s="323"/>
      <c r="BN188" s="323"/>
      <c r="BO188" s="333"/>
      <c r="BP188" s="333"/>
      <c r="BQ188" s="333"/>
      <c r="BR188" s="333"/>
    </row>
    <row r="189" spans="2:70">
      <c r="D189" s="333"/>
      <c r="E189" s="333"/>
      <c r="F189" s="333"/>
      <c r="G189" s="333"/>
      <c r="H189" s="333"/>
      <c r="I189" s="333"/>
      <c r="J189" s="333"/>
      <c r="K189" s="333"/>
      <c r="L189" s="333"/>
      <c r="M189" s="333"/>
      <c r="N189" s="333"/>
      <c r="O189" s="597"/>
      <c r="P189" s="333"/>
      <c r="Q189" s="333"/>
      <c r="R189" s="333"/>
      <c r="S189" s="333"/>
      <c r="T189" s="333"/>
      <c r="U189" s="333"/>
      <c r="V189" s="333"/>
      <c r="W189" s="333"/>
      <c r="X189" s="333"/>
      <c r="Y189" s="333"/>
      <c r="Z189" s="333"/>
      <c r="AA189" s="597"/>
      <c r="AB189" s="333"/>
      <c r="AC189" s="333"/>
      <c r="AD189" s="333"/>
      <c r="AE189" s="333"/>
      <c r="AF189" s="333"/>
      <c r="AG189" s="333"/>
      <c r="AH189" s="333"/>
      <c r="AI189" s="333"/>
      <c r="AJ189" s="333"/>
      <c r="AK189" s="333"/>
      <c r="AL189" s="333"/>
      <c r="AM189" s="333"/>
      <c r="AN189" s="323"/>
      <c r="AO189" s="323"/>
      <c r="AP189" s="323"/>
      <c r="AQ189" s="323"/>
      <c r="AR189" s="323"/>
      <c r="AS189" s="323"/>
      <c r="AT189" s="323"/>
      <c r="AU189" s="323"/>
      <c r="AV189" s="323"/>
      <c r="AW189" s="323"/>
      <c r="AX189" s="323"/>
      <c r="AY189" s="323"/>
      <c r="AZ189" s="323"/>
      <c r="BA189" s="323"/>
      <c r="BB189" s="323"/>
      <c r="BC189" s="323"/>
      <c r="BD189" s="323"/>
      <c r="BE189" s="323"/>
      <c r="BF189" s="323"/>
      <c r="BG189" s="323"/>
      <c r="BH189" s="323"/>
      <c r="BI189" s="323"/>
      <c r="BJ189" s="323"/>
      <c r="BK189" s="323"/>
      <c r="BL189" s="323"/>
      <c r="BM189" s="323"/>
      <c r="BN189" s="323"/>
      <c r="BO189" s="333"/>
      <c r="BP189" s="333"/>
      <c r="BQ189" s="333"/>
      <c r="BR189" s="333"/>
    </row>
    <row r="190" spans="2:70">
      <c r="D190" s="333"/>
      <c r="E190" s="333"/>
      <c r="F190" s="333"/>
      <c r="G190" s="333"/>
      <c r="H190" s="333"/>
      <c r="I190" s="333"/>
      <c r="J190" s="333"/>
      <c r="K190" s="333"/>
      <c r="L190" s="333"/>
      <c r="M190" s="333"/>
      <c r="N190" s="333"/>
      <c r="O190" s="597"/>
      <c r="P190" s="333"/>
      <c r="Q190" s="333"/>
      <c r="R190" s="333"/>
      <c r="S190" s="333"/>
      <c r="T190" s="333"/>
      <c r="U190" s="333"/>
      <c r="V190" s="333"/>
      <c r="W190" s="333"/>
      <c r="X190" s="333"/>
      <c r="Y190" s="333"/>
      <c r="Z190" s="333"/>
      <c r="AA190" s="597"/>
      <c r="AB190" s="333"/>
      <c r="AC190" s="333"/>
      <c r="AD190" s="333"/>
      <c r="AE190" s="333"/>
      <c r="AF190" s="333"/>
      <c r="AG190" s="333"/>
      <c r="AH190" s="333"/>
      <c r="AI190" s="333"/>
      <c r="AJ190" s="333"/>
      <c r="AK190" s="333"/>
      <c r="AL190" s="333"/>
      <c r="AM190" s="333"/>
      <c r="AN190" s="323"/>
      <c r="AO190" s="323"/>
      <c r="AP190" s="323"/>
      <c r="AQ190" s="323"/>
      <c r="AR190" s="323"/>
      <c r="AS190" s="323"/>
      <c r="AT190" s="323"/>
      <c r="AU190" s="323"/>
      <c r="AV190" s="323"/>
      <c r="AW190" s="323"/>
      <c r="AX190" s="323"/>
      <c r="AY190" s="323"/>
      <c r="AZ190" s="323"/>
      <c r="BA190" s="323"/>
      <c r="BB190" s="323"/>
      <c r="BC190" s="323"/>
      <c r="BD190" s="323"/>
      <c r="BE190" s="323"/>
      <c r="BF190" s="323"/>
      <c r="BG190" s="323"/>
      <c r="BH190" s="323"/>
      <c r="BI190" s="323"/>
      <c r="BJ190" s="323"/>
      <c r="BK190" s="323"/>
      <c r="BL190" s="323"/>
      <c r="BM190" s="323"/>
      <c r="BN190" s="323"/>
      <c r="BO190" s="333"/>
      <c r="BP190" s="333"/>
      <c r="BQ190" s="333"/>
      <c r="BR190" s="333"/>
    </row>
    <row r="191" spans="2:70">
      <c r="D191" s="333"/>
      <c r="E191" s="333"/>
      <c r="F191" s="333"/>
      <c r="G191" s="333"/>
      <c r="H191" s="333"/>
      <c r="I191" s="333"/>
      <c r="J191" s="333"/>
      <c r="K191" s="333"/>
      <c r="L191" s="333"/>
      <c r="M191" s="333"/>
      <c r="N191" s="333"/>
      <c r="O191" s="597"/>
      <c r="P191" s="333"/>
      <c r="Q191" s="333"/>
      <c r="R191" s="333"/>
      <c r="S191" s="333"/>
      <c r="T191" s="333"/>
      <c r="U191" s="333"/>
      <c r="V191" s="333"/>
      <c r="W191" s="333"/>
      <c r="X191" s="333"/>
      <c r="Y191" s="333"/>
      <c r="Z191" s="333"/>
      <c r="AA191" s="597"/>
      <c r="AB191" s="333"/>
      <c r="AC191" s="333"/>
      <c r="AD191" s="333"/>
      <c r="AE191" s="333"/>
      <c r="AF191" s="333"/>
      <c r="AG191" s="333"/>
      <c r="AH191" s="333"/>
      <c r="AI191" s="333"/>
      <c r="AJ191" s="333"/>
      <c r="AK191" s="333"/>
      <c r="AL191" s="333"/>
      <c r="AM191" s="333"/>
      <c r="AN191" s="323"/>
      <c r="AO191" s="323"/>
      <c r="AP191" s="323"/>
      <c r="AQ191" s="323"/>
      <c r="AR191" s="323"/>
      <c r="AS191" s="323"/>
      <c r="AT191" s="323"/>
      <c r="AU191" s="323"/>
      <c r="AV191" s="323"/>
      <c r="AW191" s="323"/>
      <c r="AX191" s="323"/>
      <c r="AY191" s="323"/>
      <c r="AZ191" s="323"/>
      <c r="BA191" s="323"/>
      <c r="BB191" s="323"/>
      <c r="BC191" s="323"/>
      <c r="BD191" s="323"/>
      <c r="BE191" s="323"/>
      <c r="BF191" s="323"/>
      <c r="BG191" s="323"/>
      <c r="BH191" s="323"/>
      <c r="BI191" s="323"/>
      <c r="BJ191" s="323"/>
      <c r="BK191" s="323"/>
      <c r="BL191" s="323"/>
      <c r="BM191" s="323"/>
      <c r="BN191" s="323"/>
      <c r="BO191" s="333"/>
      <c r="BP191" s="333"/>
      <c r="BQ191" s="333"/>
      <c r="BR191" s="333"/>
    </row>
    <row r="192" spans="2:70">
      <c r="D192" s="333"/>
      <c r="E192" s="333"/>
      <c r="F192" s="333"/>
      <c r="G192" s="333"/>
      <c r="H192" s="333"/>
      <c r="I192" s="333"/>
      <c r="J192" s="333"/>
      <c r="K192" s="333"/>
      <c r="L192" s="333"/>
      <c r="M192" s="333"/>
      <c r="N192" s="333"/>
      <c r="O192" s="597"/>
      <c r="P192" s="333"/>
      <c r="Q192" s="333"/>
      <c r="R192" s="333"/>
      <c r="S192" s="333"/>
      <c r="T192" s="333"/>
      <c r="U192" s="333"/>
      <c r="V192" s="333"/>
      <c r="W192" s="333"/>
      <c r="X192" s="333"/>
      <c r="Y192" s="333"/>
      <c r="Z192" s="333"/>
      <c r="AA192" s="597"/>
      <c r="AB192" s="333"/>
      <c r="AC192" s="333"/>
      <c r="AD192" s="333"/>
      <c r="AE192" s="333"/>
      <c r="AF192" s="333"/>
      <c r="AG192" s="333"/>
      <c r="AH192" s="333"/>
      <c r="AI192" s="333"/>
      <c r="AJ192" s="333"/>
      <c r="AK192" s="333"/>
      <c r="AL192" s="333"/>
      <c r="AM192" s="333"/>
      <c r="AN192" s="323"/>
      <c r="AO192" s="323"/>
      <c r="AP192" s="323"/>
      <c r="AQ192" s="323"/>
      <c r="AR192" s="323"/>
      <c r="AS192" s="323"/>
      <c r="AT192" s="323"/>
      <c r="AU192" s="323"/>
      <c r="AV192" s="323"/>
      <c r="AW192" s="323"/>
      <c r="AX192" s="323"/>
      <c r="AY192" s="323"/>
      <c r="AZ192" s="323"/>
      <c r="BA192" s="323"/>
      <c r="BB192" s="323"/>
      <c r="BC192" s="323"/>
      <c r="BD192" s="323"/>
      <c r="BE192" s="323"/>
      <c r="BF192" s="323"/>
      <c r="BG192" s="323"/>
      <c r="BH192" s="323"/>
      <c r="BI192" s="323"/>
      <c r="BJ192" s="323"/>
      <c r="BK192" s="323"/>
      <c r="BL192" s="323"/>
      <c r="BM192" s="323"/>
      <c r="BN192" s="323"/>
      <c r="BO192" s="333"/>
      <c r="BP192" s="333"/>
      <c r="BQ192" s="333"/>
      <c r="BR192" s="333"/>
    </row>
    <row r="193" spans="4:70">
      <c r="D193" s="333"/>
      <c r="E193" s="333"/>
      <c r="F193" s="333"/>
      <c r="G193" s="333"/>
      <c r="H193" s="333"/>
      <c r="I193" s="333"/>
      <c r="J193" s="333"/>
      <c r="K193" s="333"/>
      <c r="L193" s="333"/>
      <c r="M193" s="333"/>
      <c r="N193" s="333"/>
      <c r="O193" s="597"/>
      <c r="P193" s="333"/>
      <c r="Q193" s="333"/>
      <c r="R193" s="333"/>
      <c r="S193" s="333"/>
      <c r="T193" s="333"/>
      <c r="U193" s="333"/>
      <c r="V193" s="333"/>
      <c r="W193" s="333"/>
      <c r="X193" s="333"/>
      <c r="Y193" s="333"/>
      <c r="Z193" s="333"/>
      <c r="AA193" s="597"/>
      <c r="AB193" s="333"/>
      <c r="AC193" s="333"/>
      <c r="AD193" s="333"/>
      <c r="AE193" s="333"/>
      <c r="AF193" s="333"/>
      <c r="AG193" s="333"/>
      <c r="AH193" s="333"/>
      <c r="AI193" s="333"/>
      <c r="AJ193" s="333"/>
      <c r="AK193" s="333"/>
      <c r="AL193" s="333"/>
      <c r="AM193" s="333"/>
      <c r="AN193" s="323"/>
      <c r="AO193" s="323"/>
      <c r="AP193" s="323"/>
      <c r="AQ193" s="323"/>
      <c r="AR193" s="323"/>
      <c r="AS193" s="323"/>
      <c r="AT193" s="323"/>
      <c r="AU193" s="323"/>
      <c r="AV193" s="323"/>
      <c r="AW193" s="323"/>
      <c r="AX193" s="323"/>
      <c r="AY193" s="323"/>
      <c r="AZ193" s="323"/>
      <c r="BA193" s="323"/>
      <c r="BB193" s="323"/>
      <c r="BC193" s="323"/>
      <c r="BD193" s="323"/>
      <c r="BE193" s="323"/>
      <c r="BF193" s="323"/>
      <c r="BG193" s="323"/>
      <c r="BH193" s="323"/>
      <c r="BI193" s="323"/>
      <c r="BJ193" s="323"/>
      <c r="BK193" s="323"/>
      <c r="BL193" s="323"/>
      <c r="BM193" s="323"/>
      <c r="BN193" s="323"/>
      <c r="BO193" s="333"/>
      <c r="BP193" s="333"/>
      <c r="BQ193" s="333"/>
      <c r="BR193" s="333"/>
    </row>
    <row r="194" spans="4:70">
      <c r="D194" s="333"/>
      <c r="E194" s="333"/>
      <c r="F194" s="333"/>
      <c r="G194" s="333"/>
      <c r="H194" s="333"/>
      <c r="I194" s="333"/>
      <c r="J194" s="333"/>
      <c r="K194" s="333"/>
      <c r="L194" s="333"/>
      <c r="M194" s="333"/>
      <c r="N194" s="333"/>
      <c r="O194" s="597"/>
      <c r="P194" s="333"/>
      <c r="Q194" s="333"/>
      <c r="R194" s="333"/>
      <c r="S194" s="333"/>
      <c r="T194" s="333"/>
      <c r="U194" s="333"/>
      <c r="V194" s="333"/>
      <c r="W194" s="333"/>
      <c r="X194" s="333"/>
      <c r="Y194" s="333"/>
      <c r="Z194" s="333"/>
      <c r="AA194" s="597"/>
      <c r="AB194" s="333"/>
      <c r="AC194" s="333"/>
      <c r="AD194" s="333"/>
      <c r="AE194" s="333"/>
      <c r="AF194" s="333"/>
      <c r="AG194" s="333"/>
      <c r="AH194" s="333"/>
      <c r="AI194" s="333"/>
      <c r="AJ194" s="333"/>
      <c r="AK194" s="333"/>
      <c r="AL194" s="333"/>
      <c r="AM194" s="333"/>
      <c r="AN194" s="323"/>
      <c r="AO194" s="323"/>
      <c r="AP194" s="323"/>
      <c r="AQ194" s="323"/>
      <c r="AR194" s="323"/>
      <c r="AS194" s="323"/>
      <c r="AT194" s="323"/>
      <c r="AU194" s="323"/>
      <c r="AV194" s="323"/>
      <c r="AW194" s="323"/>
      <c r="AX194" s="323"/>
      <c r="AY194" s="323"/>
      <c r="AZ194" s="323"/>
      <c r="BA194" s="323"/>
      <c r="BB194" s="323"/>
      <c r="BC194" s="323"/>
      <c r="BD194" s="323"/>
      <c r="BE194" s="323"/>
      <c r="BF194" s="323"/>
      <c r="BG194" s="323"/>
      <c r="BH194" s="323"/>
      <c r="BI194" s="323"/>
      <c r="BJ194" s="323"/>
      <c r="BK194" s="323"/>
      <c r="BL194" s="323"/>
      <c r="BM194" s="323"/>
      <c r="BN194" s="323"/>
      <c r="BO194" s="333"/>
      <c r="BP194" s="333"/>
      <c r="BQ194" s="333"/>
      <c r="BR194" s="333"/>
    </row>
    <row r="195" spans="4:70">
      <c r="D195" s="333"/>
      <c r="E195" s="333"/>
      <c r="F195" s="333"/>
      <c r="G195" s="333"/>
      <c r="H195" s="333"/>
      <c r="I195" s="333"/>
      <c r="J195" s="333"/>
      <c r="K195" s="333"/>
      <c r="L195" s="333"/>
      <c r="M195" s="333"/>
      <c r="N195" s="333"/>
      <c r="O195" s="597"/>
      <c r="P195" s="333"/>
      <c r="Q195" s="333"/>
      <c r="R195" s="333"/>
      <c r="S195" s="333"/>
      <c r="T195" s="333"/>
      <c r="U195" s="333"/>
      <c r="V195" s="333"/>
      <c r="W195" s="333"/>
      <c r="X195" s="333"/>
      <c r="Y195" s="333"/>
      <c r="Z195" s="333"/>
      <c r="AA195" s="597"/>
      <c r="AB195" s="333"/>
      <c r="AC195" s="333"/>
      <c r="AD195" s="333"/>
      <c r="AE195" s="333"/>
      <c r="AF195" s="333"/>
      <c r="AG195" s="333"/>
      <c r="AH195" s="333"/>
      <c r="AI195" s="333"/>
      <c r="AJ195" s="333"/>
      <c r="AK195" s="333"/>
      <c r="AL195" s="333"/>
      <c r="AM195" s="333"/>
      <c r="AN195" s="323"/>
      <c r="AO195" s="323"/>
      <c r="AP195" s="323"/>
      <c r="AQ195" s="323"/>
      <c r="AR195" s="323"/>
      <c r="AS195" s="323"/>
      <c r="AT195" s="323"/>
      <c r="AU195" s="323"/>
      <c r="AV195" s="323"/>
      <c r="AW195" s="323"/>
      <c r="AX195" s="323"/>
      <c r="AY195" s="323"/>
      <c r="AZ195" s="323"/>
      <c r="BA195" s="323"/>
      <c r="BB195" s="323"/>
      <c r="BC195" s="323"/>
      <c r="BD195" s="323"/>
      <c r="BE195" s="323"/>
      <c r="BF195" s="323"/>
      <c r="BG195" s="323"/>
      <c r="BH195" s="323"/>
      <c r="BI195" s="323"/>
      <c r="BJ195" s="323"/>
      <c r="BK195" s="323"/>
      <c r="BL195" s="323"/>
      <c r="BM195" s="323"/>
      <c r="BN195" s="323"/>
      <c r="BO195" s="333"/>
      <c r="BP195" s="333"/>
      <c r="BQ195" s="333"/>
      <c r="BR195" s="333"/>
    </row>
    <row r="196" spans="4:70">
      <c r="D196" s="333"/>
      <c r="E196" s="333"/>
      <c r="F196" s="333"/>
      <c r="G196" s="333"/>
      <c r="H196" s="333"/>
      <c r="I196" s="333"/>
      <c r="J196" s="333"/>
      <c r="K196" s="333"/>
      <c r="L196" s="333"/>
      <c r="M196" s="333"/>
      <c r="N196" s="333"/>
      <c r="O196" s="597"/>
      <c r="P196" s="333"/>
      <c r="Q196" s="333"/>
      <c r="R196" s="333"/>
      <c r="S196" s="333"/>
      <c r="T196" s="333"/>
      <c r="U196" s="333"/>
      <c r="V196" s="333"/>
      <c r="W196" s="333"/>
      <c r="X196" s="333"/>
      <c r="Y196" s="333"/>
      <c r="Z196" s="333"/>
      <c r="AA196" s="597"/>
      <c r="AB196" s="333"/>
      <c r="AC196" s="333"/>
      <c r="AD196" s="333"/>
      <c r="AE196" s="333"/>
      <c r="AF196" s="333"/>
      <c r="AG196" s="333"/>
      <c r="AH196" s="333"/>
      <c r="AI196" s="333"/>
      <c r="AJ196" s="333"/>
      <c r="AK196" s="333"/>
      <c r="AL196" s="333"/>
      <c r="AM196" s="333"/>
      <c r="AN196" s="323"/>
      <c r="AO196" s="323"/>
      <c r="AP196" s="323"/>
      <c r="AQ196" s="323"/>
      <c r="AR196" s="323"/>
      <c r="AS196" s="323"/>
      <c r="AT196" s="323"/>
      <c r="AU196" s="323"/>
      <c r="AV196" s="323"/>
      <c r="AW196" s="323"/>
      <c r="AX196" s="323"/>
      <c r="AY196" s="323"/>
      <c r="AZ196" s="323"/>
      <c r="BA196" s="323"/>
      <c r="BB196" s="323"/>
      <c r="BC196" s="323"/>
      <c r="BD196" s="323"/>
      <c r="BE196" s="323"/>
      <c r="BF196" s="323"/>
      <c r="BG196" s="323"/>
      <c r="BH196" s="323"/>
      <c r="BI196" s="323"/>
      <c r="BJ196" s="323"/>
      <c r="BK196" s="323"/>
      <c r="BL196" s="323"/>
      <c r="BM196" s="323"/>
      <c r="BN196" s="323"/>
      <c r="BO196" s="333"/>
      <c r="BP196" s="333"/>
      <c r="BQ196" s="333"/>
      <c r="BR196" s="333"/>
    </row>
    <row r="197" spans="4:70">
      <c r="D197" s="333"/>
      <c r="E197" s="333"/>
      <c r="F197" s="333"/>
      <c r="G197" s="333"/>
      <c r="H197" s="333"/>
      <c r="I197" s="333"/>
      <c r="J197" s="333"/>
      <c r="K197" s="333"/>
      <c r="L197" s="333"/>
      <c r="M197" s="333"/>
      <c r="N197" s="333"/>
      <c r="O197" s="597"/>
      <c r="P197" s="333"/>
      <c r="Q197" s="333"/>
      <c r="R197" s="333"/>
      <c r="S197" s="333"/>
      <c r="T197" s="333"/>
      <c r="U197" s="333"/>
      <c r="V197" s="333"/>
      <c r="W197" s="333"/>
      <c r="X197" s="333"/>
      <c r="Y197" s="333"/>
      <c r="Z197" s="333"/>
      <c r="AA197" s="597"/>
      <c r="AB197" s="333"/>
      <c r="AC197" s="333"/>
      <c r="AD197" s="333"/>
      <c r="AE197" s="333"/>
      <c r="AF197" s="333"/>
      <c r="AG197" s="333"/>
      <c r="AH197" s="333"/>
      <c r="AI197" s="333"/>
      <c r="AJ197" s="333"/>
      <c r="AK197" s="333"/>
      <c r="AL197" s="333"/>
      <c r="AM197" s="333"/>
      <c r="AN197" s="323"/>
      <c r="AO197" s="323"/>
      <c r="AP197" s="323"/>
      <c r="AQ197" s="323"/>
      <c r="AR197" s="323"/>
      <c r="AS197" s="323"/>
      <c r="AT197" s="323"/>
      <c r="AU197" s="323"/>
      <c r="AV197" s="323"/>
      <c r="AW197" s="323"/>
      <c r="AX197" s="323"/>
      <c r="AY197" s="323"/>
      <c r="AZ197" s="323"/>
      <c r="BA197" s="323"/>
      <c r="BB197" s="323"/>
      <c r="BC197" s="323"/>
      <c r="BD197" s="323"/>
      <c r="BE197" s="323"/>
      <c r="BF197" s="323"/>
      <c r="BG197" s="323"/>
      <c r="BH197" s="323"/>
      <c r="BI197" s="323"/>
      <c r="BJ197" s="323"/>
      <c r="BK197" s="323"/>
      <c r="BL197" s="323"/>
      <c r="BM197" s="323"/>
      <c r="BN197" s="323"/>
      <c r="BO197" s="333"/>
      <c r="BP197" s="333"/>
      <c r="BQ197" s="333"/>
      <c r="BR197" s="333"/>
    </row>
    <row r="198" spans="4:70">
      <c r="D198" s="333"/>
      <c r="E198" s="333"/>
      <c r="F198" s="333"/>
      <c r="G198" s="333"/>
      <c r="H198" s="333"/>
      <c r="I198" s="333"/>
      <c r="J198" s="333"/>
      <c r="K198" s="333"/>
      <c r="L198" s="333"/>
      <c r="M198" s="333"/>
      <c r="N198" s="333"/>
      <c r="O198" s="597"/>
      <c r="P198" s="333"/>
      <c r="Q198" s="333"/>
      <c r="R198" s="333"/>
      <c r="S198" s="333"/>
      <c r="T198" s="333"/>
      <c r="U198" s="333"/>
      <c r="V198" s="333"/>
      <c r="W198" s="333"/>
      <c r="X198" s="333"/>
      <c r="Y198" s="333"/>
      <c r="Z198" s="333"/>
      <c r="AA198" s="597"/>
      <c r="AB198" s="333"/>
      <c r="AC198" s="333"/>
      <c r="AD198" s="333"/>
      <c r="AE198" s="333"/>
      <c r="AF198" s="333"/>
      <c r="AG198" s="333"/>
      <c r="AH198" s="333"/>
      <c r="AI198" s="333"/>
      <c r="AJ198" s="333"/>
      <c r="AK198" s="333"/>
      <c r="AL198" s="333"/>
      <c r="AM198" s="333"/>
      <c r="AN198" s="323"/>
      <c r="AO198" s="323"/>
      <c r="AP198" s="323"/>
      <c r="AQ198" s="323"/>
      <c r="AR198" s="323"/>
      <c r="AS198" s="323"/>
      <c r="AT198" s="323"/>
      <c r="AU198" s="323"/>
      <c r="AV198" s="323"/>
      <c r="AW198" s="323"/>
      <c r="AX198" s="323"/>
      <c r="AY198" s="323"/>
      <c r="AZ198" s="323"/>
      <c r="BA198" s="323"/>
      <c r="BB198" s="323"/>
      <c r="BC198" s="323"/>
      <c r="BD198" s="323"/>
      <c r="BE198" s="323"/>
      <c r="BF198" s="323"/>
      <c r="BG198" s="323"/>
      <c r="BH198" s="323"/>
      <c r="BI198" s="323"/>
      <c r="BJ198" s="323"/>
      <c r="BK198" s="323"/>
      <c r="BL198" s="323"/>
      <c r="BM198" s="323"/>
      <c r="BN198" s="323"/>
      <c r="BO198" s="333"/>
      <c r="BP198" s="333"/>
      <c r="BQ198" s="333"/>
      <c r="BR198" s="333"/>
    </row>
    <row r="199" spans="4:70">
      <c r="D199" s="333"/>
      <c r="E199" s="333"/>
      <c r="F199" s="333"/>
      <c r="G199" s="333"/>
      <c r="H199" s="333"/>
      <c r="I199" s="333"/>
      <c r="J199" s="333"/>
      <c r="K199" s="333"/>
      <c r="L199" s="333"/>
      <c r="M199" s="333"/>
      <c r="N199" s="333"/>
      <c r="O199" s="597"/>
      <c r="P199" s="333"/>
      <c r="Q199" s="333"/>
      <c r="R199" s="333"/>
      <c r="S199" s="333"/>
      <c r="T199" s="333"/>
      <c r="U199" s="333"/>
      <c r="V199" s="333"/>
      <c r="W199" s="333"/>
      <c r="X199" s="333"/>
      <c r="Y199" s="333"/>
      <c r="Z199" s="333"/>
      <c r="AA199" s="597"/>
      <c r="AB199" s="333"/>
      <c r="AC199" s="333"/>
      <c r="AD199" s="333"/>
      <c r="AE199" s="333"/>
      <c r="AF199" s="333"/>
      <c r="AG199" s="333"/>
      <c r="AH199" s="333"/>
      <c r="AI199" s="333"/>
      <c r="AJ199" s="333"/>
      <c r="AK199" s="333"/>
      <c r="AL199" s="333"/>
      <c r="AM199" s="333"/>
      <c r="AN199" s="323"/>
      <c r="AO199" s="323"/>
      <c r="AP199" s="323"/>
      <c r="AQ199" s="323"/>
      <c r="AR199" s="323"/>
      <c r="AS199" s="323"/>
      <c r="AT199" s="323"/>
      <c r="AU199" s="323"/>
      <c r="AV199" s="323"/>
      <c r="AW199" s="323"/>
      <c r="AX199" s="323"/>
      <c r="AY199" s="323"/>
      <c r="AZ199" s="323"/>
      <c r="BA199" s="323"/>
      <c r="BB199" s="323"/>
      <c r="BC199" s="323"/>
      <c r="BD199" s="323"/>
      <c r="BE199" s="323"/>
      <c r="BF199" s="323"/>
      <c r="BG199" s="323"/>
      <c r="BH199" s="323"/>
      <c r="BI199" s="323"/>
      <c r="BJ199" s="323"/>
      <c r="BK199" s="323"/>
      <c r="BL199" s="323"/>
      <c r="BM199" s="323"/>
      <c r="BN199" s="323"/>
      <c r="BO199" s="333"/>
      <c r="BP199" s="333"/>
      <c r="BQ199" s="333"/>
      <c r="BR199" s="333"/>
    </row>
    <row r="200" spans="4:70">
      <c r="D200" s="333"/>
      <c r="E200" s="333"/>
      <c r="F200" s="333"/>
      <c r="G200" s="333"/>
      <c r="H200" s="333"/>
      <c r="I200" s="333"/>
      <c r="J200" s="333"/>
      <c r="K200" s="333"/>
      <c r="L200" s="333"/>
      <c r="M200" s="333"/>
      <c r="N200" s="333"/>
      <c r="O200" s="597"/>
      <c r="P200" s="333"/>
      <c r="Q200" s="333"/>
      <c r="R200" s="333"/>
      <c r="S200" s="333"/>
      <c r="T200" s="333"/>
      <c r="U200" s="333"/>
      <c r="V200" s="333"/>
      <c r="W200" s="333"/>
      <c r="X200" s="333"/>
      <c r="Y200" s="333"/>
      <c r="Z200" s="333"/>
      <c r="AA200" s="597"/>
      <c r="AB200" s="333"/>
      <c r="AC200" s="333"/>
      <c r="AD200" s="333"/>
      <c r="AE200" s="333"/>
      <c r="AF200" s="333"/>
      <c r="AG200" s="333"/>
      <c r="AH200" s="333"/>
      <c r="AI200" s="333"/>
      <c r="AJ200" s="333"/>
      <c r="AK200" s="333"/>
      <c r="AL200" s="333"/>
      <c r="AM200" s="333"/>
      <c r="AN200" s="323"/>
      <c r="AO200" s="323"/>
      <c r="AP200" s="323"/>
      <c r="AQ200" s="323"/>
      <c r="AR200" s="323"/>
      <c r="AS200" s="323"/>
      <c r="AT200" s="323"/>
      <c r="AU200" s="323"/>
      <c r="AV200" s="323"/>
      <c r="AW200" s="323"/>
      <c r="AX200" s="323"/>
      <c r="AY200" s="323"/>
      <c r="AZ200" s="323"/>
      <c r="BA200" s="323"/>
      <c r="BB200" s="323"/>
      <c r="BC200" s="323"/>
      <c r="BD200" s="323"/>
      <c r="BE200" s="323"/>
      <c r="BF200" s="323"/>
      <c r="BG200" s="323"/>
      <c r="BH200" s="323"/>
      <c r="BI200" s="323"/>
      <c r="BJ200" s="323"/>
      <c r="BK200" s="323"/>
      <c r="BL200" s="323"/>
      <c r="BM200" s="323"/>
      <c r="BN200" s="323"/>
      <c r="BO200" s="333"/>
      <c r="BP200" s="333"/>
      <c r="BQ200" s="333"/>
      <c r="BR200" s="333"/>
    </row>
    <row r="201" spans="4:70">
      <c r="D201" s="333"/>
      <c r="E201" s="333"/>
      <c r="F201" s="333"/>
      <c r="G201" s="333"/>
      <c r="H201" s="333"/>
      <c r="I201" s="333"/>
      <c r="J201" s="333"/>
      <c r="K201" s="333"/>
      <c r="L201" s="333"/>
      <c r="M201" s="333"/>
      <c r="N201" s="333"/>
      <c r="O201" s="597"/>
      <c r="P201" s="333"/>
      <c r="Q201" s="333"/>
      <c r="R201" s="333"/>
      <c r="S201" s="333"/>
      <c r="T201" s="333"/>
      <c r="U201" s="333"/>
      <c r="V201" s="333"/>
      <c r="W201" s="333"/>
      <c r="X201" s="333"/>
      <c r="Y201" s="333"/>
      <c r="Z201" s="333"/>
      <c r="AA201" s="597"/>
      <c r="AB201" s="333"/>
      <c r="AC201" s="333"/>
      <c r="AD201" s="333"/>
      <c r="AE201" s="333"/>
      <c r="AF201" s="333"/>
      <c r="AG201" s="333"/>
      <c r="AH201" s="333"/>
      <c r="AI201" s="333"/>
      <c r="AJ201" s="333"/>
      <c r="AK201" s="333"/>
      <c r="AL201" s="333"/>
      <c r="AM201" s="333"/>
      <c r="AN201" s="323"/>
      <c r="AO201" s="323"/>
      <c r="AP201" s="323"/>
      <c r="AQ201" s="323"/>
      <c r="AR201" s="323"/>
      <c r="AS201" s="323"/>
      <c r="AT201" s="323"/>
      <c r="AU201" s="323"/>
      <c r="AV201" s="323"/>
      <c r="AW201" s="323"/>
      <c r="AX201" s="323"/>
      <c r="AY201" s="323"/>
      <c r="AZ201" s="323"/>
      <c r="BA201" s="323"/>
      <c r="BB201" s="323"/>
      <c r="BC201" s="323"/>
      <c r="BD201" s="323"/>
      <c r="BE201" s="323"/>
      <c r="BF201" s="323"/>
      <c r="BG201" s="323"/>
      <c r="BH201" s="323"/>
      <c r="BI201" s="323"/>
      <c r="BJ201" s="323"/>
      <c r="BK201" s="323"/>
      <c r="BL201" s="323"/>
      <c r="BM201" s="323"/>
      <c r="BN201" s="323"/>
      <c r="BO201" s="333"/>
      <c r="BP201" s="333"/>
      <c r="BQ201" s="333"/>
      <c r="BR201" s="333"/>
    </row>
    <row r="202" spans="4:70">
      <c r="D202" s="333"/>
      <c r="E202" s="333"/>
      <c r="F202" s="333"/>
      <c r="G202" s="333"/>
      <c r="H202" s="333"/>
      <c r="I202" s="333"/>
      <c r="J202" s="333"/>
      <c r="K202" s="333"/>
      <c r="L202" s="333"/>
      <c r="M202" s="333"/>
      <c r="N202" s="333"/>
      <c r="O202" s="597"/>
      <c r="P202" s="333"/>
      <c r="Q202" s="333"/>
      <c r="R202" s="333"/>
      <c r="S202" s="333"/>
      <c r="T202" s="333"/>
      <c r="U202" s="333"/>
      <c r="V202" s="333"/>
      <c r="W202" s="333"/>
      <c r="X202" s="333"/>
      <c r="Y202" s="333"/>
      <c r="Z202" s="333"/>
      <c r="AA202" s="597"/>
      <c r="AB202" s="333"/>
      <c r="AC202" s="333"/>
      <c r="AD202" s="333"/>
      <c r="AE202" s="333"/>
      <c r="AF202" s="333"/>
      <c r="AG202" s="333"/>
      <c r="AH202" s="333"/>
      <c r="AI202" s="333"/>
      <c r="AJ202" s="333"/>
      <c r="AK202" s="333"/>
      <c r="AL202" s="333"/>
      <c r="AM202" s="333"/>
      <c r="AN202" s="323"/>
      <c r="AO202" s="323"/>
      <c r="AP202" s="323"/>
      <c r="AQ202" s="323"/>
      <c r="AR202" s="323"/>
      <c r="AS202" s="323"/>
      <c r="AT202" s="323"/>
      <c r="AU202" s="323"/>
      <c r="AV202" s="323"/>
      <c r="AW202" s="323"/>
      <c r="AX202" s="323"/>
      <c r="AY202" s="323"/>
      <c r="AZ202" s="323"/>
      <c r="BA202" s="323"/>
      <c r="BB202" s="323"/>
      <c r="BC202" s="323"/>
      <c r="BD202" s="323"/>
      <c r="BE202" s="323"/>
      <c r="BF202" s="323"/>
      <c r="BG202" s="323"/>
      <c r="BH202" s="323"/>
      <c r="BI202" s="323"/>
      <c r="BJ202" s="323"/>
      <c r="BK202" s="323"/>
      <c r="BL202" s="323"/>
      <c r="BM202" s="323"/>
      <c r="BN202" s="323"/>
      <c r="BO202" s="333"/>
      <c r="BP202" s="333"/>
      <c r="BQ202" s="333"/>
      <c r="BR202" s="333"/>
    </row>
    <row r="203" spans="4:70">
      <c r="D203" s="333"/>
      <c r="E203" s="333"/>
      <c r="F203" s="333"/>
      <c r="G203" s="333"/>
      <c r="H203" s="333"/>
      <c r="I203" s="333"/>
      <c r="J203" s="333"/>
      <c r="K203" s="333"/>
      <c r="L203" s="333"/>
      <c r="M203" s="333"/>
      <c r="N203" s="333"/>
      <c r="O203" s="597"/>
      <c r="P203" s="333"/>
      <c r="Q203" s="333"/>
      <c r="R203" s="333"/>
      <c r="S203" s="333"/>
      <c r="T203" s="333"/>
      <c r="U203" s="333"/>
      <c r="V203" s="333"/>
      <c r="W203" s="333"/>
      <c r="X203" s="333"/>
      <c r="Y203" s="333"/>
      <c r="Z203" s="333"/>
      <c r="AA203" s="597"/>
      <c r="AB203" s="333"/>
      <c r="AC203" s="333"/>
      <c r="AD203" s="333"/>
      <c r="AE203" s="333"/>
      <c r="AF203" s="333"/>
      <c r="AG203" s="333"/>
      <c r="AH203" s="333"/>
      <c r="AI203" s="333"/>
      <c r="AJ203" s="333"/>
      <c r="AK203" s="333"/>
      <c r="AL203" s="333"/>
      <c r="AM203" s="333"/>
      <c r="AN203" s="323"/>
      <c r="AO203" s="323"/>
      <c r="AP203" s="323"/>
      <c r="AQ203" s="323"/>
      <c r="AR203" s="323"/>
      <c r="AS203" s="323"/>
      <c r="AT203" s="323"/>
      <c r="AU203" s="323"/>
      <c r="AV203" s="323"/>
      <c r="AW203" s="323"/>
      <c r="AX203" s="323"/>
      <c r="AY203" s="323"/>
      <c r="AZ203" s="323"/>
      <c r="BA203" s="323"/>
      <c r="BB203" s="323"/>
      <c r="BC203" s="323"/>
      <c r="BD203" s="323"/>
      <c r="BE203" s="323"/>
      <c r="BF203" s="323"/>
      <c r="BG203" s="323"/>
      <c r="BH203" s="323"/>
      <c r="BI203" s="323"/>
      <c r="BJ203" s="323"/>
      <c r="BK203" s="323"/>
      <c r="BL203" s="323"/>
      <c r="BM203" s="323"/>
      <c r="BN203" s="323"/>
      <c r="BO203" s="333"/>
      <c r="BP203" s="333"/>
      <c r="BQ203" s="333"/>
      <c r="BR203" s="333"/>
    </row>
    <row r="204" spans="4:70">
      <c r="D204" s="333"/>
      <c r="E204" s="333"/>
      <c r="F204" s="333"/>
      <c r="G204" s="333"/>
      <c r="H204" s="333"/>
      <c r="I204" s="333"/>
      <c r="J204" s="333"/>
      <c r="K204" s="333"/>
      <c r="L204" s="333"/>
      <c r="M204" s="333"/>
      <c r="N204" s="333"/>
      <c r="O204" s="597"/>
      <c r="P204" s="333"/>
      <c r="Q204" s="333"/>
      <c r="R204" s="333"/>
      <c r="S204" s="333"/>
      <c r="T204" s="333"/>
      <c r="U204" s="333"/>
      <c r="V204" s="333"/>
      <c r="W204" s="333"/>
      <c r="X204" s="333"/>
      <c r="Y204" s="333"/>
      <c r="Z204" s="333"/>
      <c r="AA204" s="597"/>
      <c r="AB204" s="333"/>
      <c r="AC204" s="333"/>
      <c r="AD204" s="333"/>
      <c r="AE204" s="333"/>
      <c r="AF204" s="333"/>
      <c r="AG204" s="333"/>
      <c r="AH204" s="333"/>
      <c r="AI204" s="333"/>
      <c r="AJ204" s="333"/>
      <c r="AK204" s="333"/>
      <c r="AL204" s="333"/>
      <c r="AM204" s="333"/>
      <c r="AN204" s="323"/>
      <c r="AO204" s="323"/>
      <c r="AP204" s="323"/>
      <c r="AQ204" s="323"/>
      <c r="AR204" s="323"/>
      <c r="AS204" s="323"/>
      <c r="AT204" s="323"/>
      <c r="AU204" s="323"/>
      <c r="AV204" s="323"/>
      <c r="AW204" s="323"/>
      <c r="AX204" s="323"/>
      <c r="AY204" s="323"/>
      <c r="AZ204" s="323"/>
      <c r="BA204" s="323"/>
      <c r="BB204" s="323"/>
      <c r="BC204" s="323"/>
      <c r="BD204" s="323"/>
      <c r="BE204" s="323"/>
      <c r="BF204" s="323"/>
      <c r="BG204" s="323"/>
      <c r="BH204" s="323"/>
      <c r="BI204" s="323"/>
      <c r="BJ204" s="323"/>
      <c r="BK204" s="323"/>
      <c r="BL204" s="323"/>
      <c r="BM204" s="323"/>
      <c r="BN204" s="323"/>
      <c r="BO204" s="333"/>
      <c r="BP204" s="333"/>
      <c r="BQ204" s="333"/>
      <c r="BR204" s="333"/>
    </row>
    <row r="205" spans="4:70">
      <c r="D205" s="333"/>
      <c r="E205" s="333"/>
      <c r="F205" s="333"/>
      <c r="G205" s="333"/>
      <c r="H205" s="333"/>
      <c r="I205" s="333"/>
      <c r="J205" s="333"/>
      <c r="K205" s="333"/>
      <c r="L205" s="333"/>
      <c r="M205" s="333"/>
      <c r="N205" s="333"/>
      <c r="O205" s="597"/>
      <c r="P205" s="333"/>
      <c r="Q205" s="333"/>
      <c r="R205" s="333"/>
      <c r="S205" s="333"/>
      <c r="T205" s="333"/>
      <c r="U205" s="333"/>
      <c r="V205" s="333"/>
      <c r="W205" s="333"/>
      <c r="X205" s="333"/>
      <c r="Y205" s="333"/>
      <c r="Z205" s="333"/>
      <c r="AA205" s="597"/>
      <c r="AB205" s="333"/>
      <c r="AC205" s="333"/>
      <c r="AD205" s="333"/>
      <c r="AE205" s="333"/>
      <c r="AF205" s="333"/>
      <c r="AG205" s="333"/>
      <c r="AH205" s="333"/>
      <c r="AI205" s="333"/>
      <c r="AJ205" s="333"/>
      <c r="AK205" s="333"/>
      <c r="AL205" s="333"/>
      <c r="AM205" s="333"/>
      <c r="AN205" s="323"/>
      <c r="AO205" s="323"/>
      <c r="AP205" s="323"/>
      <c r="AQ205" s="323"/>
      <c r="AR205" s="323"/>
      <c r="AS205" s="323"/>
      <c r="AT205" s="323"/>
      <c r="AU205" s="323"/>
      <c r="AV205" s="323"/>
      <c r="AW205" s="323"/>
      <c r="AX205" s="323"/>
      <c r="AY205" s="323"/>
      <c r="AZ205" s="323"/>
      <c r="BA205" s="323"/>
      <c r="BB205" s="323"/>
      <c r="BC205" s="323"/>
      <c r="BD205" s="323"/>
      <c r="BE205" s="323"/>
      <c r="BF205" s="323"/>
      <c r="BG205" s="323"/>
      <c r="BH205" s="323"/>
      <c r="BI205" s="323"/>
      <c r="BJ205" s="323"/>
      <c r="BK205" s="323"/>
      <c r="BL205" s="323"/>
      <c r="BM205" s="323"/>
      <c r="BN205" s="323"/>
      <c r="BO205" s="333"/>
      <c r="BP205" s="333"/>
      <c r="BQ205" s="333"/>
      <c r="BR205" s="333"/>
    </row>
    <row r="206" spans="4:70">
      <c r="D206" s="333"/>
      <c r="E206" s="333"/>
      <c r="F206" s="333"/>
      <c r="G206" s="333"/>
      <c r="H206" s="333"/>
      <c r="I206" s="333"/>
      <c r="J206" s="333"/>
      <c r="K206" s="333"/>
      <c r="L206" s="333"/>
      <c r="M206" s="333"/>
      <c r="N206" s="333"/>
      <c r="O206" s="597"/>
      <c r="P206" s="333"/>
      <c r="Q206" s="333"/>
      <c r="R206" s="333"/>
      <c r="S206" s="333"/>
      <c r="T206" s="333"/>
      <c r="U206" s="333"/>
      <c r="V206" s="333"/>
      <c r="W206" s="333"/>
      <c r="X206" s="333"/>
      <c r="Y206" s="333"/>
      <c r="Z206" s="333"/>
      <c r="AA206" s="597"/>
      <c r="AB206" s="333"/>
      <c r="AC206" s="333"/>
      <c r="AD206" s="333"/>
      <c r="AE206" s="333"/>
      <c r="AF206" s="333"/>
      <c r="AG206" s="333"/>
      <c r="AH206" s="333"/>
      <c r="AI206" s="333"/>
      <c r="AJ206" s="333"/>
      <c r="AK206" s="333"/>
      <c r="AL206" s="333"/>
      <c r="AM206" s="333"/>
      <c r="AN206" s="323"/>
      <c r="AO206" s="323"/>
      <c r="AP206" s="323"/>
      <c r="AQ206" s="323"/>
      <c r="AR206" s="323"/>
      <c r="AS206" s="323"/>
      <c r="AT206" s="323"/>
      <c r="AU206" s="323"/>
      <c r="AV206" s="323"/>
      <c r="AW206" s="323"/>
      <c r="AX206" s="323"/>
      <c r="AY206" s="323"/>
      <c r="AZ206" s="323"/>
      <c r="BA206" s="323"/>
      <c r="BB206" s="323"/>
      <c r="BC206" s="323"/>
      <c r="BD206" s="323"/>
      <c r="BE206" s="323"/>
      <c r="BF206" s="323"/>
      <c r="BG206" s="323"/>
      <c r="BH206" s="323"/>
      <c r="BI206" s="323"/>
      <c r="BJ206" s="323"/>
      <c r="BK206" s="323"/>
      <c r="BL206" s="323"/>
      <c r="BM206" s="323"/>
      <c r="BN206" s="323"/>
      <c r="BO206" s="333"/>
      <c r="BP206" s="333"/>
      <c r="BQ206" s="333"/>
      <c r="BR206" s="333"/>
    </row>
    <row r="207" spans="4:70">
      <c r="D207" s="333"/>
      <c r="E207" s="333"/>
      <c r="F207" s="333"/>
      <c r="G207" s="333"/>
      <c r="H207" s="333"/>
      <c r="I207" s="333"/>
      <c r="J207" s="333"/>
      <c r="K207" s="333"/>
      <c r="L207" s="333"/>
      <c r="M207" s="333"/>
      <c r="N207" s="333"/>
      <c r="O207" s="597"/>
      <c r="P207" s="333"/>
      <c r="Q207" s="333"/>
      <c r="R207" s="333"/>
      <c r="S207" s="333"/>
      <c r="T207" s="333"/>
      <c r="U207" s="333"/>
      <c r="V207" s="333"/>
      <c r="W207" s="333"/>
      <c r="X207" s="333"/>
      <c r="Y207" s="333"/>
      <c r="Z207" s="333"/>
      <c r="AA207" s="597"/>
      <c r="AB207" s="333"/>
      <c r="AC207" s="333"/>
      <c r="AD207" s="333"/>
      <c r="AE207" s="333"/>
      <c r="AF207" s="333"/>
      <c r="AG207" s="333"/>
      <c r="AH207" s="333"/>
      <c r="AI207" s="333"/>
      <c r="AJ207" s="333"/>
      <c r="AK207" s="333"/>
      <c r="AL207" s="333"/>
      <c r="AM207" s="333"/>
      <c r="AN207" s="323"/>
      <c r="AO207" s="323"/>
      <c r="AP207" s="323"/>
      <c r="AQ207" s="323"/>
      <c r="AR207" s="323"/>
      <c r="AS207" s="323"/>
      <c r="AT207" s="323"/>
      <c r="AU207" s="323"/>
      <c r="AV207" s="323"/>
      <c r="AW207" s="323"/>
      <c r="AX207" s="323"/>
      <c r="AY207" s="323"/>
      <c r="AZ207" s="323"/>
      <c r="BA207" s="323"/>
      <c r="BB207" s="323"/>
      <c r="BC207" s="323"/>
      <c r="BD207" s="323"/>
      <c r="BE207" s="323"/>
      <c r="BF207" s="323"/>
      <c r="BG207" s="323"/>
      <c r="BH207" s="323"/>
      <c r="BI207" s="323"/>
      <c r="BJ207" s="323"/>
      <c r="BK207" s="323"/>
      <c r="BL207" s="323"/>
      <c r="BM207" s="323"/>
      <c r="BN207" s="323"/>
      <c r="BO207" s="333"/>
      <c r="BP207" s="333"/>
      <c r="BQ207" s="333"/>
      <c r="BR207" s="333"/>
    </row>
    <row r="208" spans="4:70">
      <c r="D208" s="333"/>
      <c r="E208" s="333"/>
      <c r="F208" s="333"/>
      <c r="G208" s="333"/>
      <c r="H208" s="333"/>
      <c r="I208" s="333"/>
      <c r="J208" s="333"/>
      <c r="K208" s="333"/>
      <c r="L208" s="333"/>
      <c r="M208" s="333"/>
      <c r="N208" s="333"/>
      <c r="O208" s="597"/>
      <c r="P208" s="333"/>
      <c r="Q208" s="333"/>
      <c r="R208" s="333"/>
      <c r="S208" s="333"/>
      <c r="T208" s="333"/>
      <c r="U208" s="333"/>
      <c r="V208" s="333"/>
      <c r="W208" s="333"/>
      <c r="X208" s="333"/>
      <c r="Y208" s="333"/>
      <c r="Z208" s="333"/>
      <c r="AA208" s="597"/>
      <c r="AB208" s="333"/>
      <c r="AC208" s="333"/>
      <c r="AD208" s="333"/>
      <c r="AE208" s="333"/>
      <c r="AF208" s="333"/>
      <c r="AG208" s="333"/>
      <c r="AH208" s="333"/>
      <c r="AI208" s="333"/>
      <c r="AJ208" s="333"/>
      <c r="AK208" s="333"/>
      <c r="AL208" s="333"/>
      <c r="AM208" s="333"/>
      <c r="AN208" s="323"/>
      <c r="AO208" s="323"/>
      <c r="AP208" s="323"/>
      <c r="AQ208" s="323"/>
      <c r="AR208" s="323"/>
      <c r="AS208" s="323"/>
      <c r="AT208" s="323"/>
      <c r="AU208" s="323"/>
      <c r="AV208" s="323"/>
      <c r="AW208" s="323"/>
      <c r="AX208" s="323"/>
      <c r="AY208" s="323"/>
      <c r="AZ208" s="323"/>
      <c r="BA208" s="323"/>
      <c r="BB208" s="323"/>
      <c r="BC208" s="323"/>
      <c r="BD208" s="323"/>
      <c r="BE208" s="323"/>
      <c r="BF208" s="323"/>
      <c r="BG208" s="323"/>
      <c r="BH208" s="323"/>
      <c r="BI208" s="323"/>
      <c r="BJ208" s="323"/>
      <c r="BK208" s="323"/>
      <c r="BL208" s="323"/>
      <c r="BM208" s="323"/>
      <c r="BN208" s="323"/>
      <c r="BO208" s="333"/>
      <c r="BP208" s="333"/>
      <c r="BQ208" s="333"/>
      <c r="BR208" s="333"/>
    </row>
    <row r="209" spans="4:70">
      <c r="D209" s="333"/>
      <c r="E209" s="333"/>
      <c r="F209" s="333"/>
      <c r="G209" s="333"/>
      <c r="H209" s="333"/>
      <c r="I209" s="333"/>
      <c r="J209" s="333"/>
      <c r="K209" s="333"/>
      <c r="L209" s="333"/>
      <c r="M209" s="333"/>
      <c r="N209" s="333"/>
      <c r="O209" s="597"/>
      <c r="P209" s="333"/>
      <c r="Q209" s="333"/>
      <c r="R209" s="333"/>
      <c r="S209" s="333"/>
      <c r="T209" s="333"/>
      <c r="U209" s="333"/>
      <c r="V209" s="333"/>
      <c r="W209" s="333"/>
      <c r="X209" s="333"/>
      <c r="Y209" s="333"/>
      <c r="Z209" s="333"/>
      <c r="AA209" s="597"/>
      <c r="AB209" s="333"/>
      <c r="AC209" s="333"/>
      <c r="AD209" s="333"/>
      <c r="AE209" s="333"/>
      <c r="AF209" s="333"/>
      <c r="AG209" s="333"/>
      <c r="AH209" s="333"/>
      <c r="AI209" s="333"/>
      <c r="AJ209" s="333"/>
      <c r="AK209" s="333"/>
      <c r="AL209" s="333"/>
      <c r="AM209" s="333"/>
      <c r="AN209" s="323"/>
      <c r="AO209" s="323"/>
      <c r="AP209" s="323"/>
      <c r="AQ209" s="323"/>
      <c r="AR209" s="323"/>
      <c r="AS209" s="323"/>
      <c r="AT209" s="323"/>
      <c r="AU209" s="323"/>
      <c r="AV209" s="323"/>
      <c r="AW209" s="323"/>
      <c r="AX209" s="323"/>
      <c r="AY209" s="323"/>
      <c r="AZ209" s="323"/>
      <c r="BA209" s="323"/>
      <c r="BB209" s="323"/>
      <c r="BC209" s="323"/>
      <c r="BD209" s="323"/>
      <c r="BE209" s="323"/>
      <c r="BF209" s="323"/>
      <c r="BG209" s="323"/>
      <c r="BH209" s="323"/>
      <c r="BI209" s="323"/>
      <c r="BJ209" s="323"/>
      <c r="BK209" s="323"/>
      <c r="BL209" s="323"/>
      <c r="BM209" s="323"/>
      <c r="BN209" s="323"/>
      <c r="BO209" s="333"/>
      <c r="BP209" s="333"/>
      <c r="BQ209" s="333"/>
      <c r="BR209" s="333"/>
    </row>
    <row r="210" spans="4:70">
      <c r="D210" s="333"/>
      <c r="E210" s="333"/>
      <c r="F210" s="333"/>
      <c r="G210" s="333"/>
      <c r="H210" s="333"/>
      <c r="I210" s="333"/>
      <c r="J210" s="333"/>
      <c r="K210" s="333"/>
      <c r="L210" s="333"/>
      <c r="M210" s="333"/>
      <c r="N210" s="333"/>
      <c r="O210" s="597"/>
      <c r="P210" s="333"/>
      <c r="Q210" s="333"/>
      <c r="R210" s="333"/>
      <c r="S210" s="333"/>
      <c r="T210" s="333"/>
      <c r="U210" s="333"/>
      <c r="V210" s="333"/>
      <c r="W210" s="333"/>
      <c r="X210" s="333"/>
      <c r="Y210" s="333"/>
      <c r="Z210" s="333"/>
      <c r="AA210" s="597"/>
      <c r="AB210" s="333"/>
      <c r="AC210" s="333"/>
      <c r="AD210" s="333"/>
      <c r="AE210" s="333"/>
      <c r="AF210" s="333"/>
      <c r="AG210" s="333"/>
      <c r="AH210" s="333"/>
      <c r="AI210" s="333"/>
      <c r="AJ210" s="333"/>
      <c r="AK210" s="333"/>
      <c r="AL210" s="333"/>
      <c r="AM210" s="333"/>
      <c r="AN210" s="323"/>
      <c r="AO210" s="323"/>
      <c r="AP210" s="323"/>
      <c r="AQ210" s="323"/>
      <c r="AR210" s="323"/>
      <c r="AS210" s="323"/>
      <c r="AT210" s="323"/>
      <c r="AU210" s="323"/>
      <c r="AV210" s="323"/>
      <c r="AW210" s="323"/>
      <c r="AX210" s="323"/>
      <c r="AY210" s="323"/>
      <c r="AZ210" s="323"/>
      <c r="BA210" s="323"/>
      <c r="BB210" s="323"/>
      <c r="BC210" s="323"/>
      <c r="BD210" s="323"/>
      <c r="BE210" s="323"/>
      <c r="BF210" s="323"/>
      <c r="BG210" s="323"/>
      <c r="BH210" s="323"/>
      <c r="BI210" s="323"/>
      <c r="BJ210" s="323"/>
      <c r="BK210" s="323"/>
      <c r="BL210" s="323"/>
      <c r="BM210" s="323"/>
      <c r="BN210" s="323"/>
      <c r="BO210" s="333"/>
      <c r="BP210" s="333"/>
      <c r="BQ210" s="333"/>
      <c r="BR210" s="333"/>
    </row>
    <row r="211" spans="4:70">
      <c r="D211" s="333"/>
      <c r="E211" s="333"/>
      <c r="F211" s="333"/>
      <c r="G211" s="333"/>
      <c r="H211" s="333"/>
      <c r="I211" s="333"/>
      <c r="J211" s="333"/>
      <c r="K211" s="333"/>
      <c r="L211" s="333"/>
      <c r="M211" s="333"/>
      <c r="N211" s="333"/>
      <c r="O211" s="597"/>
      <c r="P211" s="333"/>
      <c r="Q211" s="333"/>
      <c r="R211" s="333"/>
      <c r="S211" s="333"/>
      <c r="T211" s="333"/>
      <c r="U211" s="333"/>
      <c r="V211" s="333"/>
      <c r="W211" s="333"/>
      <c r="X211" s="333"/>
      <c r="Y211" s="333"/>
      <c r="Z211" s="333"/>
      <c r="AA211" s="597"/>
      <c r="AB211" s="333"/>
      <c r="AC211" s="333"/>
      <c r="AD211" s="333"/>
      <c r="AE211" s="333"/>
      <c r="AF211" s="333"/>
      <c r="AG211" s="333"/>
      <c r="AH211" s="333"/>
      <c r="AI211" s="333"/>
      <c r="AJ211" s="333"/>
      <c r="AK211" s="333"/>
      <c r="AL211" s="333"/>
      <c r="AM211" s="333"/>
      <c r="AN211" s="323"/>
      <c r="AO211" s="323"/>
      <c r="AP211" s="323"/>
      <c r="AQ211" s="323"/>
      <c r="AR211" s="323"/>
      <c r="AS211" s="323"/>
      <c r="AT211" s="323"/>
      <c r="AU211" s="323"/>
      <c r="AV211" s="323"/>
      <c r="AW211" s="323"/>
      <c r="AX211" s="323"/>
      <c r="AY211" s="323"/>
      <c r="AZ211" s="323"/>
      <c r="BA211" s="323"/>
      <c r="BB211" s="323"/>
      <c r="BC211" s="323"/>
      <c r="BD211" s="323"/>
      <c r="BE211" s="323"/>
      <c r="BF211" s="323"/>
      <c r="BG211" s="323"/>
      <c r="BH211" s="323"/>
      <c r="BI211" s="323"/>
      <c r="BJ211" s="323"/>
      <c r="BK211" s="323"/>
      <c r="BL211" s="323"/>
      <c r="BM211" s="323"/>
      <c r="BN211" s="323"/>
      <c r="BO211" s="333"/>
      <c r="BP211" s="333"/>
      <c r="BQ211" s="333"/>
      <c r="BR211" s="333"/>
    </row>
    <row r="212" spans="4:70">
      <c r="D212" s="333"/>
      <c r="E212" s="333"/>
      <c r="F212" s="333"/>
      <c r="G212" s="333"/>
      <c r="H212" s="333"/>
      <c r="I212" s="333"/>
      <c r="J212" s="333"/>
      <c r="K212" s="333"/>
      <c r="L212" s="333"/>
      <c r="M212" s="333"/>
      <c r="N212" s="333"/>
      <c r="O212" s="597"/>
      <c r="P212" s="333"/>
      <c r="Q212" s="333"/>
      <c r="R212" s="333"/>
      <c r="S212" s="333"/>
      <c r="T212" s="333"/>
      <c r="U212" s="333"/>
      <c r="V212" s="333"/>
      <c r="W212" s="333"/>
      <c r="X212" s="333"/>
      <c r="Y212" s="333"/>
      <c r="Z212" s="333"/>
      <c r="AA212" s="597"/>
      <c r="AB212" s="333"/>
      <c r="AC212" s="333"/>
      <c r="AD212" s="333"/>
      <c r="AE212" s="333"/>
      <c r="AF212" s="333"/>
      <c r="AG212" s="333"/>
      <c r="AH212" s="333"/>
      <c r="AI212" s="333"/>
      <c r="AJ212" s="333"/>
      <c r="AK212" s="333"/>
      <c r="AL212" s="333"/>
      <c r="AM212" s="333"/>
      <c r="AN212" s="323"/>
      <c r="AO212" s="323"/>
      <c r="AP212" s="323"/>
      <c r="AQ212" s="323"/>
      <c r="AR212" s="323"/>
      <c r="AS212" s="323"/>
      <c r="AT212" s="323"/>
      <c r="AU212" s="323"/>
      <c r="AV212" s="323"/>
      <c r="AW212" s="323"/>
      <c r="AX212" s="323"/>
      <c r="AY212" s="323"/>
      <c r="AZ212" s="323"/>
      <c r="BA212" s="323"/>
      <c r="BB212" s="323"/>
      <c r="BC212" s="323"/>
      <c r="BD212" s="323"/>
      <c r="BE212" s="323"/>
      <c r="BF212" s="323"/>
      <c r="BG212" s="323"/>
      <c r="BH212" s="323"/>
      <c r="BI212" s="323"/>
      <c r="BJ212" s="323"/>
      <c r="BK212" s="323"/>
      <c r="BL212" s="323"/>
      <c r="BM212" s="323"/>
      <c r="BN212" s="323"/>
      <c r="BO212" s="333"/>
      <c r="BP212" s="333"/>
      <c r="BQ212" s="333"/>
      <c r="BR212" s="333"/>
    </row>
    <row r="213" spans="4:70">
      <c r="D213" s="333"/>
      <c r="E213" s="333"/>
      <c r="F213" s="333"/>
      <c r="G213" s="333"/>
      <c r="H213" s="333"/>
      <c r="I213" s="333"/>
      <c r="J213" s="333"/>
      <c r="K213" s="333"/>
      <c r="L213" s="333"/>
      <c r="M213" s="333"/>
      <c r="N213" s="333"/>
      <c r="O213" s="597"/>
      <c r="P213" s="333"/>
      <c r="Q213" s="333"/>
      <c r="R213" s="333"/>
      <c r="S213" s="333"/>
      <c r="T213" s="333"/>
      <c r="U213" s="333"/>
      <c r="V213" s="333"/>
      <c r="W213" s="333"/>
      <c r="X213" s="333"/>
      <c r="Y213" s="333"/>
      <c r="Z213" s="333"/>
      <c r="AA213" s="597"/>
      <c r="AB213" s="333"/>
      <c r="AC213" s="333"/>
      <c r="AD213" s="333"/>
      <c r="AE213" s="333"/>
      <c r="AF213" s="333"/>
      <c r="AG213" s="333"/>
      <c r="AH213" s="333"/>
      <c r="AI213" s="333"/>
      <c r="AJ213" s="333"/>
      <c r="AK213" s="333"/>
      <c r="AL213" s="333"/>
      <c r="AM213" s="333"/>
      <c r="AN213" s="323"/>
      <c r="AO213" s="323"/>
      <c r="AP213" s="323"/>
      <c r="AQ213" s="323"/>
      <c r="AR213" s="323"/>
      <c r="AS213" s="323"/>
      <c r="AT213" s="323"/>
      <c r="AU213" s="323"/>
      <c r="AV213" s="323"/>
      <c r="AW213" s="323"/>
      <c r="AX213" s="323"/>
      <c r="AY213" s="323"/>
      <c r="AZ213" s="323"/>
      <c r="BA213" s="323"/>
      <c r="BB213" s="323"/>
      <c r="BC213" s="323"/>
      <c r="BD213" s="323"/>
      <c r="BE213" s="323"/>
      <c r="BF213" s="323"/>
      <c r="BG213" s="323"/>
      <c r="BH213" s="323"/>
      <c r="BI213" s="323"/>
      <c r="BJ213" s="323"/>
      <c r="BK213" s="323"/>
      <c r="BL213" s="323"/>
      <c r="BM213" s="323"/>
      <c r="BN213" s="323"/>
      <c r="BO213" s="333"/>
      <c r="BP213" s="333"/>
      <c r="BQ213" s="333"/>
      <c r="BR213" s="333"/>
    </row>
    <row r="214" spans="4:70">
      <c r="D214" s="333"/>
      <c r="E214" s="333"/>
      <c r="F214" s="333"/>
      <c r="G214" s="333"/>
      <c r="H214" s="333"/>
      <c r="I214" s="333"/>
      <c r="J214" s="333"/>
      <c r="K214" s="333"/>
      <c r="L214" s="333"/>
      <c r="M214" s="333"/>
      <c r="N214" s="333"/>
      <c r="O214" s="597"/>
      <c r="P214" s="333"/>
      <c r="Q214" s="333"/>
      <c r="R214" s="333"/>
      <c r="S214" s="333"/>
      <c r="T214" s="333"/>
      <c r="U214" s="333"/>
      <c r="V214" s="333"/>
      <c r="W214" s="333"/>
      <c r="X214" s="333"/>
      <c r="Y214" s="333"/>
      <c r="Z214" s="333"/>
      <c r="AA214" s="597"/>
      <c r="AB214" s="333"/>
      <c r="AC214" s="333"/>
      <c r="AD214" s="333"/>
      <c r="AE214" s="333"/>
      <c r="AF214" s="333"/>
      <c r="AG214" s="333"/>
      <c r="AH214" s="333"/>
      <c r="AI214" s="333"/>
      <c r="AJ214" s="333"/>
      <c r="AK214" s="333"/>
      <c r="AL214" s="333"/>
      <c r="AM214" s="333"/>
      <c r="AN214" s="323"/>
      <c r="AO214" s="323"/>
      <c r="AP214" s="323"/>
      <c r="AQ214" s="323"/>
      <c r="AR214" s="323"/>
      <c r="AS214" s="323"/>
      <c r="AT214" s="323"/>
      <c r="AU214" s="323"/>
      <c r="AV214" s="323"/>
      <c r="AW214" s="323"/>
      <c r="AX214" s="323"/>
      <c r="AY214" s="323"/>
      <c r="AZ214" s="323"/>
      <c r="BA214" s="323"/>
      <c r="BB214" s="323"/>
      <c r="BC214" s="323"/>
      <c r="BD214" s="323"/>
      <c r="BE214" s="323"/>
      <c r="BF214" s="323"/>
      <c r="BG214" s="323"/>
      <c r="BH214" s="323"/>
      <c r="BI214" s="323"/>
      <c r="BJ214" s="323"/>
      <c r="BK214" s="323"/>
      <c r="BL214" s="323"/>
      <c r="BM214" s="323"/>
      <c r="BN214" s="323"/>
      <c r="BO214" s="333"/>
      <c r="BP214" s="333"/>
      <c r="BQ214" s="333"/>
      <c r="BR214" s="333"/>
    </row>
    <row r="215" spans="4:70">
      <c r="D215" s="333"/>
      <c r="E215" s="333"/>
      <c r="F215" s="333"/>
      <c r="G215" s="333"/>
      <c r="H215" s="333"/>
      <c r="I215" s="333"/>
      <c r="J215" s="333"/>
      <c r="K215" s="333"/>
      <c r="L215" s="333"/>
      <c r="M215" s="333"/>
      <c r="N215" s="333"/>
      <c r="O215" s="597"/>
      <c r="P215" s="333"/>
      <c r="Q215" s="333"/>
      <c r="R215" s="333"/>
      <c r="S215" s="333"/>
      <c r="T215" s="333"/>
      <c r="U215" s="333"/>
      <c r="V215" s="333"/>
      <c r="W215" s="333"/>
      <c r="X215" s="333"/>
      <c r="Y215" s="333"/>
      <c r="Z215" s="333"/>
      <c r="AA215" s="597"/>
      <c r="AB215" s="333"/>
      <c r="AC215" s="333"/>
      <c r="AD215" s="333"/>
      <c r="AE215" s="333"/>
      <c r="AF215" s="333"/>
      <c r="AG215" s="333"/>
      <c r="AH215" s="333"/>
      <c r="AI215" s="333"/>
      <c r="AJ215" s="333"/>
      <c r="AK215" s="333"/>
      <c r="AL215" s="333"/>
      <c r="AM215" s="333"/>
      <c r="AN215" s="323"/>
      <c r="AO215" s="323"/>
      <c r="AP215" s="323"/>
      <c r="AQ215" s="323"/>
      <c r="AR215" s="323"/>
      <c r="AS215" s="323"/>
      <c r="AT215" s="323"/>
      <c r="AU215" s="323"/>
      <c r="AV215" s="323"/>
      <c r="AW215" s="323"/>
      <c r="AX215" s="323"/>
      <c r="AY215" s="323"/>
      <c r="AZ215" s="323"/>
      <c r="BA215" s="323"/>
      <c r="BB215" s="323"/>
      <c r="BC215" s="323"/>
      <c r="BD215" s="323"/>
      <c r="BE215" s="323"/>
      <c r="BF215" s="323"/>
      <c r="BG215" s="323"/>
      <c r="BH215" s="323"/>
      <c r="BI215" s="323"/>
      <c r="BJ215" s="323"/>
      <c r="BK215" s="323"/>
      <c r="BL215" s="323"/>
      <c r="BM215" s="323"/>
      <c r="BN215" s="323"/>
      <c r="BO215" s="333"/>
      <c r="BP215" s="333"/>
      <c r="BQ215" s="333"/>
      <c r="BR215" s="333"/>
    </row>
    <row r="216" spans="4:70">
      <c r="D216" s="333"/>
      <c r="E216" s="333"/>
      <c r="F216" s="333"/>
      <c r="G216" s="333"/>
      <c r="H216" s="333"/>
      <c r="I216" s="333"/>
      <c r="J216" s="333"/>
      <c r="K216" s="333"/>
      <c r="L216" s="333"/>
      <c r="M216" s="333"/>
      <c r="N216" s="333"/>
      <c r="O216" s="597"/>
      <c r="P216" s="333"/>
      <c r="Q216" s="333"/>
      <c r="R216" s="333"/>
      <c r="S216" s="333"/>
      <c r="T216" s="333"/>
      <c r="U216" s="333"/>
      <c r="V216" s="333"/>
      <c r="W216" s="333"/>
      <c r="X216" s="333"/>
      <c r="Y216" s="333"/>
      <c r="Z216" s="333"/>
      <c r="AA216" s="597"/>
      <c r="AB216" s="333"/>
      <c r="AC216" s="333"/>
      <c r="AD216" s="333"/>
      <c r="AE216" s="333"/>
      <c r="AF216" s="333"/>
      <c r="AG216" s="333"/>
      <c r="AH216" s="333"/>
      <c r="AI216" s="333"/>
      <c r="AJ216" s="333"/>
      <c r="AK216" s="333"/>
      <c r="AL216" s="333"/>
      <c r="AM216" s="333"/>
      <c r="AN216" s="323"/>
      <c r="AO216" s="323"/>
      <c r="AP216" s="323"/>
      <c r="AQ216" s="323"/>
      <c r="AR216" s="323"/>
      <c r="AS216" s="323"/>
      <c r="AT216" s="323"/>
      <c r="AU216" s="323"/>
      <c r="AV216" s="323"/>
      <c r="AW216" s="323"/>
      <c r="AX216" s="323"/>
      <c r="AY216" s="323"/>
      <c r="AZ216" s="323"/>
      <c r="BA216" s="323"/>
      <c r="BB216" s="323"/>
      <c r="BC216" s="323"/>
      <c r="BD216" s="323"/>
      <c r="BE216" s="323"/>
      <c r="BF216" s="323"/>
      <c r="BG216" s="323"/>
      <c r="BH216" s="323"/>
      <c r="BI216" s="323"/>
      <c r="BJ216" s="323"/>
      <c r="BK216" s="323"/>
      <c r="BL216" s="323"/>
      <c r="BM216" s="323"/>
      <c r="BN216" s="323"/>
      <c r="BO216" s="333"/>
      <c r="BP216" s="333"/>
      <c r="BQ216" s="333"/>
      <c r="BR216" s="333"/>
    </row>
    <row r="217" spans="4:70">
      <c r="D217" s="333"/>
      <c r="E217" s="333"/>
      <c r="F217" s="333"/>
      <c r="G217" s="333"/>
      <c r="H217" s="333"/>
      <c r="I217" s="333"/>
      <c r="J217" s="333"/>
      <c r="K217" s="333"/>
      <c r="L217" s="333"/>
      <c r="M217" s="333"/>
      <c r="N217" s="333"/>
      <c r="O217" s="597"/>
      <c r="P217" s="333"/>
      <c r="Q217" s="333"/>
      <c r="R217" s="333"/>
      <c r="S217" s="333"/>
      <c r="T217" s="333"/>
      <c r="U217" s="333"/>
      <c r="V217" s="333"/>
      <c r="W217" s="333"/>
      <c r="X217" s="333"/>
      <c r="Y217" s="333"/>
      <c r="Z217" s="333"/>
      <c r="AA217" s="597"/>
      <c r="AB217" s="333"/>
      <c r="AC217" s="333"/>
      <c r="AD217" s="333"/>
      <c r="AE217" s="333"/>
      <c r="AF217" s="333"/>
      <c r="AG217" s="333"/>
      <c r="AH217" s="333"/>
      <c r="AI217" s="333"/>
      <c r="AJ217" s="333"/>
      <c r="AK217" s="333"/>
      <c r="AL217" s="333"/>
      <c r="AM217" s="333"/>
      <c r="AN217" s="323"/>
      <c r="AO217" s="323"/>
      <c r="AP217" s="323"/>
      <c r="AQ217" s="323"/>
      <c r="AR217" s="323"/>
      <c r="AS217" s="323"/>
      <c r="AT217" s="323"/>
      <c r="AU217" s="323"/>
      <c r="AV217" s="323"/>
      <c r="AW217" s="323"/>
      <c r="AX217" s="323"/>
      <c r="AY217" s="323"/>
      <c r="AZ217" s="323"/>
      <c r="BA217" s="323"/>
      <c r="BB217" s="323"/>
      <c r="BC217" s="323"/>
      <c r="BD217" s="323"/>
      <c r="BE217" s="323"/>
      <c r="BF217" s="323"/>
      <c r="BG217" s="323"/>
      <c r="BH217" s="323"/>
      <c r="BI217" s="323"/>
      <c r="BJ217" s="323"/>
      <c r="BK217" s="323"/>
      <c r="BL217" s="323"/>
      <c r="BM217" s="323"/>
      <c r="BN217" s="323"/>
      <c r="BO217" s="333"/>
      <c r="BP217" s="333"/>
      <c r="BQ217" s="333"/>
      <c r="BR217" s="333"/>
    </row>
    <row r="218" spans="4:70">
      <c r="D218" s="333"/>
      <c r="E218" s="333"/>
      <c r="F218" s="333"/>
      <c r="G218" s="333"/>
      <c r="H218" s="333"/>
      <c r="I218" s="333"/>
      <c r="J218" s="333"/>
      <c r="K218" s="333"/>
      <c r="L218" s="333"/>
      <c r="M218" s="333"/>
      <c r="N218" s="333"/>
      <c r="O218" s="597"/>
      <c r="P218" s="333"/>
      <c r="Q218" s="333"/>
      <c r="R218" s="333"/>
      <c r="S218" s="333"/>
      <c r="T218" s="333"/>
      <c r="U218" s="333"/>
      <c r="V218" s="333"/>
      <c r="W218" s="333"/>
      <c r="X218" s="333"/>
      <c r="Y218" s="333"/>
      <c r="Z218" s="333"/>
      <c r="AA218" s="597"/>
      <c r="AB218" s="333"/>
      <c r="AC218" s="333"/>
      <c r="AD218" s="333"/>
      <c r="AE218" s="333"/>
      <c r="AF218" s="333"/>
      <c r="AG218" s="333"/>
      <c r="AH218" s="333"/>
      <c r="AI218" s="333"/>
      <c r="AJ218" s="333"/>
      <c r="AK218" s="333"/>
      <c r="AL218" s="333"/>
      <c r="AM218" s="333"/>
      <c r="AN218" s="323"/>
      <c r="AO218" s="323"/>
      <c r="AP218" s="323"/>
      <c r="AQ218" s="323"/>
      <c r="AR218" s="323"/>
      <c r="AS218" s="323"/>
      <c r="AT218" s="323"/>
      <c r="AU218" s="323"/>
      <c r="AV218" s="323"/>
      <c r="AW218" s="323"/>
      <c r="AX218" s="323"/>
      <c r="AY218" s="323"/>
      <c r="AZ218" s="323"/>
      <c r="BA218" s="323"/>
      <c r="BB218" s="323"/>
      <c r="BC218" s="323"/>
      <c r="BD218" s="323"/>
      <c r="BE218" s="323"/>
      <c r="BF218" s="323"/>
      <c r="BG218" s="323"/>
      <c r="BH218" s="323"/>
      <c r="BI218" s="323"/>
      <c r="BJ218" s="323"/>
      <c r="BK218" s="323"/>
      <c r="BL218" s="323"/>
      <c r="BM218" s="323"/>
      <c r="BN218" s="323"/>
      <c r="BO218" s="333"/>
      <c r="BP218" s="333"/>
      <c r="BQ218" s="333"/>
      <c r="BR218" s="333"/>
    </row>
    <row r="219" spans="4:70">
      <c r="D219" s="333"/>
      <c r="E219" s="333"/>
      <c r="F219" s="333"/>
      <c r="G219" s="333"/>
      <c r="H219" s="333"/>
      <c r="I219" s="333"/>
      <c r="J219" s="333"/>
      <c r="K219" s="333"/>
      <c r="L219" s="333"/>
      <c r="M219" s="333"/>
      <c r="N219" s="333"/>
      <c r="O219" s="597"/>
      <c r="P219" s="333"/>
      <c r="Q219" s="333"/>
      <c r="R219" s="333"/>
      <c r="S219" s="333"/>
      <c r="T219" s="333"/>
      <c r="U219" s="333"/>
      <c r="V219" s="333"/>
      <c r="W219" s="333"/>
      <c r="X219" s="333"/>
      <c r="Y219" s="333"/>
      <c r="Z219" s="333"/>
      <c r="AA219" s="597"/>
      <c r="AB219" s="333"/>
      <c r="AC219" s="333"/>
      <c r="AD219" s="333"/>
      <c r="AE219" s="333"/>
      <c r="AF219" s="333"/>
      <c r="AG219" s="333"/>
      <c r="AH219" s="333"/>
      <c r="AI219" s="333"/>
      <c r="AJ219" s="333"/>
      <c r="AK219" s="333"/>
      <c r="AL219" s="333"/>
      <c r="AM219" s="333"/>
      <c r="AN219" s="323"/>
      <c r="AO219" s="323"/>
      <c r="AP219" s="323"/>
      <c r="AQ219" s="323"/>
      <c r="AR219" s="323"/>
      <c r="AS219" s="323"/>
      <c r="AT219" s="323"/>
      <c r="AU219" s="323"/>
      <c r="AV219" s="323"/>
      <c r="AW219" s="323"/>
      <c r="AX219" s="323"/>
      <c r="AY219" s="323"/>
      <c r="AZ219" s="323"/>
      <c r="BA219" s="323"/>
      <c r="BB219" s="323"/>
      <c r="BC219" s="323"/>
      <c r="BD219" s="323"/>
      <c r="BE219" s="323"/>
      <c r="BF219" s="323"/>
      <c r="BG219" s="323"/>
      <c r="BH219" s="323"/>
      <c r="BI219" s="323"/>
      <c r="BJ219" s="323"/>
      <c r="BK219" s="323"/>
      <c r="BL219" s="323"/>
      <c r="BM219" s="323"/>
      <c r="BN219" s="323"/>
      <c r="BO219" s="333"/>
      <c r="BP219" s="333"/>
      <c r="BQ219" s="333"/>
      <c r="BR219" s="333"/>
    </row>
    <row r="220" spans="4:70">
      <c r="D220" s="333"/>
      <c r="E220" s="333"/>
      <c r="F220" s="333"/>
      <c r="G220" s="333"/>
      <c r="H220" s="333"/>
      <c r="I220" s="333"/>
      <c r="J220" s="333"/>
      <c r="K220" s="333"/>
      <c r="L220" s="333"/>
      <c r="M220" s="333"/>
      <c r="N220" s="333"/>
      <c r="O220" s="597"/>
      <c r="P220" s="333"/>
      <c r="Q220" s="333"/>
      <c r="R220" s="333"/>
      <c r="S220" s="333"/>
      <c r="T220" s="333"/>
      <c r="U220" s="333"/>
      <c r="V220" s="333"/>
      <c r="W220" s="333"/>
      <c r="X220" s="333"/>
      <c r="Y220" s="333"/>
      <c r="Z220" s="333"/>
      <c r="AA220" s="597"/>
      <c r="AB220" s="333"/>
      <c r="AC220" s="333"/>
      <c r="AD220" s="333"/>
      <c r="AE220" s="333"/>
      <c r="AF220" s="333"/>
      <c r="AG220" s="333"/>
      <c r="AH220" s="333"/>
      <c r="AI220" s="333"/>
      <c r="AJ220" s="333"/>
      <c r="AK220" s="333"/>
      <c r="AL220" s="333"/>
      <c r="AM220" s="333"/>
      <c r="AN220" s="323"/>
      <c r="AO220" s="323"/>
      <c r="AP220" s="323"/>
      <c r="AQ220" s="323"/>
      <c r="AR220" s="323"/>
      <c r="AS220" s="323"/>
      <c r="AT220" s="323"/>
      <c r="AU220" s="323"/>
      <c r="AV220" s="323"/>
      <c r="AW220" s="323"/>
      <c r="AX220" s="323"/>
      <c r="AY220" s="323"/>
      <c r="AZ220" s="323"/>
      <c r="BA220" s="323"/>
      <c r="BB220" s="323"/>
      <c r="BC220" s="323"/>
      <c r="BD220" s="323"/>
      <c r="BE220" s="323"/>
      <c r="BF220" s="323"/>
      <c r="BG220" s="323"/>
      <c r="BH220" s="323"/>
      <c r="BI220" s="323"/>
      <c r="BJ220" s="323"/>
      <c r="BK220" s="323"/>
      <c r="BL220" s="323"/>
      <c r="BM220" s="323"/>
      <c r="BN220" s="323"/>
      <c r="BO220" s="333"/>
      <c r="BP220" s="333"/>
      <c r="BQ220" s="333"/>
      <c r="BR220" s="333"/>
    </row>
    <row r="221" spans="4:70">
      <c r="D221" s="333"/>
      <c r="E221" s="333"/>
      <c r="F221" s="333"/>
      <c r="G221" s="333"/>
      <c r="H221" s="333"/>
      <c r="I221" s="333"/>
      <c r="J221" s="333"/>
      <c r="K221" s="333"/>
      <c r="L221" s="333"/>
      <c r="M221" s="333"/>
      <c r="N221" s="333"/>
      <c r="O221" s="597"/>
      <c r="P221" s="333"/>
      <c r="Q221" s="333"/>
      <c r="R221" s="333"/>
      <c r="S221" s="333"/>
      <c r="T221" s="333"/>
      <c r="U221" s="333"/>
      <c r="V221" s="333"/>
      <c r="W221" s="333"/>
      <c r="X221" s="333"/>
      <c r="Y221" s="333"/>
      <c r="Z221" s="333"/>
      <c r="AA221" s="597"/>
      <c r="AB221" s="333"/>
      <c r="AC221" s="333"/>
      <c r="AD221" s="333"/>
      <c r="AE221" s="333"/>
      <c r="AF221" s="333"/>
      <c r="AG221" s="333"/>
      <c r="AH221" s="333"/>
      <c r="AI221" s="333"/>
      <c r="AJ221" s="333"/>
      <c r="AK221" s="333"/>
      <c r="AL221" s="333"/>
      <c r="AM221" s="333"/>
      <c r="AN221" s="323"/>
      <c r="AO221" s="323"/>
      <c r="AP221" s="323"/>
      <c r="AQ221" s="323"/>
      <c r="AR221" s="323"/>
      <c r="AS221" s="323"/>
      <c r="AT221" s="323"/>
      <c r="AU221" s="323"/>
      <c r="AV221" s="323"/>
      <c r="AW221" s="323"/>
      <c r="AX221" s="323"/>
      <c r="AY221" s="323"/>
      <c r="AZ221" s="323"/>
      <c r="BA221" s="323"/>
      <c r="BB221" s="323"/>
      <c r="BC221" s="323"/>
      <c r="BD221" s="323"/>
      <c r="BE221" s="323"/>
      <c r="BF221" s="323"/>
      <c r="BG221" s="323"/>
      <c r="BH221" s="323"/>
      <c r="BI221" s="323"/>
      <c r="BJ221" s="323"/>
      <c r="BK221" s="323"/>
      <c r="BL221" s="323"/>
      <c r="BM221" s="323"/>
      <c r="BN221" s="323"/>
      <c r="BO221" s="333"/>
      <c r="BP221" s="333"/>
      <c r="BQ221" s="333"/>
      <c r="BR221" s="333"/>
    </row>
    <row r="222" spans="4:70">
      <c r="D222" s="333"/>
      <c r="E222" s="333"/>
      <c r="F222" s="333"/>
      <c r="G222" s="333"/>
      <c r="H222" s="333"/>
      <c r="I222" s="333"/>
      <c r="J222" s="333"/>
      <c r="K222" s="333"/>
      <c r="L222" s="333"/>
      <c r="M222" s="333"/>
      <c r="N222" s="333"/>
      <c r="O222" s="597"/>
      <c r="P222" s="333"/>
      <c r="Q222" s="333"/>
      <c r="R222" s="333"/>
      <c r="S222" s="333"/>
      <c r="T222" s="333"/>
      <c r="U222" s="333"/>
      <c r="V222" s="333"/>
      <c r="W222" s="333"/>
      <c r="X222" s="333"/>
      <c r="Y222" s="333"/>
      <c r="Z222" s="333"/>
      <c r="AA222" s="597"/>
      <c r="AB222" s="333"/>
      <c r="AC222" s="333"/>
      <c r="AD222" s="333"/>
      <c r="AE222" s="333"/>
      <c r="AF222" s="333"/>
      <c r="AG222" s="333"/>
      <c r="AH222" s="333"/>
      <c r="AI222" s="333"/>
      <c r="AJ222" s="333"/>
      <c r="AK222" s="333"/>
      <c r="AL222" s="333"/>
      <c r="AM222" s="333"/>
      <c r="AN222" s="323"/>
      <c r="AO222" s="323"/>
      <c r="AP222" s="323"/>
      <c r="AQ222" s="323"/>
      <c r="AR222" s="323"/>
      <c r="AS222" s="323"/>
      <c r="AT222" s="323"/>
      <c r="AU222" s="323"/>
      <c r="AV222" s="323"/>
      <c r="AW222" s="323"/>
      <c r="AX222" s="323"/>
      <c r="AY222" s="323"/>
      <c r="AZ222" s="323"/>
      <c r="BA222" s="323"/>
      <c r="BB222" s="323"/>
      <c r="BC222" s="323"/>
      <c r="BD222" s="323"/>
      <c r="BE222" s="323"/>
      <c r="BF222" s="323"/>
      <c r="BG222" s="323"/>
      <c r="BH222" s="323"/>
      <c r="BI222" s="323"/>
      <c r="BJ222" s="323"/>
      <c r="BK222" s="323"/>
      <c r="BL222" s="323"/>
      <c r="BM222" s="323"/>
      <c r="BN222" s="323"/>
      <c r="BO222" s="333"/>
      <c r="BP222" s="333"/>
      <c r="BQ222" s="333"/>
      <c r="BR222" s="333"/>
    </row>
    <row r="223" spans="4:70">
      <c r="D223" s="333"/>
      <c r="E223" s="333"/>
      <c r="F223" s="333"/>
      <c r="G223" s="333"/>
      <c r="H223" s="333"/>
      <c r="I223" s="333"/>
      <c r="J223" s="333"/>
      <c r="K223" s="333"/>
      <c r="L223" s="333"/>
      <c r="M223" s="333"/>
      <c r="N223" s="333"/>
      <c r="O223" s="597"/>
      <c r="P223" s="333"/>
      <c r="Q223" s="333"/>
      <c r="R223" s="333"/>
      <c r="S223" s="333"/>
      <c r="T223" s="333"/>
      <c r="U223" s="333"/>
      <c r="V223" s="333"/>
      <c r="W223" s="333"/>
      <c r="X223" s="333"/>
      <c r="Y223" s="333"/>
      <c r="Z223" s="333"/>
      <c r="AA223" s="597"/>
      <c r="AB223" s="333"/>
      <c r="AC223" s="333"/>
      <c r="AD223" s="333"/>
      <c r="AE223" s="333"/>
      <c r="AF223" s="333"/>
      <c r="AG223" s="333"/>
      <c r="AH223" s="333"/>
      <c r="AI223" s="333"/>
      <c r="AJ223" s="333"/>
      <c r="AK223" s="333"/>
      <c r="AL223" s="333"/>
      <c r="AM223" s="333"/>
      <c r="AN223" s="323"/>
      <c r="AO223" s="323"/>
      <c r="AP223" s="323"/>
      <c r="AQ223" s="323"/>
      <c r="AR223" s="323"/>
      <c r="AS223" s="323"/>
      <c r="AT223" s="323"/>
      <c r="AU223" s="323"/>
      <c r="AV223" s="323"/>
      <c r="AW223" s="323"/>
      <c r="AX223" s="323"/>
      <c r="AY223" s="323"/>
      <c r="AZ223" s="323"/>
      <c r="BA223" s="323"/>
      <c r="BB223" s="323"/>
      <c r="BC223" s="323"/>
      <c r="BD223" s="323"/>
      <c r="BE223" s="323"/>
      <c r="BF223" s="323"/>
      <c r="BG223" s="323"/>
      <c r="BH223" s="323"/>
      <c r="BI223" s="323"/>
      <c r="BJ223" s="323"/>
      <c r="BK223" s="323"/>
      <c r="BL223" s="323"/>
      <c r="BM223" s="323"/>
      <c r="BN223" s="323"/>
      <c r="BO223" s="333"/>
      <c r="BP223" s="333"/>
      <c r="BQ223" s="333"/>
      <c r="BR223" s="333"/>
    </row>
    <row r="224" spans="4:70">
      <c r="D224" s="333"/>
      <c r="E224" s="333"/>
      <c r="F224" s="333"/>
      <c r="G224" s="333"/>
      <c r="H224" s="333"/>
      <c r="I224" s="333"/>
      <c r="J224" s="333"/>
      <c r="K224" s="333"/>
      <c r="L224" s="333"/>
      <c r="M224" s="333"/>
      <c r="N224" s="333"/>
      <c r="O224" s="597"/>
      <c r="P224" s="333"/>
      <c r="Q224" s="333"/>
      <c r="R224" s="333"/>
      <c r="S224" s="333"/>
      <c r="T224" s="333"/>
      <c r="U224" s="333"/>
      <c r="V224" s="333"/>
      <c r="W224" s="333"/>
      <c r="X224" s="333"/>
      <c r="Y224" s="333"/>
      <c r="Z224" s="333"/>
      <c r="AA224" s="597"/>
      <c r="AB224" s="333"/>
      <c r="AC224" s="333"/>
      <c r="AD224" s="333"/>
      <c r="AE224" s="333"/>
      <c r="AF224" s="333"/>
      <c r="AG224" s="333"/>
      <c r="AH224" s="333"/>
      <c r="AI224" s="333"/>
      <c r="AJ224" s="333"/>
      <c r="AK224" s="333"/>
      <c r="AL224" s="333"/>
      <c r="AM224" s="333"/>
      <c r="AN224" s="323"/>
      <c r="AO224" s="323"/>
      <c r="AP224" s="323"/>
      <c r="AQ224" s="323"/>
      <c r="AR224" s="323"/>
      <c r="AS224" s="323"/>
      <c r="AT224" s="323"/>
      <c r="AU224" s="323"/>
      <c r="AV224" s="323"/>
      <c r="AW224" s="323"/>
      <c r="AX224" s="323"/>
      <c r="AY224" s="323"/>
      <c r="AZ224" s="323"/>
      <c r="BA224" s="323"/>
      <c r="BB224" s="323"/>
      <c r="BC224" s="323"/>
      <c r="BD224" s="323"/>
      <c r="BE224" s="323"/>
      <c r="BF224" s="323"/>
      <c r="BG224" s="323"/>
      <c r="BH224" s="323"/>
      <c r="BI224" s="323"/>
      <c r="BJ224" s="323"/>
      <c r="BK224" s="323"/>
      <c r="BL224" s="323"/>
      <c r="BM224" s="323"/>
      <c r="BN224" s="323"/>
      <c r="BO224" s="333"/>
      <c r="BP224" s="333"/>
      <c r="BQ224" s="333"/>
      <c r="BR224" s="333"/>
    </row>
    <row r="225" spans="4:70">
      <c r="D225" s="333"/>
      <c r="E225" s="333"/>
      <c r="F225" s="333"/>
      <c r="G225" s="333"/>
      <c r="H225" s="333"/>
      <c r="I225" s="333"/>
      <c r="J225" s="333"/>
      <c r="K225" s="333"/>
      <c r="L225" s="333"/>
      <c r="M225" s="333"/>
      <c r="N225" s="333"/>
      <c r="O225" s="597"/>
      <c r="P225" s="333"/>
      <c r="Q225" s="333"/>
      <c r="R225" s="333"/>
      <c r="S225" s="333"/>
      <c r="T225" s="333"/>
      <c r="U225" s="333"/>
      <c r="V225" s="333"/>
      <c r="W225" s="333"/>
      <c r="X225" s="333"/>
      <c r="Y225" s="333"/>
      <c r="Z225" s="333"/>
      <c r="AA225" s="597"/>
      <c r="AB225" s="333"/>
      <c r="AC225" s="333"/>
      <c r="AD225" s="333"/>
      <c r="AE225" s="333"/>
      <c r="AF225" s="333"/>
      <c r="AG225" s="333"/>
      <c r="AH225" s="333"/>
      <c r="AI225" s="333"/>
      <c r="AJ225" s="333"/>
      <c r="AK225" s="333"/>
      <c r="AL225" s="333"/>
      <c r="AM225" s="333"/>
      <c r="AN225" s="323"/>
      <c r="AO225" s="323"/>
      <c r="AP225" s="323"/>
      <c r="AQ225" s="323"/>
      <c r="AR225" s="323"/>
      <c r="AS225" s="323"/>
      <c r="AT225" s="323"/>
      <c r="AU225" s="323"/>
      <c r="AV225" s="323"/>
      <c r="AW225" s="323"/>
      <c r="AX225" s="323"/>
      <c r="AY225" s="323"/>
      <c r="AZ225" s="323"/>
      <c r="BA225" s="323"/>
      <c r="BB225" s="323"/>
      <c r="BC225" s="323"/>
      <c r="BD225" s="323"/>
      <c r="BE225" s="323"/>
      <c r="BF225" s="323"/>
      <c r="BG225" s="323"/>
      <c r="BH225" s="323"/>
      <c r="BI225" s="323"/>
      <c r="BJ225" s="323"/>
      <c r="BK225" s="323"/>
      <c r="BL225" s="323"/>
      <c r="BM225" s="323"/>
      <c r="BN225" s="323"/>
      <c r="BO225" s="333"/>
      <c r="BP225" s="333"/>
      <c r="BQ225" s="333"/>
      <c r="BR225" s="333"/>
    </row>
    <row r="226" spans="4:70">
      <c r="D226" s="333"/>
      <c r="E226" s="333"/>
      <c r="F226" s="333"/>
      <c r="G226" s="333"/>
      <c r="H226" s="333"/>
      <c r="I226" s="333"/>
      <c r="J226" s="333"/>
      <c r="K226" s="333"/>
      <c r="L226" s="333"/>
      <c r="M226" s="333"/>
      <c r="N226" s="333"/>
      <c r="O226" s="597"/>
      <c r="P226" s="333"/>
      <c r="Q226" s="333"/>
      <c r="R226" s="333"/>
      <c r="S226" s="333"/>
      <c r="T226" s="333"/>
      <c r="U226" s="333"/>
      <c r="V226" s="333"/>
      <c r="W226" s="333"/>
      <c r="X226" s="333"/>
      <c r="Y226" s="333"/>
      <c r="Z226" s="333"/>
      <c r="AA226" s="597"/>
      <c r="AB226" s="333"/>
      <c r="AC226" s="333"/>
      <c r="AD226" s="333"/>
      <c r="AE226" s="333"/>
      <c r="AF226" s="333"/>
      <c r="AG226" s="333"/>
      <c r="AH226" s="333"/>
      <c r="AI226" s="333"/>
      <c r="AJ226" s="333"/>
      <c r="AK226" s="333"/>
      <c r="AL226" s="333"/>
      <c r="AM226" s="333"/>
      <c r="AN226" s="323"/>
      <c r="AO226" s="323"/>
      <c r="AP226" s="323"/>
      <c r="AQ226" s="323"/>
      <c r="AR226" s="323"/>
      <c r="AS226" s="323"/>
      <c r="AT226" s="323"/>
      <c r="AU226" s="323"/>
      <c r="AV226" s="323"/>
      <c r="AW226" s="323"/>
      <c r="AX226" s="323"/>
      <c r="AY226" s="323"/>
      <c r="AZ226" s="323"/>
      <c r="BA226" s="323"/>
      <c r="BB226" s="323"/>
      <c r="BC226" s="323"/>
      <c r="BD226" s="323"/>
      <c r="BE226" s="323"/>
      <c r="BF226" s="323"/>
      <c r="BG226" s="323"/>
      <c r="BH226" s="323"/>
      <c r="BI226" s="323"/>
      <c r="BJ226" s="323"/>
      <c r="BK226" s="323"/>
      <c r="BL226" s="323"/>
      <c r="BM226" s="323"/>
      <c r="BN226" s="323"/>
      <c r="BO226" s="333"/>
      <c r="BP226" s="333"/>
      <c r="BQ226" s="333"/>
      <c r="BR226" s="333"/>
    </row>
    <row r="227" spans="4:70">
      <c r="D227" s="333"/>
      <c r="E227" s="333"/>
      <c r="F227" s="333"/>
      <c r="G227" s="333"/>
      <c r="H227" s="333"/>
      <c r="I227" s="333"/>
      <c r="J227" s="333"/>
      <c r="K227" s="333"/>
      <c r="L227" s="333"/>
      <c r="M227" s="333"/>
      <c r="N227" s="333"/>
      <c r="O227" s="597"/>
      <c r="P227" s="333"/>
      <c r="Q227" s="333"/>
      <c r="R227" s="333"/>
      <c r="S227" s="333"/>
      <c r="T227" s="333"/>
      <c r="U227" s="333"/>
      <c r="V227" s="333"/>
      <c r="W227" s="333"/>
      <c r="X227" s="333"/>
      <c r="Y227" s="333"/>
      <c r="Z227" s="333"/>
      <c r="AA227" s="597"/>
      <c r="AB227" s="333"/>
      <c r="AC227" s="333"/>
      <c r="AD227" s="333"/>
      <c r="AE227" s="333"/>
      <c r="AF227" s="333"/>
      <c r="AG227" s="333"/>
      <c r="AH227" s="333"/>
      <c r="AI227" s="333"/>
      <c r="AJ227" s="333"/>
      <c r="AK227" s="333"/>
      <c r="AL227" s="333"/>
      <c r="AM227" s="333"/>
      <c r="AN227" s="323"/>
      <c r="AO227" s="323"/>
      <c r="AP227" s="323"/>
      <c r="AQ227" s="323"/>
      <c r="AR227" s="323"/>
      <c r="AS227" s="323"/>
      <c r="AT227" s="323"/>
      <c r="AU227" s="323"/>
      <c r="AV227" s="323"/>
      <c r="AW227" s="323"/>
      <c r="AX227" s="323"/>
      <c r="AY227" s="323"/>
      <c r="AZ227" s="323"/>
      <c r="BA227" s="323"/>
      <c r="BB227" s="323"/>
      <c r="BC227" s="323"/>
      <c r="BD227" s="323"/>
      <c r="BE227" s="323"/>
      <c r="BF227" s="323"/>
      <c r="BG227" s="323"/>
      <c r="BH227" s="323"/>
      <c r="BI227" s="323"/>
      <c r="BJ227" s="323"/>
      <c r="BK227" s="323"/>
      <c r="BL227" s="323"/>
      <c r="BM227" s="323"/>
      <c r="BN227" s="323"/>
      <c r="BO227" s="333"/>
      <c r="BP227" s="333"/>
      <c r="BQ227" s="333"/>
      <c r="BR227" s="333"/>
    </row>
    <row r="228" spans="4:70">
      <c r="D228" s="333"/>
      <c r="E228" s="333"/>
      <c r="F228" s="333"/>
      <c r="G228" s="333"/>
      <c r="H228" s="333"/>
      <c r="I228" s="333"/>
      <c r="J228" s="333"/>
      <c r="K228" s="333"/>
      <c r="L228" s="333"/>
      <c r="M228" s="333"/>
      <c r="N228" s="333"/>
      <c r="O228" s="597"/>
      <c r="P228" s="333"/>
      <c r="Q228" s="333"/>
      <c r="R228" s="333"/>
      <c r="S228" s="333"/>
      <c r="T228" s="333"/>
      <c r="U228" s="333"/>
      <c r="V228" s="333"/>
      <c r="W228" s="333"/>
      <c r="X228" s="333"/>
      <c r="Y228" s="333"/>
      <c r="Z228" s="333"/>
      <c r="AA228" s="597"/>
      <c r="AB228" s="333"/>
      <c r="AC228" s="333"/>
      <c r="AD228" s="333"/>
      <c r="AE228" s="333"/>
      <c r="AF228" s="333"/>
      <c r="AG228" s="333"/>
      <c r="AH228" s="333"/>
      <c r="AI228" s="333"/>
      <c r="AJ228" s="333"/>
      <c r="AK228" s="333"/>
      <c r="AL228" s="333"/>
      <c r="AM228" s="333"/>
      <c r="AN228" s="323"/>
      <c r="AO228" s="323"/>
      <c r="AP228" s="323"/>
      <c r="AQ228" s="323"/>
      <c r="AR228" s="323"/>
      <c r="AS228" s="323"/>
      <c r="AT228" s="323"/>
      <c r="AU228" s="323"/>
      <c r="AV228" s="323"/>
      <c r="AW228" s="323"/>
      <c r="AX228" s="323"/>
      <c r="AY228" s="323"/>
      <c r="AZ228" s="323"/>
      <c r="BA228" s="323"/>
      <c r="BB228" s="323"/>
      <c r="BC228" s="323"/>
      <c r="BD228" s="323"/>
      <c r="BE228" s="323"/>
      <c r="BF228" s="323"/>
      <c r="BG228" s="323"/>
      <c r="BH228" s="323"/>
      <c r="BI228" s="323"/>
      <c r="BJ228" s="323"/>
      <c r="BK228" s="323"/>
      <c r="BL228" s="323"/>
      <c r="BM228" s="323"/>
      <c r="BN228" s="323"/>
      <c r="BO228" s="333"/>
      <c r="BP228" s="333"/>
      <c r="BQ228" s="333"/>
      <c r="BR228" s="333"/>
    </row>
    <row r="229" spans="4:70">
      <c r="D229" s="333"/>
      <c r="E229" s="333"/>
      <c r="F229" s="333"/>
      <c r="G229" s="333"/>
      <c r="H229" s="333"/>
      <c r="I229" s="333"/>
      <c r="J229" s="333"/>
      <c r="K229" s="333"/>
      <c r="L229" s="333"/>
      <c r="M229" s="333"/>
      <c r="N229" s="333"/>
      <c r="O229" s="597"/>
      <c r="P229" s="333"/>
      <c r="Q229" s="333"/>
      <c r="R229" s="333"/>
      <c r="S229" s="333"/>
      <c r="T229" s="333"/>
      <c r="U229" s="333"/>
      <c r="V229" s="333"/>
      <c r="W229" s="333"/>
      <c r="X229" s="333"/>
      <c r="Y229" s="333"/>
      <c r="Z229" s="333"/>
      <c r="AA229" s="597"/>
      <c r="AB229" s="333"/>
      <c r="AC229" s="333"/>
      <c r="AD229" s="333"/>
      <c r="AE229" s="333"/>
      <c r="AF229" s="333"/>
      <c r="AG229" s="333"/>
      <c r="AH229" s="333"/>
      <c r="AI229" s="333"/>
      <c r="AJ229" s="333"/>
      <c r="AK229" s="333"/>
      <c r="AL229" s="333"/>
      <c r="AM229" s="333"/>
      <c r="AN229" s="323"/>
      <c r="AO229" s="323"/>
      <c r="AP229" s="323"/>
      <c r="AQ229" s="323"/>
      <c r="AR229" s="323"/>
      <c r="AS229" s="323"/>
      <c r="AT229" s="323"/>
      <c r="AU229" s="323"/>
      <c r="AV229" s="323"/>
      <c r="AW229" s="323"/>
      <c r="AX229" s="323"/>
      <c r="AY229" s="323"/>
      <c r="AZ229" s="323"/>
      <c r="BA229" s="323"/>
      <c r="BB229" s="323"/>
      <c r="BC229" s="323"/>
      <c r="BD229" s="323"/>
      <c r="BE229" s="323"/>
      <c r="BF229" s="323"/>
      <c r="BG229" s="323"/>
      <c r="BH229" s="323"/>
      <c r="BI229" s="323"/>
      <c r="BJ229" s="323"/>
      <c r="BK229" s="323"/>
      <c r="BL229" s="323"/>
      <c r="BM229" s="323"/>
      <c r="BN229" s="323"/>
      <c r="BO229" s="333"/>
      <c r="BP229" s="333"/>
      <c r="BQ229" s="333"/>
      <c r="BR229" s="333"/>
    </row>
    <row r="230" spans="4:70">
      <c r="D230" s="333"/>
      <c r="E230" s="333"/>
      <c r="F230" s="333"/>
      <c r="G230" s="333"/>
      <c r="H230" s="333"/>
      <c r="I230" s="333"/>
      <c r="J230" s="333"/>
      <c r="K230" s="333"/>
      <c r="L230" s="333"/>
      <c r="M230" s="333"/>
      <c r="N230" s="333"/>
      <c r="O230" s="597"/>
      <c r="P230" s="333"/>
      <c r="Q230" s="333"/>
      <c r="R230" s="333"/>
      <c r="S230" s="333"/>
      <c r="T230" s="333"/>
      <c r="U230" s="333"/>
      <c r="V230" s="333"/>
      <c r="W230" s="333"/>
      <c r="X230" s="333"/>
      <c r="Y230" s="333"/>
      <c r="Z230" s="333"/>
      <c r="AA230" s="597"/>
      <c r="AB230" s="333"/>
      <c r="AC230" s="333"/>
      <c r="AD230" s="333"/>
      <c r="AE230" s="333"/>
      <c r="AF230" s="333"/>
      <c r="AG230" s="333"/>
      <c r="AH230" s="333"/>
      <c r="AI230" s="333"/>
      <c r="AJ230" s="333"/>
      <c r="AK230" s="333"/>
      <c r="AL230" s="333"/>
      <c r="AM230" s="333"/>
      <c r="AN230" s="323"/>
      <c r="AO230" s="323"/>
      <c r="AP230" s="323"/>
      <c r="AQ230" s="323"/>
      <c r="AR230" s="323"/>
      <c r="AS230" s="323"/>
      <c r="AT230" s="323"/>
      <c r="AU230" s="323"/>
      <c r="AV230" s="323"/>
      <c r="AW230" s="323"/>
      <c r="AX230" s="323"/>
      <c r="AY230" s="323"/>
      <c r="AZ230" s="323"/>
      <c r="BA230" s="323"/>
      <c r="BB230" s="323"/>
      <c r="BC230" s="323"/>
      <c r="BD230" s="323"/>
      <c r="BE230" s="323"/>
      <c r="BF230" s="323"/>
      <c r="BG230" s="323"/>
      <c r="BH230" s="323"/>
      <c r="BI230" s="323"/>
      <c r="BJ230" s="323"/>
      <c r="BK230" s="323"/>
      <c r="BL230" s="323"/>
      <c r="BM230" s="323"/>
      <c r="BN230" s="323"/>
      <c r="BO230" s="333"/>
      <c r="BP230" s="333"/>
      <c r="BQ230" s="333"/>
      <c r="BR230" s="333"/>
    </row>
    <row r="231" spans="4:70">
      <c r="D231" s="333"/>
      <c r="E231" s="333"/>
      <c r="F231" s="333"/>
      <c r="G231" s="333"/>
      <c r="H231" s="333"/>
      <c r="I231" s="333"/>
      <c r="J231" s="333"/>
      <c r="K231" s="333"/>
      <c r="L231" s="333"/>
      <c r="M231" s="333"/>
      <c r="N231" s="333"/>
      <c r="O231" s="597"/>
      <c r="P231" s="333"/>
      <c r="Q231" s="333"/>
      <c r="R231" s="333"/>
      <c r="S231" s="333"/>
      <c r="T231" s="333"/>
      <c r="U231" s="333"/>
      <c r="V231" s="333"/>
      <c r="W231" s="333"/>
      <c r="X231" s="333"/>
      <c r="Y231" s="333"/>
      <c r="Z231" s="333"/>
      <c r="AA231" s="597"/>
      <c r="AB231" s="333"/>
      <c r="AC231" s="333"/>
      <c r="AD231" s="333"/>
      <c r="AE231" s="333"/>
      <c r="AF231" s="333"/>
      <c r="AG231" s="333"/>
      <c r="AH231" s="333"/>
      <c r="AI231" s="333"/>
      <c r="AJ231" s="333"/>
      <c r="AK231" s="333"/>
      <c r="AL231" s="333"/>
      <c r="AM231" s="333"/>
      <c r="AN231" s="323"/>
      <c r="AO231" s="323"/>
      <c r="AP231" s="323"/>
      <c r="AQ231" s="323"/>
      <c r="AR231" s="323"/>
      <c r="AS231" s="323"/>
      <c r="AT231" s="323"/>
      <c r="AU231" s="323"/>
      <c r="AV231" s="323"/>
      <c r="AW231" s="323"/>
      <c r="AX231" s="323"/>
      <c r="AY231" s="323"/>
      <c r="AZ231" s="323"/>
      <c r="BA231" s="323"/>
      <c r="BB231" s="323"/>
      <c r="BC231" s="323"/>
      <c r="BD231" s="323"/>
      <c r="BE231" s="323"/>
      <c r="BF231" s="323"/>
      <c r="BG231" s="323"/>
      <c r="BH231" s="323"/>
      <c r="BI231" s="323"/>
      <c r="BJ231" s="323"/>
      <c r="BK231" s="323"/>
      <c r="BL231" s="323"/>
      <c r="BM231" s="323"/>
      <c r="BN231" s="323"/>
      <c r="BO231" s="333"/>
      <c r="BP231" s="333"/>
      <c r="BQ231" s="333"/>
      <c r="BR231" s="333"/>
    </row>
    <row r="232" spans="4:70">
      <c r="D232" s="333"/>
      <c r="E232" s="333"/>
      <c r="F232" s="333"/>
      <c r="G232" s="333"/>
      <c r="H232" s="333"/>
      <c r="I232" s="333"/>
      <c r="J232" s="333"/>
      <c r="K232" s="333"/>
      <c r="L232" s="333"/>
      <c r="M232" s="333"/>
      <c r="N232" s="333"/>
      <c r="O232" s="597"/>
      <c r="P232" s="333"/>
      <c r="Q232" s="333"/>
      <c r="R232" s="333"/>
      <c r="S232" s="333"/>
      <c r="T232" s="333"/>
      <c r="U232" s="333"/>
      <c r="V232" s="333"/>
      <c r="W232" s="333"/>
      <c r="X232" s="333"/>
      <c r="Y232" s="333"/>
      <c r="Z232" s="333"/>
      <c r="AA232" s="597"/>
      <c r="AB232" s="333"/>
      <c r="AC232" s="333"/>
      <c r="AD232" s="333"/>
      <c r="AE232" s="333"/>
      <c r="AF232" s="333"/>
      <c r="AG232" s="333"/>
      <c r="AH232" s="333"/>
      <c r="AI232" s="333"/>
      <c r="AJ232" s="333"/>
      <c r="AK232" s="333"/>
      <c r="AL232" s="333"/>
      <c r="AM232" s="333"/>
      <c r="AN232" s="323"/>
      <c r="AO232" s="323"/>
      <c r="AP232" s="323"/>
      <c r="AQ232" s="323"/>
      <c r="AR232" s="323"/>
      <c r="AS232" s="323"/>
      <c r="AT232" s="323"/>
      <c r="AU232" s="323"/>
      <c r="AV232" s="323"/>
      <c r="AW232" s="323"/>
      <c r="AX232" s="323"/>
      <c r="AY232" s="323"/>
      <c r="AZ232" s="323"/>
      <c r="BA232" s="323"/>
      <c r="BB232" s="323"/>
      <c r="BC232" s="323"/>
      <c r="BD232" s="323"/>
      <c r="BE232" s="323"/>
      <c r="BF232" s="323"/>
      <c r="BG232" s="323"/>
      <c r="BH232" s="323"/>
      <c r="BI232" s="323"/>
      <c r="BJ232" s="323"/>
      <c r="BK232" s="323"/>
      <c r="BL232" s="323"/>
      <c r="BM232" s="323"/>
      <c r="BN232" s="323"/>
      <c r="BO232" s="333"/>
      <c r="BP232" s="333"/>
      <c r="BQ232" s="333"/>
      <c r="BR232" s="333"/>
    </row>
    <row r="233" spans="4:70">
      <c r="D233" s="333"/>
      <c r="E233" s="333"/>
      <c r="F233" s="333"/>
      <c r="G233" s="333"/>
      <c r="H233" s="333"/>
      <c r="I233" s="333"/>
      <c r="J233" s="333"/>
      <c r="K233" s="333"/>
      <c r="L233" s="333"/>
      <c r="M233" s="333"/>
      <c r="N233" s="333"/>
      <c r="O233" s="597"/>
      <c r="P233" s="333"/>
      <c r="Q233" s="333"/>
      <c r="R233" s="333"/>
      <c r="S233" s="333"/>
      <c r="T233" s="333"/>
      <c r="U233" s="333"/>
      <c r="V233" s="333"/>
      <c r="W233" s="333"/>
      <c r="X233" s="333"/>
      <c r="Y233" s="333"/>
      <c r="Z233" s="333"/>
      <c r="AA233" s="597"/>
      <c r="AB233" s="333"/>
      <c r="AC233" s="333"/>
      <c r="AD233" s="333"/>
      <c r="AE233" s="333"/>
      <c r="AF233" s="333"/>
      <c r="AG233" s="333"/>
      <c r="AH233" s="333"/>
      <c r="AI233" s="333"/>
      <c r="AJ233" s="333"/>
      <c r="AK233" s="333"/>
      <c r="AL233" s="333"/>
      <c r="AM233" s="333"/>
      <c r="AN233" s="323"/>
      <c r="AO233" s="323"/>
      <c r="AP233" s="323"/>
      <c r="AQ233" s="323"/>
      <c r="AR233" s="323"/>
      <c r="AS233" s="323"/>
      <c r="AT233" s="323"/>
      <c r="AU233" s="323"/>
      <c r="AV233" s="323"/>
      <c r="AW233" s="323"/>
      <c r="AX233" s="323"/>
      <c r="AY233" s="323"/>
      <c r="AZ233" s="323"/>
      <c r="BA233" s="323"/>
      <c r="BB233" s="323"/>
      <c r="BC233" s="323"/>
      <c r="BD233" s="323"/>
      <c r="BE233" s="323"/>
      <c r="BF233" s="323"/>
      <c r="BG233" s="323"/>
      <c r="BH233" s="323"/>
      <c r="BI233" s="323"/>
      <c r="BJ233" s="323"/>
      <c r="BK233" s="323"/>
      <c r="BL233" s="323"/>
      <c r="BM233" s="323"/>
      <c r="BN233" s="323"/>
      <c r="BO233" s="333"/>
      <c r="BP233" s="333"/>
      <c r="BQ233" s="333"/>
      <c r="BR233" s="333"/>
    </row>
    <row r="234" spans="4:70">
      <c r="D234" s="333"/>
      <c r="E234" s="333"/>
      <c r="F234" s="333"/>
      <c r="G234" s="333"/>
      <c r="H234" s="333"/>
      <c r="I234" s="333"/>
      <c r="J234" s="333"/>
      <c r="K234" s="333"/>
      <c r="L234" s="333"/>
      <c r="M234" s="333"/>
      <c r="N234" s="333"/>
      <c r="O234" s="597"/>
      <c r="P234" s="333"/>
      <c r="Q234" s="333"/>
      <c r="R234" s="333"/>
      <c r="S234" s="333"/>
      <c r="T234" s="333"/>
      <c r="U234" s="333"/>
      <c r="V234" s="333"/>
      <c r="W234" s="333"/>
      <c r="X234" s="333"/>
      <c r="Y234" s="333"/>
      <c r="Z234" s="333"/>
      <c r="AA234" s="597"/>
      <c r="AB234" s="333"/>
      <c r="AC234" s="333"/>
      <c r="AD234" s="333"/>
      <c r="AE234" s="333"/>
      <c r="AF234" s="333"/>
      <c r="AG234" s="333"/>
      <c r="AH234" s="333"/>
      <c r="AI234" s="333"/>
      <c r="AJ234" s="333"/>
      <c r="AK234" s="333"/>
      <c r="AL234" s="333"/>
      <c r="AM234" s="333"/>
      <c r="AN234" s="323"/>
      <c r="AO234" s="323"/>
      <c r="AP234" s="323"/>
      <c r="AQ234" s="323"/>
      <c r="AR234" s="323"/>
      <c r="AS234" s="323"/>
      <c r="AT234" s="323"/>
      <c r="AU234" s="323"/>
      <c r="AV234" s="323"/>
      <c r="AW234" s="323"/>
      <c r="AX234" s="323"/>
      <c r="AY234" s="323"/>
      <c r="AZ234" s="323"/>
      <c r="BA234" s="323"/>
      <c r="BB234" s="323"/>
      <c r="BC234" s="323"/>
      <c r="BD234" s="323"/>
      <c r="BE234" s="323"/>
      <c r="BF234" s="323"/>
      <c r="BG234" s="323"/>
      <c r="BH234" s="323"/>
      <c r="BI234" s="323"/>
      <c r="BJ234" s="323"/>
      <c r="BK234" s="323"/>
      <c r="BL234" s="323"/>
      <c r="BM234" s="323"/>
      <c r="BN234" s="323"/>
      <c r="BO234" s="333"/>
      <c r="BP234" s="333"/>
      <c r="BQ234" s="333"/>
      <c r="BR234" s="333"/>
    </row>
    <row r="235" spans="4:70">
      <c r="D235" s="333"/>
      <c r="E235" s="333"/>
      <c r="F235" s="333"/>
      <c r="G235" s="333"/>
      <c r="H235" s="333"/>
      <c r="I235" s="333"/>
      <c r="J235" s="333"/>
      <c r="K235" s="333"/>
      <c r="L235" s="333"/>
      <c r="M235" s="333"/>
      <c r="N235" s="333"/>
      <c r="O235" s="597"/>
      <c r="P235" s="333"/>
      <c r="Q235" s="333"/>
      <c r="R235" s="333"/>
      <c r="S235" s="333"/>
      <c r="T235" s="333"/>
      <c r="U235" s="333"/>
      <c r="V235" s="333"/>
      <c r="W235" s="333"/>
      <c r="X235" s="333"/>
      <c r="Y235" s="333"/>
      <c r="Z235" s="333"/>
      <c r="AA235" s="597"/>
      <c r="AB235" s="333"/>
      <c r="AC235" s="333"/>
      <c r="AD235" s="333"/>
      <c r="AE235" s="333"/>
      <c r="AF235" s="333"/>
      <c r="AG235" s="333"/>
      <c r="AH235" s="333"/>
      <c r="AI235" s="333"/>
      <c r="AJ235" s="333"/>
      <c r="AK235" s="333"/>
      <c r="AL235" s="333"/>
      <c r="AM235" s="333"/>
      <c r="AN235" s="323"/>
      <c r="AO235" s="323"/>
      <c r="AP235" s="323"/>
      <c r="AQ235" s="323"/>
      <c r="AR235" s="323"/>
      <c r="AS235" s="323"/>
      <c r="AT235" s="323"/>
      <c r="AU235" s="323"/>
      <c r="AV235" s="323"/>
      <c r="AW235" s="323"/>
      <c r="AX235" s="323"/>
      <c r="AY235" s="323"/>
      <c r="AZ235" s="323"/>
      <c r="BA235" s="323"/>
      <c r="BB235" s="323"/>
      <c r="BC235" s="323"/>
      <c r="BD235" s="323"/>
      <c r="BE235" s="323"/>
      <c r="BF235" s="323"/>
      <c r="BG235" s="323"/>
      <c r="BH235" s="323"/>
      <c r="BI235" s="323"/>
      <c r="BJ235" s="323"/>
      <c r="BK235" s="323"/>
      <c r="BL235" s="323"/>
      <c r="BM235" s="323"/>
      <c r="BN235" s="323"/>
      <c r="BO235" s="333"/>
      <c r="BP235" s="333"/>
      <c r="BQ235" s="333"/>
      <c r="BR235" s="333"/>
    </row>
    <row r="236" spans="4:70">
      <c r="D236" s="333"/>
      <c r="E236" s="333"/>
      <c r="F236" s="333"/>
      <c r="G236" s="333"/>
      <c r="H236" s="333"/>
      <c r="I236" s="333"/>
      <c r="J236" s="333"/>
      <c r="K236" s="333"/>
      <c r="L236" s="333"/>
      <c r="M236" s="333"/>
      <c r="N236" s="333"/>
      <c r="O236" s="597"/>
      <c r="P236" s="333"/>
      <c r="Q236" s="333"/>
      <c r="R236" s="333"/>
      <c r="S236" s="333"/>
      <c r="T236" s="333"/>
      <c r="U236" s="333"/>
      <c r="V236" s="333"/>
      <c r="W236" s="333"/>
      <c r="X236" s="333"/>
      <c r="Y236" s="333"/>
      <c r="Z236" s="333"/>
      <c r="AA236" s="597"/>
      <c r="AB236" s="333"/>
      <c r="AC236" s="333"/>
      <c r="AD236" s="333"/>
      <c r="AE236" s="333"/>
      <c r="AF236" s="333"/>
      <c r="AG236" s="333"/>
      <c r="AH236" s="333"/>
      <c r="AI236" s="333"/>
      <c r="AJ236" s="333"/>
      <c r="AK236" s="333"/>
      <c r="AL236" s="333"/>
      <c r="AM236" s="333"/>
      <c r="AN236" s="323"/>
      <c r="AO236" s="323"/>
      <c r="AP236" s="323"/>
      <c r="AQ236" s="323"/>
      <c r="AR236" s="323"/>
      <c r="AS236" s="323"/>
      <c r="AT236" s="323"/>
      <c r="AU236" s="323"/>
      <c r="AV236" s="323"/>
      <c r="AW236" s="323"/>
      <c r="AX236" s="323"/>
      <c r="AY236" s="323"/>
      <c r="AZ236" s="323"/>
      <c r="BA236" s="323"/>
      <c r="BB236" s="323"/>
      <c r="BC236" s="323"/>
      <c r="BD236" s="323"/>
      <c r="BE236" s="323"/>
      <c r="BF236" s="323"/>
      <c r="BG236" s="323"/>
      <c r="BH236" s="323"/>
      <c r="BI236" s="323"/>
      <c r="BJ236" s="323"/>
      <c r="BK236" s="323"/>
      <c r="BL236" s="323"/>
      <c r="BM236" s="323"/>
      <c r="BN236" s="323"/>
      <c r="BO236" s="333"/>
      <c r="BP236" s="333"/>
      <c r="BQ236" s="333"/>
      <c r="BR236" s="333"/>
    </row>
    <row r="237" spans="4:70">
      <c r="D237" s="333"/>
      <c r="E237" s="333"/>
      <c r="F237" s="333"/>
      <c r="G237" s="333"/>
      <c r="H237" s="333"/>
      <c r="I237" s="333"/>
      <c r="J237" s="333"/>
      <c r="K237" s="333"/>
      <c r="L237" s="333"/>
      <c r="M237" s="333"/>
      <c r="N237" s="333"/>
      <c r="O237" s="597"/>
      <c r="P237" s="333"/>
      <c r="Q237" s="333"/>
      <c r="R237" s="333"/>
      <c r="S237" s="333"/>
      <c r="T237" s="333"/>
      <c r="U237" s="333"/>
      <c r="V237" s="333"/>
      <c r="W237" s="333"/>
      <c r="X237" s="333"/>
      <c r="Y237" s="333"/>
      <c r="Z237" s="333"/>
      <c r="AA237" s="597"/>
      <c r="AB237" s="333"/>
      <c r="AC237" s="333"/>
      <c r="AD237" s="333"/>
      <c r="AE237" s="333"/>
      <c r="AF237" s="333"/>
      <c r="AG237" s="333"/>
      <c r="AH237" s="333"/>
      <c r="AI237" s="333"/>
      <c r="AJ237" s="333"/>
      <c r="AK237" s="333"/>
      <c r="AL237" s="333"/>
      <c r="AM237" s="333"/>
      <c r="AN237" s="323"/>
      <c r="AO237" s="323"/>
      <c r="AP237" s="323"/>
      <c r="AQ237" s="323"/>
      <c r="AR237" s="323"/>
      <c r="AS237" s="323"/>
      <c r="AT237" s="323"/>
      <c r="AU237" s="323"/>
      <c r="AV237" s="323"/>
      <c r="AW237" s="323"/>
      <c r="AX237" s="323"/>
      <c r="AY237" s="323"/>
      <c r="AZ237" s="323"/>
      <c r="BA237" s="323"/>
      <c r="BB237" s="323"/>
      <c r="BC237" s="323"/>
      <c r="BD237" s="323"/>
      <c r="BE237" s="323"/>
      <c r="BF237" s="323"/>
      <c r="BG237" s="323"/>
      <c r="BH237" s="323"/>
      <c r="BI237" s="323"/>
      <c r="BJ237" s="323"/>
      <c r="BK237" s="323"/>
      <c r="BL237" s="323"/>
      <c r="BM237" s="323"/>
      <c r="BN237" s="323"/>
      <c r="BO237" s="333"/>
      <c r="BP237" s="333"/>
      <c r="BQ237" s="333"/>
      <c r="BR237" s="333"/>
    </row>
    <row r="238" spans="4:70">
      <c r="D238" s="333"/>
      <c r="E238" s="333"/>
      <c r="F238" s="333"/>
      <c r="G238" s="333"/>
      <c r="H238" s="333"/>
      <c r="I238" s="333"/>
      <c r="J238" s="333"/>
      <c r="K238" s="333"/>
      <c r="L238" s="333"/>
      <c r="M238" s="333"/>
      <c r="N238" s="333"/>
      <c r="O238" s="597"/>
      <c r="P238" s="333"/>
      <c r="Q238" s="333"/>
      <c r="R238" s="333"/>
      <c r="S238" s="333"/>
      <c r="T238" s="333"/>
      <c r="U238" s="333"/>
      <c r="V238" s="333"/>
      <c r="W238" s="333"/>
      <c r="X238" s="333"/>
      <c r="Y238" s="333"/>
      <c r="Z238" s="333"/>
      <c r="AA238" s="597"/>
      <c r="AB238" s="333"/>
      <c r="AC238" s="333"/>
      <c r="AD238" s="333"/>
      <c r="AE238" s="333"/>
      <c r="AF238" s="333"/>
      <c r="AG238" s="333"/>
      <c r="AH238" s="333"/>
      <c r="AI238" s="333"/>
      <c r="AJ238" s="333"/>
      <c r="AK238" s="333"/>
      <c r="AL238" s="333"/>
      <c r="AM238" s="333"/>
      <c r="AN238" s="323"/>
      <c r="AO238" s="323"/>
      <c r="AP238" s="323"/>
      <c r="AQ238" s="323"/>
      <c r="AR238" s="323"/>
      <c r="AS238" s="323"/>
      <c r="AT238" s="323"/>
      <c r="AU238" s="323"/>
      <c r="AV238" s="323"/>
      <c r="AW238" s="323"/>
      <c r="AX238" s="323"/>
      <c r="AY238" s="323"/>
      <c r="AZ238" s="323"/>
      <c r="BA238" s="323"/>
      <c r="BB238" s="323"/>
      <c r="BC238" s="323"/>
      <c r="BD238" s="323"/>
      <c r="BE238" s="323"/>
      <c r="BF238" s="323"/>
      <c r="BG238" s="323"/>
      <c r="BH238" s="323"/>
      <c r="BI238" s="323"/>
      <c r="BJ238" s="323"/>
      <c r="BK238" s="323"/>
      <c r="BL238" s="323"/>
      <c r="BM238" s="323"/>
      <c r="BN238" s="323"/>
      <c r="BO238" s="333"/>
      <c r="BP238" s="333"/>
      <c r="BQ238" s="333"/>
      <c r="BR238" s="333"/>
    </row>
    <row r="985" spans="1:1">
      <c r="A985" s="295">
        <v>30217</v>
      </c>
    </row>
  </sheetData>
  <sheetProtection formatCells="0" formatColumns="0" formatRows="0" insertColumns="0" insertRows="0" insertHyperlinks="0" deleteColumns="0" deleteRows="0" sort="0" autoFilter="0" pivotTables="0"/>
  <mergeCells count="30">
    <mergeCell ref="H40:J40"/>
    <mergeCell ref="H44:J44"/>
    <mergeCell ref="P86:AA86"/>
    <mergeCell ref="H41:I41"/>
    <mergeCell ref="H42:I42"/>
    <mergeCell ref="H43:I43"/>
    <mergeCell ref="H45:I45"/>
    <mergeCell ref="H46:I46"/>
    <mergeCell ref="AB86:AM86"/>
    <mergeCell ref="D50:O50"/>
    <mergeCell ref="B25:E25"/>
    <mergeCell ref="B33:E33"/>
    <mergeCell ref="B29:E29"/>
    <mergeCell ref="P50:AA50"/>
    <mergeCell ref="AB50:AM50"/>
    <mergeCell ref="B39:E39"/>
    <mergeCell ref="B37:E37"/>
    <mergeCell ref="L41:M41"/>
    <mergeCell ref="L42:M42"/>
    <mergeCell ref="L43:M43"/>
    <mergeCell ref="H39:J39"/>
    <mergeCell ref="L39:P39"/>
    <mergeCell ref="L40:M40"/>
    <mergeCell ref="D86:O86"/>
    <mergeCell ref="H9:R9"/>
    <mergeCell ref="B9:E9"/>
    <mergeCell ref="B13:E13"/>
    <mergeCell ref="B17:E17"/>
    <mergeCell ref="B21:E21"/>
    <mergeCell ref="H21:R21"/>
  </mergeCells>
  <pageMargins left="0.75000000000000011" right="0.75000000000000011" top="1" bottom="1" header="0.5" footer="0.5"/>
  <pageSetup paperSize="9" orientation="portrait" horizontalDpi="4294967292" verticalDpi="4294967292" r:id="rId1"/>
  <colBreaks count="3" manualBreakCount="3">
    <brk id="15" max="1048575" man="1"/>
    <brk id="27" max="1048575" man="1"/>
    <brk id="39" max="1048575" man="1"/>
  </colBreak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rgb="FF1F13B9"/>
  </sheetPr>
  <dimension ref="A1:BT956"/>
  <sheetViews>
    <sheetView showGridLines="0" zoomScale="76" zoomScaleNormal="68" zoomScalePageLayoutView="120" workbookViewId="0">
      <pane xSplit="2" topLeftCell="C1" activePane="topRight" state="frozen"/>
      <selection activeCell="A111" sqref="A111"/>
      <selection pane="topRight" activeCell="F73" sqref="F73"/>
    </sheetView>
  </sheetViews>
  <sheetFormatPr defaultColWidth="10" defaultRowHeight="15.6" outlineLevelRow="1"/>
  <cols>
    <col min="1" max="1" width="10.796875" style="19" customWidth="1"/>
    <col min="2" max="2" width="52.296875" style="18" customWidth="1"/>
    <col min="3" max="3" width="1" style="19" customWidth="1"/>
    <col min="4" max="14" width="14.69921875" style="19" customWidth="1"/>
    <col min="15" max="15" width="14.69921875" style="1036" customWidth="1"/>
    <col min="16" max="26" width="14.69921875" style="19" customWidth="1"/>
    <col min="27" max="27" width="14.69921875" style="1036" customWidth="1"/>
    <col min="28" max="39" width="14.69921875" style="19" customWidth="1"/>
    <col min="40" max="16384" width="10" style="19"/>
  </cols>
  <sheetData>
    <row r="1" spans="1:72" s="261" customFormat="1" ht="27" customHeight="1">
      <c r="A1" s="260" t="str">
        <f>"v"&amp;'COPYRIGHT PROTECTION'!C14&amp;" "&amp;'COPYRIGHT PROTECTION'!C6</f>
        <v xml:space="preserve">v2023.2 © Simon Hulme and Chris Drew, 2011-2023     IF PART OF AN ACADEMIC ASSIGNMENT, PLEASE DO NOT DELETE THIS SINGLE LINE.  DELETING IT MAY INVALIDATE YOUR SUBMISSION. </v>
      </c>
      <c r="O1" s="1034"/>
      <c r="AA1" s="1034"/>
    </row>
    <row r="2" spans="1:72" s="532" customFormat="1" ht="57.6">
      <c r="B2" s="986" t="s">
        <v>306</v>
      </c>
      <c r="F2" s="533"/>
      <c r="G2" s="534"/>
      <c r="O2" s="1035"/>
      <c r="AA2" s="1035"/>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row>
    <row r="4" spans="1:72" s="67" customFormat="1">
      <c r="B4" s="18"/>
      <c r="D4" s="68"/>
      <c r="E4" s="68"/>
      <c r="F4" s="68"/>
      <c r="G4" s="68"/>
      <c r="H4" s="68"/>
      <c r="I4" s="68"/>
      <c r="J4" s="68"/>
      <c r="K4" s="68"/>
      <c r="L4" s="68"/>
      <c r="M4" s="68"/>
      <c r="N4" s="68"/>
      <c r="O4" s="1037"/>
      <c r="P4" s="71"/>
      <c r="Q4" s="72"/>
      <c r="R4" s="72"/>
      <c r="S4" s="72"/>
      <c r="T4" s="72"/>
      <c r="U4" s="72"/>
      <c r="V4" s="72"/>
      <c r="W4" s="72"/>
      <c r="X4" s="72"/>
      <c r="Y4" s="72"/>
      <c r="Z4" s="72"/>
      <c r="AA4" s="1058"/>
      <c r="AB4" s="71"/>
      <c r="AN4" s="72"/>
      <c r="AO4" s="72"/>
      <c r="AP4" s="72"/>
      <c r="AQ4" s="72"/>
      <c r="AR4" s="72"/>
      <c r="AS4" s="72"/>
      <c r="AT4" s="72"/>
      <c r="AU4" s="72"/>
      <c r="AV4" s="72"/>
      <c r="AW4" s="72"/>
      <c r="AX4" s="72"/>
      <c r="AY4" s="72"/>
      <c r="AZ4" s="72"/>
      <c r="BA4" s="72"/>
      <c r="BB4" s="72"/>
      <c r="BC4" s="72"/>
      <c r="BD4" s="72"/>
      <c r="BE4" s="72"/>
      <c r="BF4" s="72"/>
      <c r="BG4" s="72"/>
      <c r="BH4" s="72"/>
      <c r="BI4" s="72"/>
      <c r="BJ4" s="72"/>
      <c r="BK4" s="72"/>
      <c r="BL4" s="72"/>
      <c r="BM4" s="72"/>
      <c r="BN4" s="72"/>
      <c r="BO4" s="72"/>
      <c r="BP4" s="72"/>
      <c r="BQ4" s="72"/>
      <c r="BR4" s="72"/>
      <c r="BS4" s="72"/>
      <c r="BT4" s="72"/>
    </row>
    <row r="5" spans="1:72" s="987" customFormat="1" ht="25.8" customHeight="1">
      <c r="B5" s="988" t="s">
        <v>224</v>
      </c>
      <c r="C5" s="989"/>
      <c r="D5" s="990"/>
      <c r="E5" s="990"/>
      <c r="F5" s="990"/>
      <c r="G5" s="990"/>
      <c r="H5" s="990"/>
      <c r="I5" s="990"/>
      <c r="J5" s="990"/>
      <c r="K5" s="990"/>
      <c r="L5" s="990"/>
      <c r="M5" s="990"/>
      <c r="N5" s="990"/>
      <c r="O5" s="1038"/>
      <c r="P5" s="990"/>
      <c r="AA5" s="1038"/>
      <c r="AB5" s="990"/>
      <c r="AN5" s="72"/>
      <c r="AO5" s="72"/>
      <c r="AP5" s="72"/>
      <c r="AQ5" s="72"/>
      <c r="AR5" s="72"/>
      <c r="AS5" s="72"/>
      <c r="AT5" s="72"/>
      <c r="AU5" s="72"/>
      <c r="AV5" s="72"/>
      <c r="AW5" s="72"/>
      <c r="AX5" s="72"/>
      <c r="AY5" s="72"/>
      <c r="AZ5" s="72"/>
      <c r="BA5" s="72"/>
      <c r="BB5" s="72"/>
      <c r="BC5" s="72"/>
      <c r="BD5" s="72"/>
      <c r="BE5" s="72"/>
      <c r="BF5" s="72"/>
      <c r="BG5" s="72"/>
      <c r="BH5" s="72"/>
      <c r="BI5" s="72"/>
      <c r="BJ5" s="72"/>
      <c r="BK5" s="72"/>
      <c r="BL5" s="72"/>
      <c r="BM5" s="72"/>
      <c r="BN5" s="72"/>
      <c r="BO5" s="72"/>
      <c r="BP5" s="72"/>
      <c r="BQ5" s="72"/>
      <c r="BR5" s="72"/>
      <c r="BS5" s="72"/>
      <c r="BT5" s="72"/>
    </row>
    <row r="6" spans="1:72" s="168" customFormat="1">
      <c r="B6" s="57"/>
      <c r="C6" s="179"/>
      <c r="D6" s="1217"/>
      <c r="E6" s="1217"/>
      <c r="F6" s="1217"/>
      <c r="G6" s="1217"/>
      <c r="H6" s="1217"/>
      <c r="I6" s="1217"/>
      <c r="J6" s="1217"/>
      <c r="K6" s="1217"/>
      <c r="L6" s="1217"/>
      <c r="M6" s="1217"/>
      <c r="N6" s="1217"/>
      <c r="O6" s="1313"/>
      <c r="P6" s="1217"/>
      <c r="Q6" s="1217"/>
      <c r="R6" s="1217"/>
      <c r="S6" s="1217"/>
      <c r="T6" s="1217"/>
      <c r="U6" s="1217"/>
      <c r="V6" s="1217"/>
      <c r="W6" s="1217"/>
      <c r="X6" s="1217"/>
      <c r="Y6" s="1217"/>
      <c r="Z6" s="1217"/>
      <c r="AA6" s="1229"/>
      <c r="AB6" s="1217"/>
      <c r="AC6" s="1217"/>
      <c r="AD6" s="1217"/>
      <c r="AE6" s="1217"/>
      <c r="AF6" s="1217"/>
      <c r="AG6" s="1217"/>
      <c r="AH6" s="1217"/>
      <c r="AI6" s="1217"/>
      <c r="AJ6" s="1217"/>
      <c r="AK6" s="1217"/>
      <c r="AL6" s="1217"/>
      <c r="AM6" s="1229"/>
    </row>
    <row r="7" spans="1:72" s="24" customFormat="1">
      <c r="B7" s="23"/>
      <c r="C7" s="47" t="s">
        <v>33</v>
      </c>
      <c r="D7" s="34">
        <f>'Sales Forecast'!E22</f>
        <v>45292</v>
      </c>
      <c r="E7" s="34">
        <f>DATE(YEAR(D7),MONTH(D7),DAY(EOMONTH(D7,0)))+1</f>
        <v>45323</v>
      </c>
      <c r="F7" s="34">
        <f t="shared" ref="F7:AL7" si="0">DATE(YEAR(E7),MONTH(E7),DAY(EOMONTH(E7,0)))+1</f>
        <v>45352</v>
      </c>
      <c r="G7" s="34">
        <f t="shared" si="0"/>
        <v>45383</v>
      </c>
      <c r="H7" s="34">
        <f t="shared" si="0"/>
        <v>45413</v>
      </c>
      <c r="I7" s="34">
        <f t="shared" si="0"/>
        <v>45444</v>
      </c>
      <c r="J7" s="34">
        <f t="shared" si="0"/>
        <v>45474</v>
      </c>
      <c r="K7" s="34">
        <f t="shared" si="0"/>
        <v>45505</v>
      </c>
      <c r="L7" s="34">
        <f t="shared" si="0"/>
        <v>45536</v>
      </c>
      <c r="M7" s="34">
        <f t="shared" si="0"/>
        <v>45566</v>
      </c>
      <c r="N7" s="34">
        <f t="shared" si="0"/>
        <v>45597</v>
      </c>
      <c r="O7" s="1039">
        <f t="shared" si="0"/>
        <v>45627</v>
      </c>
      <c r="P7" s="34">
        <f t="shared" si="0"/>
        <v>45658</v>
      </c>
      <c r="Q7" s="34">
        <f t="shared" si="0"/>
        <v>45689</v>
      </c>
      <c r="R7" s="34">
        <f t="shared" si="0"/>
        <v>45717</v>
      </c>
      <c r="S7" s="34">
        <f t="shared" si="0"/>
        <v>45748</v>
      </c>
      <c r="T7" s="34">
        <f t="shared" si="0"/>
        <v>45778</v>
      </c>
      <c r="U7" s="34">
        <f t="shared" si="0"/>
        <v>45809</v>
      </c>
      <c r="V7" s="34">
        <f t="shared" si="0"/>
        <v>45839</v>
      </c>
      <c r="W7" s="34">
        <f t="shared" si="0"/>
        <v>45870</v>
      </c>
      <c r="X7" s="34">
        <f t="shared" si="0"/>
        <v>45901</v>
      </c>
      <c r="Y7" s="34">
        <f t="shared" si="0"/>
        <v>45931</v>
      </c>
      <c r="Z7" s="34">
        <f t="shared" si="0"/>
        <v>45962</v>
      </c>
      <c r="AA7" s="1039">
        <f t="shared" si="0"/>
        <v>45992</v>
      </c>
      <c r="AB7" s="34">
        <f t="shared" si="0"/>
        <v>46023</v>
      </c>
      <c r="AC7" s="34">
        <f t="shared" si="0"/>
        <v>46054</v>
      </c>
      <c r="AD7" s="34">
        <f t="shared" si="0"/>
        <v>46082</v>
      </c>
      <c r="AE7" s="34">
        <f t="shared" si="0"/>
        <v>46113</v>
      </c>
      <c r="AF7" s="34">
        <f t="shared" si="0"/>
        <v>46143</v>
      </c>
      <c r="AG7" s="34">
        <f t="shared" si="0"/>
        <v>46174</v>
      </c>
      <c r="AH7" s="34">
        <f t="shared" si="0"/>
        <v>46204</v>
      </c>
      <c r="AI7" s="34">
        <f t="shared" si="0"/>
        <v>46235</v>
      </c>
      <c r="AJ7" s="34">
        <f t="shared" si="0"/>
        <v>46266</v>
      </c>
      <c r="AK7" s="34">
        <f t="shared" si="0"/>
        <v>46296</v>
      </c>
      <c r="AL7" s="34">
        <f t="shared" si="0"/>
        <v>46327</v>
      </c>
      <c r="AM7" s="34">
        <f>DATE(YEAR(AL7),MONTH(AL7),DAY(EOMONTH(AL7,0)))+1+2023.2-2023.2</f>
        <v>46357</v>
      </c>
    </row>
    <row r="8" spans="1:72" s="24" customFormat="1" hidden="1" outlineLevel="1">
      <c r="B8" s="23"/>
      <c r="C8" s="47"/>
      <c r="D8" s="262">
        <f>'Profit &amp; Loss Ecommerce'!D92</f>
        <v>1</v>
      </c>
      <c r="E8" s="262">
        <f>'Profit &amp; Loss Ecommerce'!E92</f>
        <v>2</v>
      </c>
      <c r="F8" s="262">
        <f>'Profit &amp; Loss Ecommerce'!F92</f>
        <v>3</v>
      </c>
      <c r="G8" s="262">
        <f>'Profit &amp; Loss Ecommerce'!G92</f>
        <v>4</v>
      </c>
      <c r="H8" s="262">
        <f>'Profit &amp; Loss Ecommerce'!H92</f>
        <v>5</v>
      </c>
      <c r="I8" s="262">
        <f>'Profit &amp; Loss Ecommerce'!I92</f>
        <v>6</v>
      </c>
      <c r="J8" s="262">
        <f>'Profit &amp; Loss Ecommerce'!J92</f>
        <v>7</v>
      </c>
      <c r="K8" s="262">
        <f>'Profit &amp; Loss Ecommerce'!K92</f>
        <v>8</v>
      </c>
      <c r="L8" s="262">
        <f>'Profit &amp; Loss Ecommerce'!L92</f>
        <v>9</v>
      </c>
      <c r="M8" s="262">
        <f>'Profit &amp; Loss Ecommerce'!M92</f>
        <v>10</v>
      </c>
      <c r="N8" s="262">
        <f>'Profit &amp; Loss Ecommerce'!N92</f>
        <v>11</v>
      </c>
      <c r="O8" s="1040">
        <f>'Profit &amp; Loss Ecommerce'!O92</f>
        <v>12</v>
      </c>
      <c r="P8" s="262">
        <f>'Profit &amp; Loss Ecommerce'!P92</f>
        <v>13</v>
      </c>
      <c r="Q8" s="145">
        <f>'Profit &amp; Loss Ecommerce'!Q92</f>
        <v>14</v>
      </c>
      <c r="R8" s="145">
        <f>'Profit &amp; Loss Ecommerce'!R92</f>
        <v>15</v>
      </c>
      <c r="S8" s="145">
        <f>'Profit &amp; Loss Ecommerce'!S92</f>
        <v>16</v>
      </c>
      <c r="T8" s="145">
        <f>'Profit &amp; Loss Ecommerce'!T92</f>
        <v>17</v>
      </c>
      <c r="U8" s="145">
        <f>'Profit &amp; Loss Ecommerce'!U92</f>
        <v>18</v>
      </c>
      <c r="V8" s="145">
        <f>'Profit &amp; Loss Ecommerce'!V92</f>
        <v>19</v>
      </c>
      <c r="W8" s="145">
        <f>'Profit &amp; Loss Ecommerce'!W92</f>
        <v>20</v>
      </c>
      <c r="X8" s="145">
        <f>'Profit &amp; Loss Ecommerce'!X92</f>
        <v>21</v>
      </c>
      <c r="Y8" s="145">
        <f>'Profit &amp; Loss Ecommerce'!Y92</f>
        <v>22</v>
      </c>
      <c r="Z8" s="145">
        <f>'Profit &amp; Loss Ecommerce'!Z92</f>
        <v>23</v>
      </c>
      <c r="AA8" s="1040">
        <f>'Profit &amp; Loss Ecommerce'!AA92</f>
        <v>24</v>
      </c>
      <c r="AB8" s="262">
        <f>'Profit &amp; Loss Ecommerce'!AB92</f>
        <v>25</v>
      </c>
      <c r="AC8" s="145">
        <f>'Profit &amp; Loss Ecommerce'!AC92</f>
        <v>26</v>
      </c>
      <c r="AD8" s="145">
        <f>'Profit &amp; Loss Ecommerce'!AD92</f>
        <v>27</v>
      </c>
      <c r="AE8" s="145">
        <f>'Profit &amp; Loss Ecommerce'!AE92</f>
        <v>28</v>
      </c>
      <c r="AF8" s="145">
        <f>'Profit &amp; Loss Ecommerce'!AF92</f>
        <v>29</v>
      </c>
      <c r="AG8" s="145">
        <f>'Profit &amp; Loss Ecommerce'!AG92</f>
        <v>30</v>
      </c>
      <c r="AH8" s="145">
        <f>'Profit &amp; Loss Ecommerce'!AH92</f>
        <v>31</v>
      </c>
      <c r="AI8" s="145">
        <f>'Profit &amp; Loss Ecommerce'!AI92</f>
        <v>32</v>
      </c>
      <c r="AJ8" s="145">
        <f>'Profit &amp; Loss Ecommerce'!AJ92</f>
        <v>33</v>
      </c>
      <c r="AK8" s="145">
        <f>'Profit &amp; Loss Ecommerce'!AK92</f>
        <v>34</v>
      </c>
      <c r="AL8" s="145">
        <f>'Profit &amp; Loss Ecommerce'!AL92</f>
        <v>35</v>
      </c>
      <c r="AM8" s="145">
        <f>'Profit &amp; Loss Ecommerce'!AM92</f>
        <v>36</v>
      </c>
    </row>
    <row r="9" spans="1:72" s="24" customFormat="1" collapsed="1">
      <c r="B9" s="23"/>
      <c r="C9" s="47"/>
      <c r="D9" s="34"/>
      <c r="E9" s="34"/>
      <c r="F9" s="34"/>
      <c r="G9" s="34"/>
      <c r="H9" s="34"/>
      <c r="I9" s="34"/>
      <c r="J9" s="34"/>
      <c r="K9" s="34"/>
      <c r="L9" s="34"/>
      <c r="M9" s="34"/>
      <c r="N9" s="34"/>
      <c r="O9" s="1039"/>
      <c r="P9" s="34"/>
      <c r="Q9" s="34"/>
      <c r="R9" s="34"/>
      <c r="S9" s="34"/>
      <c r="T9" s="34"/>
      <c r="U9" s="34"/>
      <c r="V9" s="34"/>
      <c r="W9" s="34"/>
      <c r="X9" s="34"/>
      <c r="Y9" s="34"/>
      <c r="Z9" s="34"/>
      <c r="AA9" s="1039"/>
      <c r="AB9" s="34"/>
      <c r="AC9" s="34"/>
      <c r="AD9" s="34"/>
      <c r="AE9" s="34"/>
      <c r="AF9" s="34"/>
      <c r="AG9" s="34"/>
      <c r="AH9" s="34"/>
      <c r="AI9" s="34"/>
      <c r="AJ9" s="34"/>
      <c r="AK9" s="34"/>
      <c r="AL9" s="34"/>
      <c r="AM9" s="34"/>
    </row>
    <row r="10" spans="1:72" s="149" customFormat="1">
      <c r="B10" s="180" t="s">
        <v>111</v>
      </c>
      <c r="D10" s="158"/>
      <c r="E10" s="158"/>
      <c r="F10" s="158"/>
      <c r="G10" s="158"/>
      <c r="H10" s="158"/>
      <c r="I10" s="158"/>
      <c r="J10" s="158"/>
      <c r="K10" s="158"/>
      <c r="L10" s="158"/>
      <c r="M10" s="158"/>
      <c r="N10" s="158"/>
      <c r="O10" s="1041"/>
      <c r="P10" s="158"/>
      <c r="AA10" s="1041"/>
      <c r="AB10" s="158"/>
      <c r="AN10" s="169"/>
      <c r="AO10" s="169"/>
      <c r="AP10" s="169"/>
      <c r="AQ10" s="169"/>
      <c r="AR10" s="169"/>
      <c r="AS10" s="169"/>
      <c r="AT10" s="169"/>
      <c r="AU10" s="169"/>
      <c r="AV10" s="169"/>
      <c r="AW10" s="169"/>
      <c r="AX10" s="169"/>
      <c r="AY10" s="169"/>
      <c r="AZ10" s="169"/>
      <c r="BA10" s="169"/>
      <c r="BB10" s="169"/>
      <c r="BC10" s="169"/>
      <c r="BD10" s="169"/>
      <c r="BE10" s="169"/>
      <c r="BF10" s="169"/>
      <c r="BG10" s="169"/>
      <c r="BH10" s="169"/>
      <c r="BI10" s="169"/>
      <c r="BJ10" s="169"/>
      <c r="BK10" s="169"/>
      <c r="BL10" s="169"/>
      <c r="BM10" s="169"/>
      <c r="BN10" s="169"/>
      <c r="BO10" s="169"/>
      <c r="BP10" s="169"/>
      <c r="BQ10" s="169"/>
      <c r="BR10" s="169"/>
      <c r="BS10" s="169"/>
      <c r="BT10" s="169"/>
    </row>
    <row r="11" spans="1:72" s="143" customFormat="1" ht="16.2" thickBot="1">
      <c r="B11" s="57"/>
      <c r="D11" s="160"/>
      <c r="E11" s="160"/>
      <c r="F11" s="160"/>
      <c r="G11" s="160"/>
      <c r="H11" s="160"/>
      <c r="I11" s="160"/>
      <c r="J11" s="160"/>
      <c r="K11" s="160"/>
      <c r="L11" s="160"/>
      <c r="M11" s="160"/>
      <c r="N11" s="160"/>
      <c r="O11" s="1042"/>
      <c r="P11" s="172"/>
      <c r="Q11" s="169"/>
      <c r="R11" s="169"/>
      <c r="S11" s="169"/>
      <c r="T11" s="169"/>
      <c r="U11" s="169"/>
      <c r="V11" s="169"/>
      <c r="W11" s="169"/>
      <c r="X11" s="169"/>
      <c r="Y11" s="169"/>
      <c r="Z11" s="169"/>
      <c r="AA11" s="1050"/>
      <c r="AB11" s="172"/>
      <c r="AN11" s="169"/>
      <c r="AO11" s="169"/>
      <c r="AP11" s="169"/>
      <c r="AQ11" s="169"/>
      <c r="AR11" s="169"/>
      <c r="AS11" s="169"/>
      <c r="AT11" s="169"/>
      <c r="AU11" s="169"/>
      <c r="AV11" s="169"/>
      <c r="AW11" s="169"/>
      <c r="AX11" s="169"/>
      <c r="AY11" s="169"/>
      <c r="AZ11" s="169"/>
      <c r="BA11" s="169"/>
      <c r="BB11" s="169"/>
      <c r="BC11" s="169"/>
      <c r="BD11" s="169"/>
      <c r="BE11" s="169"/>
      <c r="BF11" s="169"/>
      <c r="BG11" s="169"/>
      <c r="BH11" s="169"/>
      <c r="BI11" s="169"/>
      <c r="BJ11" s="169"/>
      <c r="BK11" s="169"/>
      <c r="BL11" s="169"/>
      <c r="BM11" s="169"/>
      <c r="BN11" s="169"/>
      <c r="BO11" s="169"/>
      <c r="BP11" s="169"/>
      <c r="BQ11" s="169"/>
      <c r="BR11" s="169"/>
      <c r="BS11" s="169"/>
      <c r="BT11" s="169"/>
    </row>
    <row r="12" spans="1:72" s="143" customFormat="1" ht="16.2" thickTop="1">
      <c r="B12" s="1022" t="s">
        <v>34</v>
      </c>
      <c r="D12" s="160"/>
      <c r="E12" s="160"/>
      <c r="F12" s="160"/>
      <c r="G12" s="160"/>
      <c r="H12" s="160"/>
      <c r="I12" s="160"/>
      <c r="J12" s="160"/>
      <c r="K12" s="160"/>
      <c r="L12" s="160"/>
      <c r="M12" s="160"/>
      <c r="N12" s="160"/>
      <c r="O12" s="1042"/>
      <c r="P12" s="172"/>
      <c r="Q12" s="169"/>
      <c r="R12" s="169"/>
      <c r="S12" s="169"/>
      <c r="T12" s="169"/>
      <c r="U12" s="169"/>
      <c r="V12" s="169"/>
      <c r="W12" s="169"/>
      <c r="X12" s="169"/>
      <c r="Y12" s="169"/>
      <c r="Z12" s="169"/>
      <c r="AA12" s="1050"/>
      <c r="AB12" s="172"/>
      <c r="AN12" s="169"/>
      <c r="AO12" s="169"/>
      <c r="AP12" s="169"/>
      <c r="AQ12" s="169"/>
      <c r="AR12" s="169"/>
      <c r="AS12" s="169"/>
      <c r="AT12" s="169"/>
      <c r="AU12" s="169"/>
      <c r="AV12" s="169"/>
      <c r="AW12" s="169"/>
      <c r="AX12" s="169"/>
      <c r="AY12" s="169"/>
      <c r="AZ12" s="169"/>
      <c r="BA12" s="169"/>
      <c r="BB12" s="169"/>
      <c r="BC12" s="169"/>
      <c r="BD12" s="169"/>
      <c r="BE12" s="169"/>
      <c r="BF12" s="169"/>
      <c r="BG12" s="169"/>
      <c r="BH12" s="169"/>
      <c r="BI12" s="169"/>
      <c r="BJ12" s="169"/>
      <c r="BK12" s="169"/>
      <c r="BL12" s="169"/>
      <c r="BM12" s="169"/>
      <c r="BN12" s="169"/>
      <c r="BO12" s="169"/>
      <c r="BP12" s="169"/>
      <c r="BQ12" s="169"/>
      <c r="BR12" s="169"/>
      <c r="BS12" s="169"/>
      <c r="BT12" s="169"/>
    </row>
    <row r="13" spans="1:72" ht="16.2" thickBot="1">
      <c r="B13" s="1026" t="s">
        <v>119</v>
      </c>
      <c r="C13" s="995"/>
      <c r="D13" s="995">
        <f>D83</f>
        <v>0</v>
      </c>
      <c r="E13" s="995">
        <f t="shared" ref="E13:AM13" si="1">E83</f>
        <v>30926.400000000001</v>
      </c>
      <c r="F13" s="995">
        <f t="shared" si="1"/>
        <v>35469.599999999999</v>
      </c>
      <c r="G13" s="995">
        <f t="shared" si="1"/>
        <v>43524</v>
      </c>
      <c r="H13" s="995">
        <f t="shared" si="1"/>
        <v>45796.800000000003</v>
      </c>
      <c r="I13" s="995">
        <f t="shared" si="1"/>
        <v>53700</v>
      </c>
      <c r="J13" s="995">
        <f t="shared" si="1"/>
        <v>59373.599999999999</v>
      </c>
      <c r="K13" s="995">
        <f t="shared" si="1"/>
        <v>66290.399999999994</v>
      </c>
      <c r="L13" s="995">
        <f t="shared" si="1"/>
        <v>68075.399999999994</v>
      </c>
      <c r="M13" s="995">
        <f t="shared" si="1"/>
        <v>71805.600000000006</v>
      </c>
      <c r="N13" s="995">
        <f t="shared" si="1"/>
        <v>77460</v>
      </c>
      <c r="O13" s="1043">
        <f t="shared" si="1"/>
        <v>84132.72</v>
      </c>
      <c r="P13" s="995">
        <f t="shared" si="1"/>
        <v>92114.4</v>
      </c>
      <c r="Q13" s="995">
        <f t="shared" si="1"/>
        <v>124268.16</v>
      </c>
      <c r="R13" s="995">
        <f t="shared" si="1"/>
        <v>156208.68</v>
      </c>
      <c r="S13" s="995">
        <f t="shared" si="1"/>
        <v>199582.8</v>
      </c>
      <c r="T13" s="995">
        <f t="shared" si="1"/>
        <v>238368.12</v>
      </c>
      <c r="U13" s="995">
        <f t="shared" si="1"/>
        <v>257274.24000000002</v>
      </c>
      <c r="V13" s="995">
        <f t="shared" si="1"/>
        <v>278055.95999999996</v>
      </c>
      <c r="W13" s="995">
        <f t="shared" si="1"/>
        <v>297966.48</v>
      </c>
      <c r="X13" s="995">
        <f t="shared" si="1"/>
        <v>299086.08000000002</v>
      </c>
      <c r="Y13" s="995">
        <f t="shared" si="1"/>
        <v>332749.68000000005</v>
      </c>
      <c r="Z13" s="995">
        <f t="shared" si="1"/>
        <v>358357.8</v>
      </c>
      <c r="AA13" s="1043">
        <f t="shared" si="1"/>
        <v>385912.31999999995</v>
      </c>
      <c r="AB13" s="995">
        <f>AB83</f>
        <v>383887.56</v>
      </c>
      <c r="AC13" s="995">
        <f t="shared" si="1"/>
        <v>446259.67200000008</v>
      </c>
      <c r="AD13" s="995">
        <f t="shared" si="1"/>
        <v>490615.76640000002</v>
      </c>
      <c r="AE13" s="995">
        <f t="shared" si="1"/>
        <v>564255.63840000005</v>
      </c>
      <c r="AF13" s="995">
        <f t="shared" si="1"/>
        <v>589456.27200000011</v>
      </c>
      <c r="AG13" s="995">
        <f t="shared" si="1"/>
        <v>650022.06960000005</v>
      </c>
      <c r="AH13" s="995">
        <f t="shared" si="1"/>
        <v>744822.77519999992</v>
      </c>
      <c r="AI13" s="995">
        <f t="shared" si="1"/>
        <v>812276.94767999998</v>
      </c>
      <c r="AJ13" s="995">
        <f t="shared" si="1"/>
        <v>843655.22879999992</v>
      </c>
      <c r="AK13" s="995">
        <f t="shared" si="1"/>
        <v>867929.8872</v>
      </c>
      <c r="AL13" s="995">
        <f t="shared" si="1"/>
        <v>955858.3824</v>
      </c>
      <c r="AM13" s="995">
        <f t="shared" si="1"/>
        <v>1018470.2563679999</v>
      </c>
    </row>
    <row r="14" spans="1:72" ht="16.8" thickTop="1" thickBot="1">
      <c r="B14" s="166"/>
    </row>
    <row r="15" spans="1:72" s="143" customFormat="1" ht="16.2" thickTop="1">
      <c r="B15" s="1022" t="s">
        <v>35</v>
      </c>
      <c r="D15" s="160"/>
      <c r="E15" s="160"/>
      <c r="F15" s="160"/>
      <c r="G15" s="160"/>
      <c r="H15" s="160"/>
      <c r="I15" s="160"/>
      <c r="J15" s="160"/>
      <c r="K15" s="160"/>
      <c r="L15" s="160"/>
      <c r="M15" s="160"/>
      <c r="N15" s="160"/>
      <c r="O15" s="1042"/>
      <c r="P15" s="172"/>
      <c r="Q15" s="169"/>
      <c r="R15" s="169"/>
      <c r="S15" s="169"/>
      <c r="T15" s="169"/>
      <c r="U15" s="169"/>
      <c r="V15" s="169"/>
      <c r="W15" s="169"/>
      <c r="X15" s="169"/>
      <c r="Y15" s="169"/>
      <c r="Z15" s="169"/>
      <c r="AA15" s="1050"/>
      <c r="AB15" s="172"/>
      <c r="AN15" s="169"/>
      <c r="AO15" s="169"/>
      <c r="AP15" s="169"/>
      <c r="AQ15" s="169"/>
      <c r="AR15" s="169"/>
      <c r="AS15" s="169"/>
      <c r="AT15" s="169"/>
      <c r="AU15" s="169"/>
      <c r="AV15" s="169"/>
      <c r="AW15" s="169"/>
      <c r="AX15" s="169"/>
      <c r="AY15" s="169"/>
      <c r="AZ15" s="169"/>
      <c r="BA15" s="169"/>
      <c r="BB15" s="169"/>
      <c r="BC15" s="169"/>
      <c r="BD15" s="169"/>
      <c r="BE15" s="169"/>
      <c r="BF15" s="169"/>
      <c r="BG15" s="169"/>
      <c r="BH15" s="169"/>
      <c r="BI15" s="169"/>
      <c r="BJ15" s="169"/>
      <c r="BK15" s="169"/>
      <c r="BL15" s="169"/>
      <c r="BM15" s="169"/>
      <c r="BN15" s="169"/>
      <c r="BO15" s="169"/>
      <c r="BP15" s="169"/>
      <c r="BQ15" s="169"/>
      <c r="BR15" s="169"/>
      <c r="BS15" s="169"/>
      <c r="BT15" s="169"/>
    </row>
    <row r="16" spans="1:72" s="143" customFormat="1">
      <c r="B16" s="1023" t="s">
        <v>199</v>
      </c>
      <c r="C16" s="996"/>
      <c r="D16" s="998">
        <f>-D92</f>
        <v>0</v>
      </c>
      <c r="E16" s="998">
        <f t="shared" ref="E16:AM16" si="2">-E92</f>
        <v>-20786.400000000001</v>
      </c>
      <c r="F16" s="998">
        <f t="shared" si="2"/>
        <v>-48162.960000000006</v>
      </c>
      <c r="G16" s="998">
        <f t="shared" si="2"/>
        <v>-14336.400000000005</v>
      </c>
      <c r="H16" s="998">
        <f t="shared" si="2"/>
        <v>-27465.359999999993</v>
      </c>
      <c r="I16" s="998">
        <f t="shared" si="2"/>
        <v>-23383.200000000008</v>
      </c>
      <c r="J16" s="998">
        <f t="shared" si="2"/>
        <v>-31983.719999999998</v>
      </c>
      <c r="K16" s="998">
        <f t="shared" si="2"/>
        <v>-32840.880000000005</v>
      </c>
      <c r="L16" s="998">
        <f t="shared" si="2"/>
        <v>-35727.222000000009</v>
      </c>
      <c r="M16" s="998">
        <f t="shared" si="2"/>
        <v>-31442.279999999988</v>
      </c>
      <c r="N16" s="998">
        <f t="shared" si="2"/>
        <v>-27812.040000000005</v>
      </c>
      <c r="O16" s="1044">
        <f t="shared" si="2"/>
        <v>-62822.241600000001</v>
      </c>
      <c r="P16" s="998">
        <f t="shared" si="2"/>
        <v>-71284.08600000001</v>
      </c>
      <c r="Q16" s="997">
        <f t="shared" si="2"/>
        <v>-39044.474399999999</v>
      </c>
      <c r="R16" s="997">
        <f t="shared" si="2"/>
        <v>-75221.386800000007</v>
      </c>
      <c r="S16" s="997">
        <f t="shared" si="2"/>
        <v>-159907.54199999996</v>
      </c>
      <c r="T16" s="997">
        <f t="shared" si="2"/>
        <v>-170063.14800000004</v>
      </c>
      <c r="U16" s="997">
        <f t="shared" si="2"/>
        <v>-173822.24040000004</v>
      </c>
      <c r="V16" s="997">
        <f t="shared" si="2"/>
        <v>-161692.04279999994</v>
      </c>
      <c r="W16" s="997">
        <f t="shared" si="2"/>
        <v>-172419.63479999997</v>
      </c>
      <c r="X16" s="997">
        <f t="shared" si="2"/>
        <v>-171428.90484000003</v>
      </c>
      <c r="Y16" s="997">
        <f t="shared" si="2"/>
        <v>-179571.27479999998</v>
      </c>
      <c r="Z16" s="997">
        <f t="shared" si="2"/>
        <v>-194111.61240000004</v>
      </c>
      <c r="AA16" s="1044">
        <f t="shared" si="2"/>
        <v>-222598.31039999996</v>
      </c>
      <c r="AB16" s="998">
        <f t="shared" si="2"/>
        <v>-267791.83175999997</v>
      </c>
      <c r="AC16" s="997">
        <f t="shared" si="2"/>
        <v>-215760.20479200006</v>
      </c>
      <c r="AD16" s="997">
        <f t="shared" si="2"/>
        <v>-212157.65558400002</v>
      </c>
      <c r="AE16" s="997">
        <f t="shared" si="2"/>
        <v>-392311.76563200005</v>
      </c>
      <c r="AF16" s="997">
        <f t="shared" si="2"/>
        <v>-331629.02174400003</v>
      </c>
      <c r="AG16" s="997">
        <f t="shared" si="2"/>
        <v>-303141.17239200009</v>
      </c>
      <c r="AH16" s="997">
        <f t="shared" si="2"/>
        <v>-459010.59827999998</v>
      </c>
      <c r="AI16" s="997">
        <f t="shared" si="2"/>
        <v>-481223.62058400002</v>
      </c>
      <c r="AJ16" s="997">
        <f t="shared" si="2"/>
        <v>-416050.61552039994</v>
      </c>
      <c r="AK16" s="997">
        <f t="shared" si="2"/>
        <v>-310412.74471200001</v>
      </c>
      <c r="AL16" s="997">
        <f t="shared" si="2"/>
        <v>-423273.31118399999</v>
      </c>
      <c r="AM16" s="997">
        <f t="shared" si="2"/>
        <v>-865874.77188287978</v>
      </c>
      <c r="AN16" s="169"/>
      <c r="AO16" s="169"/>
      <c r="AP16" s="169"/>
      <c r="AQ16" s="169"/>
      <c r="AR16" s="169"/>
      <c r="AS16" s="169"/>
      <c r="AT16" s="169"/>
      <c r="AU16" s="169"/>
      <c r="AV16" s="169"/>
      <c r="AW16" s="169"/>
      <c r="AX16" s="169"/>
      <c r="AY16" s="169"/>
      <c r="AZ16" s="169"/>
      <c r="BA16" s="169"/>
      <c r="BB16" s="169"/>
      <c r="BC16" s="169"/>
      <c r="BD16" s="169"/>
      <c r="BE16" s="169"/>
      <c r="BF16" s="169"/>
      <c r="BG16" s="169"/>
      <c r="BH16" s="169"/>
      <c r="BI16" s="169"/>
      <c r="BJ16" s="169"/>
      <c r="BK16" s="169"/>
      <c r="BL16" s="169"/>
      <c r="BM16" s="169"/>
      <c r="BN16" s="169"/>
      <c r="BO16" s="169"/>
      <c r="BP16" s="169"/>
      <c r="BQ16" s="169"/>
      <c r="BR16" s="169"/>
      <c r="BS16" s="169"/>
      <c r="BT16" s="169"/>
    </row>
    <row r="17" spans="2:72" s="67" customFormat="1">
      <c r="B17" s="1023" t="s">
        <v>200</v>
      </c>
      <c r="C17" s="999"/>
      <c r="D17" s="998">
        <f>'Consolidated Profit and Loss'!D60</f>
        <v>-24768.333333333332</v>
      </c>
      <c r="E17" s="998">
        <f>'Consolidated Profit and Loss'!E60</f>
        <v>-24768.333333333332</v>
      </c>
      <c r="F17" s="998">
        <f>'Consolidated Profit and Loss'!F60</f>
        <v>-24768.333333333332</v>
      </c>
      <c r="G17" s="998">
        <f>'Consolidated Profit and Loss'!G60</f>
        <v>-24768.333333333332</v>
      </c>
      <c r="H17" s="998">
        <f>'Consolidated Profit and Loss'!H60</f>
        <v>-24768.333333333332</v>
      </c>
      <c r="I17" s="998">
        <f>'Consolidated Profit and Loss'!I60</f>
        <v>-24768.333333333332</v>
      </c>
      <c r="J17" s="998">
        <f>'Consolidated Profit and Loss'!J60</f>
        <v>-24768.333333333332</v>
      </c>
      <c r="K17" s="998">
        <f>'Consolidated Profit and Loss'!K60</f>
        <v>-24768.333333333332</v>
      </c>
      <c r="L17" s="998">
        <f>'Consolidated Profit and Loss'!L60</f>
        <v>-24768.333333333332</v>
      </c>
      <c r="M17" s="998">
        <f>'Consolidated Profit and Loss'!M60</f>
        <v>-24768.333333333332</v>
      </c>
      <c r="N17" s="998">
        <f>'Consolidated Profit and Loss'!N60</f>
        <v>-24768.333333333332</v>
      </c>
      <c r="O17" s="1044">
        <f>'Consolidated Profit and Loss'!O60</f>
        <v>-24768.333333333332</v>
      </c>
      <c r="P17" s="997">
        <f>'Consolidated Profit and Loss'!P60</f>
        <v>-27766.666666666668</v>
      </c>
      <c r="Q17" s="997">
        <f>'Consolidated Profit and Loss'!Q60</f>
        <v>-27766.666666666668</v>
      </c>
      <c r="R17" s="997">
        <f>'Consolidated Profit and Loss'!R60</f>
        <v>-27766.666666666668</v>
      </c>
      <c r="S17" s="997">
        <f>'Consolidated Profit and Loss'!S60</f>
        <v>-27766.666666666668</v>
      </c>
      <c r="T17" s="997">
        <f>'Consolidated Profit and Loss'!T60</f>
        <v>-27766.666666666668</v>
      </c>
      <c r="U17" s="997">
        <f>'Consolidated Profit and Loss'!U60</f>
        <v>-27766.666666666668</v>
      </c>
      <c r="V17" s="997">
        <f>'Consolidated Profit and Loss'!V60</f>
        <v>-27766.666666666668</v>
      </c>
      <c r="W17" s="997">
        <f>'Consolidated Profit and Loss'!W60</f>
        <v>-27766.666666666668</v>
      </c>
      <c r="X17" s="997">
        <f>'Consolidated Profit and Loss'!X60</f>
        <v>-27766.666666666668</v>
      </c>
      <c r="Y17" s="997">
        <f>'Consolidated Profit and Loss'!Y60</f>
        <v>-27766.666666666668</v>
      </c>
      <c r="Z17" s="997">
        <f>'Consolidated Profit and Loss'!Z60</f>
        <v>-27766.666666666668</v>
      </c>
      <c r="AA17" s="1044">
        <f>'Consolidated Profit and Loss'!AA60</f>
        <v>-27766.666666666668</v>
      </c>
      <c r="AB17" s="997">
        <f>'Consolidated Profit and Loss'!AB60</f>
        <v>-81861.666666666672</v>
      </c>
      <c r="AC17" s="997">
        <f>'Consolidated Profit and Loss'!AC60</f>
        <v>-81861.666666666672</v>
      </c>
      <c r="AD17" s="997">
        <f>'Consolidated Profit and Loss'!AD60</f>
        <v>-81861.666666666672</v>
      </c>
      <c r="AE17" s="997">
        <f>'Consolidated Profit and Loss'!AE60</f>
        <v>-81861.666666666672</v>
      </c>
      <c r="AF17" s="997">
        <f>'Consolidated Profit and Loss'!AF60</f>
        <v>-81861.666666666672</v>
      </c>
      <c r="AG17" s="997">
        <f>'Consolidated Profit and Loss'!AG60</f>
        <v>-81861.666666666672</v>
      </c>
      <c r="AH17" s="997">
        <f>'Consolidated Profit and Loss'!AH60</f>
        <v>-81861.666666666672</v>
      </c>
      <c r="AI17" s="997">
        <f>'Consolidated Profit and Loss'!AI60</f>
        <v>-81861.666666666672</v>
      </c>
      <c r="AJ17" s="997">
        <f>'Consolidated Profit and Loss'!AJ60</f>
        <v>-81861.666666666672</v>
      </c>
      <c r="AK17" s="997">
        <f>'Consolidated Profit and Loss'!AK60</f>
        <v>-81861.666666666672</v>
      </c>
      <c r="AL17" s="997">
        <f>'Consolidated Profit and Loss'!AL60</f>
        <v>-81861.666666666672</v>
      </c>
      <c r="AM17" s="997">
        <f>'Consolidated Profit and Loss'!AM60</f>
        <v>-81861.666666666672</v>
      </c>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row>
    <row r="18" spans="2:72" s="67" customFormat="1">
      <c r="B18" s="1023" t="s">
        <v>116</v>
      </c>
      <c r="C18" s="999"/>
      <c r="D18" s="998">
        <f>-D105</f>
        <v>-9479.1666666666661</v>
      </c>
      <c r="E18" s="998">
        <f t="shared" ref="E18:AM18" si="3">-E105</f>
        <v>-1979.1666666666667</v>
      </c>
      <c r="F18" s="998">
        <f t="shared" si="3"/>
        <v>-6504.166666666667</v>
      </c>
      <c r="G18" s="998">
        <f t="shared" si="3"/>
        <v>-9479.1666666666661</v>
      </c>
      <c r="H18" s="998">
        <f t="shared" si="3"/>
        <v>-1979.1666666666667</v>
      </c>
      <c r="I18" s="998">
        <f t="shared" si="3"/>
        <v>-6504.166666666667</v>
      </c>
      <c r="J18" s="998">
        <f t="shared" si="3"/>
        <v>-9479.1666666666661</v>
      </c>
      <c r="K18" s="998">
        <f t="shared" si="3"/>
        <v>-1979.1666666666667</v>
      </c>
      <c r="L18" s="998">
        <f t="shared" si="3"/>
        <v>-6504.166666666667</v>
      </c>
      <c r="M18" s="998">
        <f t="shared" si="3"/>
        <v>-9479.1666666666661</v>
      </c>
      <c r="N18" s="998">
        <f t="shared" si="3"/>
        <v>-1979.1666666666667</v>
      </c>
      <c r="O18" s="1044">
        <f t="shared" si="3"/>
        <v>-6504.166666666667</v>
      </c>
      <c r="P18" s="998">
        <f t="shared" si="3"/>
        <v>-9062.5000000000055</v>
      </c>
      <c r="Q18" s="997">
        <f t="shared" si="3"/>
        <v>-1562.5000000000061</v>
      </c>
      <c r="R18" s="997">
        <f t="shared" si="3"/>
        <v>-6987.5000000000064</v>
      </c>
      <c r="S18" s="997">
        <f t="shared" si="3"/>
        <v>-9062.5000000000055</v>
      </c>
      <c r="T18" s="997">
        <f t="shared" si="3"/>
        <v>-1562.5000000000061</v>
      </c>
      <c r="U18" s="997">
        <f t="shared" si="3"/>
        <v>-6987.5000000000064</v>
      </c>
      <c r="V18" s="997">
        <f t="shared" si="3"/>
        <v>-9062.5000000000055</v>
      </c>
      <c r="W18" s="997">
        <f t="shared" si="3"/>
        <v>-1562.5000000000061</v>
      </c>
      <c r="X18" s="997">
        <f t="shared" si="3"/>
        <v>-6987.5000000000064</v>
      </c>
      <c r="Y18" s="997">
        <f t="shared" si="3"/>
        <v>-9062.5000000000055</v>
      </c>
      <c r="Z18" s="997">
        <f t="shared" si="3"/>
        <v>-1562.5000000000061</v>
      </c>
      <c r="AA18" s="1044">
        <f t="shared" si="3"/>
        <v>-6987.5000000000064</v>
      </c>
      <c r="AB18" s="998">
        <f t="shared" si="3"/>
        <v>-10545.833333333328</v>
      </c>
      <c r="AC18" s="997">
        <f t="shared" si="3"/>
        <v>-2220.8333333333285</v>
      </c>
      <c r="AD18" s="997">
        <f t="shared" si="3"/>
        <v>-8910.8333333333285</v>
      </c>
      <c r="AE18" s="997">
        <f t="shared" si="3"/>
        <v>-10545.833333333328</v>
      </c>
      <c r="AF18" s="997">
        <f t="shared" si="3"/>
        <v>-2220.8333333333285</v>
      </c>
      <c r="AG18" s="997">
        <f t="shared" si="3"/>
        <v>-8910.8333333333285</v>
      </c>
      <c r="AH18" s="997">
        <f t="shared" si="3"/>
        <v>-10545.833333333328</v>
      </c>
      <c r="AI18" s="997">
        <f t="shared" si="3"/>
        <v>-2220.8333333333285</v>
      </c>
      <c r="AJ18" s="997">
        <f t="shared" si="3"/>
        <v>-8910.8333333333285</v>
      </c>
      <c r="AK18" s="997">
        <f t="shared" si="3"/>
        <v>-10545.833333333328</v>
      </c>
      <c r="AL18" s="997">
        <f t="shared" si="3"/>
        <v>-2220.8333333333285</v>
      </c>
      <c r="AM18" s="997">
        <f t="shared" si="3"/>
        <v>-8910.8333333333285</v>
      </c>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row>
    <row r="19" spans="2:72" s="67" customFormat="1">
      <c r="B19" s="1023" t="s">
        <v>201</v>
      </c>
      <c r="C19" s="999"/>
      <c r="D19" s="998">
        <f>-D112</f>
        <v>0</v>
      </c>
      <c r="E19" s="998">
        <f t="shared" ref="E19:AM19" si="4">-E112</f>
        <v>0</v>
      </c>
      <c r="F19" s="998">
        <f t="shared" si="4"/>
        <v>-4439.0399999999972</v>
      </c>
      <c r="G19" s="998">
        <f t="shared" si="4"/>
        <v>0</v>
      </c>
      <c r="H19" s="998">
        <f t="shared" si="4"/>
        <v>0</v>
      </c>
      <c r="I19" s="998">
        <f t="shared" si="4"/>
        <v>-12673.02</v>
      </c>
      <c r="J19" s="998">
        <f t="shared" si="4"/>
        <v>0</v>
      </c>
      <c r="K19" s="998">
        <f t="shared" si="4"/>
        <v>0</v>
      </c>
      <c r="L19" s="998">
        <f t="shared" si="4"/>
        <v>-17693.503000000001</v>
      </c>
      <c r="M19" s="998">
        <f t="shared" si="4"/>
        <v>0</v>
      </c>
      <c r="N19" s="998">
        <f t="shared" si="4"/>
        <v>0</v>
      </c>
      <c r="O19" s="1044">
        <f t="shared" si="4"/>
        <v>-15298.125399999997</v>
      </c>
      <c r="P19" s="998">
        <f t="shared" si="4"/>
        <v>0</v>
      </c>
      <c r="Q19" s="997">
        <f t="shared" si="4"/>
        <v>0</v>
      </c>
      <c r="R19" s="997">
        <f t="shared" si="4"/>
        <v>-34314.372800000005</v>
      </c>
      <c r="S19" s="997">
        <f t="shared" si="4"/>
        <v>0</v>
      </c>
      <c r="T19" s="997">
        <f t="shared" si="4"/>
        <v>0</v>
      </c>
      <c r="U19" s="997">
        <f t="shared" si="4"/>
        <v>-44686.814800000007</v>
      </c>
      <c r="V19" s="997">
        <f t="shared" si="4"/>
        <v>0</v>
      </c>
      <c r="W19" s="997">
        <f t="shared" si="4"/>
        <v>0</v>
      </c>
      <c r="X19" s="997">
        <f t="shared" si="4"/>
        <v>-67730.40426000001</v>
      </c>
      <c r="Y19" s="997">
        <f t="shared" si="4"/>
        <v>0</v>
      </c>
      <c r="Z19" s="997">
        <f t="shared" si="4"/>
        <v>0</v>
      </c>
      <c r="AA19" s="1044">
        <f t="shared" si="4"/>
        <v>-73942.654240000003</v>
      </c>
      <c r="AB19" s="998">
        <f t="shared" si="4"/>
        <v>0</v>
      </c>
      <c r="AC19" s="997">
        <f t="shared" si="4"/>
        <v>0</v>
      </c>
      <c r="AD19" s="997">
        <f t="shared" si="4"/>
        <v>-113483.575132</v>
      </c>
      <c r="AE19" s="997">
        <f t="shared" si="4"/>
        <v>0</v>
      </c>
      <c r="AF19" s="997">
        <f t="shared" si="4"/>
        <v>0</v>
      </c>
      <c r="AG19" s="997">
        <f t="shared" si="4"/>
        <v>-148420.05406399997</v>
      </c>
      <c r="AH19" s="997">
        <f t="shared" si="4"/>
        <v>0</v>
      </c>
      <c r="AI19" s="997">
        <f t="shared" si="4"/>
        <v>0</v>
      </c>
      <c r="AJ19" s="997">
        <f t="shared" si="4"/>
        <v>-219362.51381060004</v>
      </c>
      <c r="AK19" s="997">
        <f t="shared" si="4"/>
        <v>0</v>
      </c>
      <c r="AL19" s="997">
        <f t="shared" si="4"/>
        <v>0</v>
      </c>
      <c r="AM19" s="997">
        <f t="shared" si="4"/>
        <v>-144745.99516691995</v>
      </c>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row>
    <row r="20" spans="2:72">
      <c r="B20" s="1023" t="s">
        <v>202</v>
      </c>
      <c r="C20" s="995"/>
      <c r="D20" s="995">
        <f>'Profit &amp; Loss Ecommerce'!D115</f>
        <v>-2083.333333333333</v>
      </c>
      <c r="E20" s="995">
        <f>'Profit &amp; Loss Ecommerce'!E115</f>
        <v>-2052.6988187971992</v>
      </c>
      <c r="F20" s="995">
        <f>'Profit &amp; Loss Ecommerce'!F115</f>
        <v>-2021.9366604504983</v>
      </c>
      <c r="G20" s="995">
        <f>'Profit &amp; Loss Ecommerce'!G115</f>
        <v>-1991.0463264440191</v>
      </c>
      <c r="H20" s="995">
        <f>'Profit &amp; Loss Ecommerce'!H115</f>
        <v>-1960.0272827125132</v>
      </c>
      <c r="I20" s="995">
        <f>'Profit &amp; Loss Ecommerce'!I115</f>
        <v>-1928.8789929654588</v>
      </c>
      <c r="J20" s="995">
        <f>'Profit &amp; Loss Ecommerce'!J115</f>
        <v>-1897.6009186777922</v>
      </c>
      <c r="K20" s="995">
        <f>'Profit &amp; Loss Ecommerce'!K115</f>
        <v>-1866.1925190805937</v>
      </c>
      <c r="L20" s="995">
        <f>'Profit &amp; Loss Ecommerce'!L115</f>
        <v>-1834.6532511517401</v>
      </c>
      <c r="M20" s="995">
        <f>'Profit &amp; Loss Ecommerce'!M115</f>
        <v>-1802.9825696065161</v>
      </c>
      <c r="N20" s="995">
        <f>'Profit &amp; Loss Ecommerce'!N115</f>
        <v>-1771.1799268881875</v>
      </c>
      <c r="O20" s="1043">
        <f>'Profit &amp; Loss Ecommerce'!O115</f>
        <v>-1739.2447731585316</v>
      </c>
      <c r="P20" s="995">
        <f>'Profit &amp; Loss Ecommerce'!P115</f>
        <v>-1707.1765562883363</v>
      </c>
      <c r="Q20" s="995">
        <f>'Profit &amp; Loss Ecommerce'!Q115</f>
        <v>-1674.9747218478483</v>
      </c>
      <c r="R20" s="995">
        <f>'Profit &amp; Loss Ecommerce'!R115</f>
        <v>-1642.6387130971918</v>
      </c>
      <c r="S20" s="995">
        <f>'Profit &amp; Loss Ecommerce'!S115</f>
        <v>-1610.1679709767404</v>
      </c>
      <c r="T20" s="995">
        <f>'Profit &amp; Loss Ecommerce'!T115</f>
        <v>-1577.5619340974542</v>
      </c>
      <c r="U20" s="995">
        <f>'Profit &amp; Loss Ecommerce'!U115</f>
        <v>-1544.8200387311706</v>
      </c>
      <c r="V20" s="995">
        <f>'Profit &amp; Loss Ecommerce'!V115</f>
        <v>-1511.9417188008611</v>
      </c>
      <c r="W20" s="995">
        <f>'Profit &amp; Loss Ecommerce'!W115</f>
        <v>-1478.9264058708422</v>
      </c>
      <c r="X20" s="995">
        <f>'Profit &amp; Loss Ecommerce'!X115</f>
        <v>-1445.7735291369474</v>
      </c>
      <c r="Y20" s="995">
        <f>'Profit &amp; Loss Ecommerce'!Y115</f>
        <v>-1412.4825154166622</v>
      </c>
      <c r="Z20" s="995">
        <f>'Profit &amp; Loss Ecommerce'!Z115</f>
        <v>-1379.0527891392089</v>
      </c>
      <c r="AA20" s="1043">
        <f>'Profit &amp; Loss Ecommerce'!AA115</f>
        <v>-1345.4837723355995</v>
      </c>
      <c r="AB20" s="995">
        <f>'Profit &amp; Loss Ecommerce'!AB115</f>
        <v>-1311.7748846286415</v>
      </c>
      <c r="AC20" s="995">
        <f>'Profit &amp; Loss Ecommerce'!AC115</f>
        <v>-1277.9255432229049</v>
      </c>
      <c r="AD20" s="995">
        <f>'Profit &amp; Loss Ecommerce'!AD115</f>
        <v>-1243.9351628946442</v>
      </c>
      <c r="AE20" s="995">
        <f>'Profit &amp; Loss Ecommerce'!AE115</f>
        <v>-1209.8031559816823</v>
      </c>
      <c r="AF20" s="995">
        <f>'Profit &amp; Loss Ecommerce'!AF115</f>
        <v>-1175.52893237325</v>
      </c>
      <c r="AG20" s="995">
        <f>'Profit &amp; Loss Ecommerce'!AG115</f>
        <v>-1141.1118994997826</v>
      </c>
      <c r="AH20" s="995">
        <f>'Profit &amp; Loss Ecommerce'!AH115</f>
        <v>-1106.5514623226754</v>
      </c>
      <c r="AI20" s="995">
        <f>'Profit &amp; Loss Ecommerce'!AI115</f>
        <v>-1071.8470233239973</v>
      </c>
      <c r="AJ20" s="995">
        <f>'Profit &amp; Loss Ecommerce'!AJ115</f>
        <v>-1036.9979824961579</v>
      </c>
      <c r="AK20" s="995">
        <f>'Profit &amp; Loss Ecommerce'!AK115</f>
        <v>-1002.0037373315357</v>
      </c>
      <c r="AL20" s="995">
        <f>'Profit &amp; Loss Ecommerce'!AL115</f>
        <v>-966.8636828120608</v>
      </c>
      <c r="AM20" s="995">
        <f>'Profit &amp; Loss Ecommerce'!AM115</f>
        <v>-931.57721139875525</v>
      </c>
    </row>
    <row r="21" spans="2:72">
      <c r="B21" s="1023" t="s">
        <v>203</v>
      </c>
      <c r="C21" s="995"/>
      <c r="D21" s="995">
        <f>-D121</f>
        <v>0</v>
      </c>
      <c r="E21" s="995">
        <f t="shared" ref="E21:AM21" si="5">-E121</f>
        <v>0</v>
      </c>
      <c r="F21" s="995">
        <f t="shared" si="5"/>
        <v>0</v>
      </c>
      <c r="G21" s="995">
        <f t="shared" si="5"/>
        <v>0</v>
      </c>
      <c r="H21" s="995">
        <f t="shared" si="5"/>
        <v>0</v>
      </c>
      <c r="I21" s="995">
        <f t="shared" si="5"/>
        <v>0</v>
      </c>
      <c r="J21" s="995">
        <f t="shared" si="5"/>
        <v>0</v>
      </c>
      <c r="K21" s="995">
        <f t="shared" si="5"/>
        <v>0</v>
      </c>
      <c r="L21" s="995">
        <f t="shared" si="5"/>
        <v>0</v>
      </c>
      <c r="M21" s="995">
        <f t="shared" si="5"/>
        <v>0</v>
      </c>
      <c r="N21" s="995">
        <f t="shared" si="5"/>
        <v>0</v>
      </c>
      <c r="O21" s="1043">
        <f t="shared" si="5"/>
        <v>0</v>
      </c>
      <c r="P21" s="995">
        <f t="shared" si="5"/>
        <v>0</v>
      </c>
      <c r="Q21" s="995">
        <f t="shared" si="5"/>
        <v>0</v>
      </c>
      <c r="R21" s="995">
        <f t="shared" si="5"/>
        <v>0</v>
      </c>
      <c r="S21" s="995">
        <f t="shared" si="5"/>
        <v>0</v>
      </c>
      <c r="T21" s="995">
        <f t="shared" si="5"/>
        <v>0</v>
      </c>
      <c r="U21" s="995">
        <f t="shared" si="5"/>
        <v>0</v>
      </c>
      <c r="V21" s="995">
        <f t="shared" si="5"/>
        <v>0</v>
      </c>
      <c r="W21" s="995">
        <f t="shared" si="5"/>
        <v>0</v>
      </c>
      <c r="X21" s="995">
        <f ca="1">-X121</f>
        <v>0</v>
      </c>
      <c r="Y21" s="995">
        <f t="shared" si="5"/>
        <v>0</v>
      </c>
      <c r="Z21" s="995">
        <f t="shared" si="5"/>
        <v>0</v>
      </c>
      <c r="AA21" s="1043">
        <f t="shared" si="5"/>
        <v>0</v>
      </c>
      <c r="AB21" s="995">
        <f t="shared" si="5"/>
        <v>0</v>
      </c>
      <c r="AC21" s="995">
        <f t="shared" si="5"/>
        <v>0</v>
      </c>
      <c r="AD21" s="995">
        <f t="shared" si="5"/>
        <v>0</v>
      </c>
      <c r="AE21" s="995">
        <f t="shared" si="5"/>
        <v>0</v>
      </c>
      <c r="AF21" s="995">
        <f t="shared" si="5"/>
        <v>0</v>
      </c>
      <c r="AG21" s="995">
        <f t="shared" si="5"/>
        <v>0</v>
      </c>
      <c r="AH21" s="995">
        <f t="shared" si="5"/>
        <v>0</v>
      </c>
      <c r="AI21" s="995">
        <f t="shared" si="5"/>
        <v>0</v>
      </c>
      <c r="AJ21" s="995">
        <f ca="1">-AJ121</f>
        <v>-217408.81911524865</v>
      </c>
      <c r="AK21" s="995">
        <f t="shared" si="5"/>
        <v>0</v>
      </c>
      <c r="AL21" s="995">
        <f t="shared" si="5"/>
        <v>0</v>
      </c>
      <c r="AM21" s="995">
        <f t="shared" si="5"/>
        <v>0</v>
      </c>
    </row>
    <row r="22" spans="2:72">
      <c r="B22" s="1012"/>
      <c r="C22" s="995"/>
      <c r="D22" s="1000">
        <f>SUM(D16:D21)</f>
        <v>-36330.833333333336</v>
      </c>
      <c r="E22" s="1000">
        <f t="shared" ref="E22:AM22" si="6">SUM(E16:E21)</f>
        <v>-49586.598818797203</v>
      </c>
      <c r="F22" s="1000">
        <f t="shared" si="6"/>
        <v>-85896.436660450505</v>
      </c>
      <c r="G22" s="1000">
        <f t="shared" si="6"/>
        <v>-50574.94632644402</v>
      </c>
      <c r="H22" s="1000">
        <f t="shared" si="6"/>
        <v>-56172.887282712509</v>
      </c>
      <c r="I22" s="1000">
        <f t="shared" si="6"/>
        <v>-69257.598992965461</v>
      </c>
      <c r="J22" s="1000">
        <f t="shared" si="6"/>
        <v>-68128.820918677797</v>
      </c>
      <c r="K22" s="1000">
        <f t="shared" si="6"/>
        <v>-61454.57251908059</v>
      </c>
      <c r="L22" s="1000">
        <f t="shared" si="6"/>
        <v>-86527.878251151749</v>
      </c>
      <c r="M22" s="1000">
        <f t="shared" si="6"/>
        <v>-67492.762569606493</v>
      </c>
      <c r="N22" s="1000">
        <f t="shared" si="6"/>
        <v>-56330.719926888189</v>
      </c>
      <c r="O22" s="1045">
        <f t="shared" si="6"/>
        <v>-111132.11177315853</v>
      </c>
      <c r="P22" s="1000">
        <f t="shared" si="6"/>
        <v>-109820.42922295502</v>
      </c>
      <c r="Q22" s="1000">
        <f t="shared" si="6"/>
        <v>-70048.615788514508</v>
      </c>
      <c r="R22" s="1000">
        <f t="shared" si="6"/>
        <v>-145932.56497976388</v>
      </c>
      <c r="S22" s="1000">
        <f t="shared" si="6"/>
        <v>-198346.87663764335</v>
      </c>
      <c r="T22" s="1000">
        <f t="shared" si="6"/>
        <v>-200969.87660076417</v>
      </c>
      <c r="U22" s="1000">
        <f t="shared" si="6"/>
        <v>-254808.04190539787</v>
      </c>
      <c r="V22" s="1000">
        <f t="shared" si="6"/>
        <v>-200033.15118546746</v>
      </c>
      <c r="W22" s="1000">
        <f t="shared" si="6"/>
        <v>-203227.72787253748</v>
      </c>
      <c r="X22" s="1000">
        <f t="shared" ca="1" si="6"/>
        <v>-275359.24929580366</v>
      </c>
      <c r="Y22" s="1000">
        <f t="shared" si="6"/>
        <v>-217812.9239820833</v>
      </c>
      <c r="Z22" s="1000">
        <f t="shared" si="6"/>
        <v>-224819.83185580591</v>
      </c>
      <c r="AA22" s="1045">
        <f t="shared" si="6"/>
        <v>-332640.61507900222</v>
      </c>
      <c r="AB22" s="1000">
        <f t="shared" si="6"/>
        <v>-361511.10664462863</v>
      </c>
      <c r="AC22" s="1000">
        <f t="shared" si="6"/>
        <v>-301120.63033522299</v>
      </c>
      <c r="AD22" s="1000">
        <f t="shared" si="6"/>
        <v>-417657.66587889462</v>
      </c>
      <c r="AE22" s="1000">
        <f t="shared" si="6"/>
        <v>-485929.06878798176</v>
      </c>
      <c r="AF22" s="1000">
        <f t="shared" si="6"/>
        <v>-416887.0506763733</v>
      </c>
      <c r="AG22" s="1000">
        <f t="shared" si="6"/>
        <v>-543474.83835549979</v>
      </c>
      <c r="AH22" s="1000">
        <f t="shared" si="6"/>
        <v>-552524.64974232274</v>
      </c>
      <c r="AI22" s="1000">
        <f t="shared" si="6"/>
        <v>-566377.96760732401</v>
      </c>
      <c r="AJ22" s="1000">
        <f t="shared" ca="1" si="6"/>
        <v>-944631.4464287447</v>
      </c>
      <c r="AK22" s="1000">
        <f t="shared" si="6"/>
        <v>-403822.24844933156</v>
      </c>
      <c r="AL22" s="1000">
        <f t="shared" si="6"/>
        <v>-508322.67486681207</v>
      </c>
      <c r="AM22" s="1000">
        <f t="shared" si="6"/>
        <v>-1102324.8442611985</v>
      </c>
    </row>
    <row r="23" spans="2:72">
      <c r="B23" s="1012"/>
      <c r="C23" s="995"/>
      <c r="D23" s="995"/>
      <c r="E23" s="995"/>
      <c r="F23" s="995"/>
      <c r="G23" s="995"/>
      <c r="H23" s="995"/>
      <c r="I23" s="995"/>
      <c r="J23" s="995"/>
      <c r="K23" s="995"/>
      <c r="L23" s="995"/>
      <c r="M23" s="995"/>
      <c r="N23" s="995"/>
      <c r="O23" s="1043"/>
      <c r="P23" s="995"/>
      <c r="Q23" s="995"/>
      <c r="R23" s="995"/>
      <c r="S23" s="995"/>
      <c r="T23" s="995"/>
      <c r="U23" s="995"/>
      <c r="V23" s="995"/>
      <c r="W23" s="995"/>
      <c r="X23" s="995"/>
      <c r="Y23" s="995"/>
      <c r="Z23" s="995"/>
      <c r="AA23" s="1043"/>
      <c r="AB23" s="995"/>
      <c r="AC23" s="995"/>
      <c r="AD23" s="995"/>
      <c r="AE23" s="995"/>
      <c r="AF23" s="995"/>
      <c r="AG23" s="995"/>
      <c r="AH23" s="995"/>
      <c r="AI23" s="995"/>
      <c r="AJ23" s="995"/>
      <c r="AK23" s="995"/>
      <c r="AL23" s="995"/>
      <c r="AM23" s="995"/>
    </row>
    <row r="24" spans="2:72" ht="16.2" thickBot="1">
      <c r="B24" s="1024" t="s">
        <v>124</v>
      </c>
      <c r="C24" s="995"/>
      <c r="D24" s="1001">
        <f>D13+D22</f>
        <v>-36330.833333333336</v>
      </c>
      <c r="E24" s="1001">
        <f t="shared" ref="E24:AM24" si="7">E13+E22</f>
        <v>-18660.198818797202</v>
      </c>
      <c r="F24" s="1001">
        <f t="shared" si="7"/>
        <v>-50426.836660450506</v>
      </c>
      <c r="G24" s="1001">
        <f t="shared" si="7"/>
        <v>-7050.9463264440201</v>
      </c>
      <c r="H24" s="1001">
        <f t="shared" si="7"/>
        <v>-10376.087282712506</v>
      </c>
      <c r="I24" s="1001">
        <f t="shared" si="7"/>
        <v>-15557.598992965461</v>
      </c>
      <c r="J24" s="1001">
        <f t="shared" si="7"/>
        <v>-8755.2209186777982</v>
      </c>
      <c r="K24" s="1001">
        <f t="shared" si="7"/>
        <v>4835.8274809194045</v>
      </c>
      <c r="L24" s="1001">
        <f t="shared" si="7"/>
        <v>-18452.478251151755</v>
      </c>
      <c r="M24" s="1001">
        <f t="shared" si="7"/>
        <v>4312.8374303935125</v>
      </c>
      <c r="N24" s="1001">
        <f t="shared" si="7"/>
        <v>21129.280073111811</v>
      </c>
      <c r="O24" s="1046">
        <f t="shared" si="7"/>
        <v>-26999.391773158524</v>
      </c>
      <c r="P24" s="1001">
        <f t="shared" si="7"/>
        <v>-17706.029222955025</v>
      </c>
      <c r="Q24" s="1001">
        <f t="shared" si="7"/>
        <v>54219.544211485496</v>
      </c>
      <c r="R24" s="1001">
        <f t="shared" si="7"/>
        <v>10276.115020236117</v>
      </c>
      <c r="S24" s="1001">
        <f t="shared" si="7"/>
        <v>1235.9233623566397</v>
      </c>
      <c r="T24" s="1001">
        <f t="shared" si="7"/>
        <v>37398.243399235827</v>
      </c>
      <c r="U24" s="1001">
        <f t="shared" si="7"/>
        <v>2466.1980946021504</v>
      </c>
      <c r="V24" s="1001">
        <f t="shared" si="7"/>
        <v>78022.808814532502</v>
      </c>
      <c r="W24" s="1001">
        <f t="shared" si="7"/>
        <v>94738.752127462503</v>
      </c>
      <c r="X24" s="1001">
        <f t="shared" ca="1" si="7"/>
        <v>23726.830704196356</v>
      </c>
      <c r="Y24" s="1001">
        <f t="shared" si="7"/>
        <v>114936.75601791675</v>
      </c>
      <c r="Z24" s="1001">
        <f t="shared" si="7"/>
        <v>133537.96814419408</v>
      </c>
      <c r="AA24" s="1046">
        <f t="shared" si="7"/>
        <v>53271.704920997727</v>
      </c>
      <c r="AB24" s="1001">
        <f>AB13+AB22</f>
        <v>22376.45335537137</v>
      </c>
      <c r="AC24" s="1001">
        <f t="shared" si="7"/>
        <v>145139.04166477709</v>
      </c>
      <c r="AD24" s="1001">
        <f t="shared" si="7"/>
        <v>72958.1005211054</v>
      </c>
      <c r="AE24" s="1001">
        <f t="shared" si="7"/>
        <v>78326.569612018298</v>
      </c>
      <c r="AF24" s="1001">
        <f t="shared" si="7"/>
        <v>172569.22132362681</v>
      </c>
      <c r="AG24" s="1001">
        <f t="shared" si="7"/>
        <v>106547.23124450026</v>
      </c>
      <c r="AH24" s="1001">
        <f t="shared" si="7"/>
        <v>192298.12545767718</v>
      </c>
      <c r="AI24" s="1001">
        <f t="shared" si="7"/>
        <v>245898.98007267597</v>
      </c>
      <c r="AJ24" s="1001">
        <f t="shared" ca="1" si="7"/>
        <v>-100976.21762874478</v>
      </c>
      <c r="AK24" s="1001">
        <f t="shared" si="7"/>
        <v>464107.63875066844</v>
      </c>
      <c r="AL24" s="1001">
        <f t="shared" si="7"/>
        <v>447535.70753318793</v>
      </c>
      <c r="AM24" s="1001">
        <f t="shared" si="7"/>
        <v>-83854.587893198594</v>
      </c>
    </row>
    <row r="25" spans="2:72" ht="16.2" thickTop="1"/>
    <row r="27" spans="2:72" s="149" customFormat="1">
      <c r="B27" s="180" t="s">
        <v>125</v>
      </c>
      <c r="D27" s="158"/>
      <c r="E27" s="158"/>
      <c r="F27" s="158"/>
      <c r="G27" s="158"/>
      <c r="H27" s="158"/>
      <c r="I27" s="158"/>
      <c r="J27" s="158"/>
      <c r="K27" s="158"/>
      <c r="L27" s="158"/>
      <c r="M27" s="158"/>
      <c r="N27" s="158"/>
      <c r="O27" s="1041"/>
      <c r="P27" s="158"/>
      <c r="AA27" s="1041"/>
      <c r="AB27" s="158"/>
      <c r="AN27" s="169"/>
      <c r="AO27" s="169"/>
      <c r="AP27" s="169"/>
      <c r="AQ27" s="169"/>
      <c r="AR27" s="169"/>
      <c r="AS27" s="169"/>
      <c r="AT27" s="169"/>
      <c r="AU27" s="169"/>
      <c r="AV27" s="169"/>
      <c r="AW27" s="169"/>
      <c r="AX27" s="169"/>
      <c r="AY27" s="169"/>
      <c r="AZ27" s="169"/>
      <c r="BA27" s="169"/>
      <c r="BB27" s="169"/>
      <c r="BC27" s="169"/>
      <c r="BD27" s="169"/>
      <c r="BE27" s="169"/>
      <c r="BF27" s="169"/>
      <c r="BG27" s="169"/>
      <c r="BH27" s="169"/>
      <c r="BI27" s="169"/>
      <c r="BJ27" s="169"/>
      <c r="BK27" s="169"/>
      <c r="BL27" s="169"/>
      <c r="BM27" s="169"/>
      <c r="BN27" s="169"/>
      <c r="BO27" s="169"/>
      <c r="BP27" s="169"/>
      <c r="BQ27" s="169"/>
      <c r="BR27" s="169"/>
      <c r="BS27" s="169"/>
      <c r="BT27" s="169"/>
    </row>
    <row r="28" spans="2:72" ht="16.2" thickBot="1"/>
    <row r="29" spans="2:72" ht="16.2" thickTop="1">
      <c r="B29" s="1022" t="s">
        <v>34</v>
      </c>
    </row>
    <row r="30" spans="2:72">
      <c r="B30" s="1023" t="s">
        <v>204</v>
      </c>
      <c r="C30" s="995"/>
      <c r="D30" s="995">
        <v>0</v>
      </c>
      <c r="E30" s="995">
        <v>0</v>
      </c>
      <c r="F30" s="995">
        <v>0</v>
      </c>
      <c r="G30" s="995">
        <v>0</v>
      </c>
      <c r="H30" s="995">
        <v>0</v>
      </c>
      <c r="I30" s="995">
        <v>0</v>
      </c>
      <c r="J30" s="995">
        <v>0</v>
      </c>
      <c r="K30" s="995">
        <v>0</v>
      </c>
      <c r="L30" s="995">
        <v>0</v>
      </c>
      <c r="M30" s="995">
        <v>0</v>
      </c>
      <c r="N30" s="995">
        <v>0</v>
      </c>
      <c r="O30" s="1043">
        <v>0</v>
      </c>
      <c r="P30" s="995">
        <v>0</v>
      </c>
      <c r="Q30" s="995">
        <v>0</v>
      </c>
      <c r="R30" s="995">
        <v>0</v>
      </c>
      <c r="S30" s="995">
        <v>0</v>
      </c>
      <c r="T30" s="995">
        <v>0</v>
      </c>
      <c r="U30" s="995">
        <v>0</v>
      </c>
      <c r="V30" s="995">
        <v>0</v>
      </c>
      <c r="W30" s="995">
        <v>0</v>
      </c>
      <c r="X30" s="995">
        <v>0</v>
      </c>
      <c r="Y30" s="995">
        <v>0</v>
      </c>
      <c r="Z30" s="995">
        <v>0</v>
      </c>
      <c r="AA30" s="1043">
        <v>0</v>
      </c>
      <c r="AB30" s="995">
        <v>0</v>
      </c>
      <c r="AC30" s="995">
        <v>0</v>
      </c>
      <c r="AD30" s="995">
        <v>0</v>
      </c>
      <c r="AE30" s="995">
        <v>0</v>
      </c>
      <c r="AF30" s="995">
        <v>0</v>
      </c>
      <c r="AG30" s="995">
        <v>0</v>
      </c>
      <c r="AH30" s="995">
        <v>0</v>
      </c>
      <c r="AI30" s="995">
        <v>0</v>
      </c>
      <c r="AJ30" s="995">
        <v>0</v>
      </c>
      <c r="AK30" s="995">
        <v>0</v>
      </c>
      <c r="AL30" s="995">
        <v>0</v>
      </c>
      <c r="AM30" s="995">
        <v>0</v>
      </c>
    </row>
    <row r="31" spans="2:72" ht="16.2" thickBot="1">
      <c r="B31" s="1026" t="s">
        <v>205</v>
      </c>
      <c r="C31" s="995"/>
      <c r="D31" s="995">
        <f>-D113</f>
        <v>0</v>
      </c>
      <c r="E31" s="995">
        <f>-E113</f>
        <v>0</v>
      </c>
      <c r="F31" s="995">
        <f>-F113</f>
        <v>9960</v>
      </c>
      <c r="G31" s="995">
        <f t="shared" ref="G31:AM31" si="8">-G113</f>
        <v>0</v>
      </c>
      <c r="H31" s="995">
        <f t="shared" si="8"/>
        <v>0</v>
      </c>
      <c r="I31" s="995">
        <f t="shared" si="8"/>
        <v>0</v>
      </c>
      <c r="J31" s="995">
        <f t="shared" si="8"/>
        <v>0</v>
      </c>
      <c r="K31" s="995">
        <f t="shared" si="8"/>
        <v>0</v>
      </c>
      <c r="L31" s="995">
        <f t="shared" si="8"/>
        <v>0</v>
      </c>
      <c r="M31" s="995">
        <f t="shared" si="8"/>
        <v>0</v>
      </c>
      <c r="N31" s="995">
        <f t="shared" si="8"/>
        <v>0</v>
      </c>
      <c r="O31" s="1043">
        <f t="shared" si="8"/>
        <v>0</v>
      </c>
      <c r="P31" s="995">
        <f t="shared" si="8"/>
        <v>0</v>
      </c>
      <c r="Q31" s="995">
        <f t="shared" si="8"/>
        <v>0</v>
      </c>
      <c r="R31" s="995">
        <f t="shared" si="8"/>
        <v>8876</v>
      </c>
      <c r="S31" s="995">
        <f t="shared" si="8"/>
        <v>0</v>
      </c>
      <c r="T31" s="995">
        <f t="shared" si="8"/>
        <v>0</v>
      </c>
      <c r="U31" s="995">
        <f t="shared" si="8"/>
        <v>0</v>
      </c>
      <c r="V31" s="995">
        <f t="shared" si="8"/>
        <v>0</v>
      </c>
      <c r="W31" s="995">
        <f t="shared" si="8"/>
        <v>0</v>
      </c>
      <c r="X31" s="995">
        <f t="shared" si="8"/>
        <v>0</v>
      </c>
      <c r="Y31" s="995">
        <f t="shared" si="8"/>
        <v>0</v>
      </c>
      <c r="Z31" s="995">
        <f t="shared" si="8"/>
        <v>0</v>
      </c>
      <c r="AA31" s="1043">
        <f t="shared" si="8"/>
        <v>0</v>
      </c>
      <c r="AB31" s="995">
        <f t="shared" si="8"/>
        <v>0</v>
      </c>
      <c r="AC31" s="995">
        <f t="shared" si="8"/>
        <v>0</v>
      </c>
      <c r="AD31" s="995">
        <f t="shared" si="8"/>
        <v>96800</v>
      </c>
      <c r="AE31" s="995">
        <f t="shared" si="8"/>
        <v>0</v>
      </c>
      <c r="AF31" s="995">
        <f t="shared" si="8"/>
        <v>0</v>
      </c>
      <c r="AG31" s="995">
        <f t="shared" si="8"/>
        <v>0</v>
      </c>
      <c r="AH31" s="995">
        <f t="shared" si="8"/>
        <v>0</v>
      </c>
      <c r="AI31" s="995">
        <f t="shared" si="8"/>
        <v>0</v>
      </c>
      <c r="AJ31" s="995">
        <f t="shared" si="8"/>
        <v>0</v>
      </c>
      <c r="AK31" s="995">
        <f t="shared" si="8"/>
        <v>0</v>
      </c>
      <c r="AL31" s="995">
        <f t="shared" si="8"/>
        <v>0</v>
      </c>
      <c r="AM31" s="995">
        <f t="shared" si="8"/>
        <v>0</v>
      </c>
    </row>
    <row r="32" spans="2:72" ht="16.2" thickTop="1">
      <c r="B32" s="174"/>
      <c r="C32" s="995"/>
      <c r="D32" s="1000">
        <f t="shared" ref="D32:AM32" si="9">SUM(D30:D31)</f>
        <v>0</v>
      </c>
      <c r="E32" s="1000">
        <f t="shared" si="9"/>
        <v>0</v>
      </c>
      <c r="F32" s="1000">
        <f>SUM(F30:F31)</f>
        <v>9960</v>
      </c>
      <c r="G32" s="1000">
        <f t="shared" si="9"/>
        <v>0</v>
      </c>
      <c r="H32" s="1000">
        <f t="shared" si="9"/>
        <v>0</v>
      </c>
      <c r="I32" s="1000">
        <f t="shared" si="9"/>
        <v>0</v>
      </c>
      <c r="J32" s="1000">
        <f t="shared" si="9"/>
        <v>0</v>
      </c>
      <c r="K32" s="1000">
        <f t="shared" si="9"/>
        <v>0</v>
      </c>
      <c r="L32" s="1000">
        <f t="shared" si="9"/>
        <v>0</v>
      </c>
      <c r="M32" s="1000">
        <f t="shared" si="9"/>
        <v>0</v>
      </c>
      <c r="N32" s="1000">
        <f t="shared" si="9"/>
        <v>0</v>
      </c>
      <c r="O32" s="1045">
        <f t="shared" si="9"/>
        <v>0</v>
      </c>
      <c r="P32" s="1000">
        <f t="shared" si="9"/>
        <v>0</v>
      </c>
      <c r="Q32" s="1000">
        <f t="shared" si="9"/>
        <v>0</v>
      </c>
      <c r="R32" s="1000">
        <f t="shared" si="9"/>
        <v>8876</v>
      </c>
      <c r="S32" s="1000">
        <f t="shared" si="9"/>
        <v>0</v>
      </c>
      <c r="T32" s="1000">
        <f t="shared" si="9"/>
        <v>0</v>
      </c>
      <c r="U32" s="1000">
        <f t="shared" si="9"/>
        <v>0</v>
      </c>
      <c r="V32" s="1000">
        <f t="shared" si="9"/>
        <v>0</v>
      </c>
      <c r="W32" s="1000">
        <f t="shared" si="9"/>
        <v>0</v>
      </c>
      <c r="X32" s="1000">
        <f t="shared" si="9"/>
        <v>0</v>
      </c>
      <c r="Y32" s="1000">
        <f t="shared" si="9"/>
        <v>0</v>
      </c>
      <c r="Z32" s="1000">
        <f t="shared" si="9"/>
        <v>0</v>
      </c>
      <c r="AA32" s="1045">
        <f t="shared" si="9"/>
        <v>0</v>
      </c>
      <c r="AB32" s="1000">
        <f t="shared" si="9"/>
        <v>0</v>
      </c>
      <c r="AC32" s="1000">
        <f t="shared" si="9"/>
        <v>0</v>
      </c>
      <c r="AD32" s="1000">
        <f t="shared" si="9"/>
        <v>96800</v>
      </c>
      <c r="AE32" s="1000">
        <f t="shared" si="9"/>
        <v>0</v>
      </c>
      <c r="AF32" s="1000">
        <f t="shared" si="9"/>
        <v>0</v>
      </c>
      <c r="AG32" s="1000">
        <f t="shared" si="9"/>
        <v>0</v>
      </c>
      <c r="AH32" s="1000">
        <f t="shared" si="9"/>
        <v>0</v>
      </c>
      <c r="AI32" s="1000">
        <f t="shared" si="9"/>
        <v>0</v>
      </c>
      <c r="AJ32" s="1000">
        <f t="shared" si="9"/>
        <v>0</v>
      </c>
      <c r="AK32" s="1000">
        <f t="shared" si="9"/>
        <v>0</v>
      </c>
      <c r="AL32" s="1000">
        <f t="shared" si="9"/>
        <v>0</v>
      </c>
      <c r="AM32" s="1000">
        <f t="shared" si="9"/>
        <v>0</v>
      </c>
    </row>
    <row r="33" spans="2:72" ht="16.2" thickBot="1">
      <c r="B33" s="174"/>
    </row>
    <row r="34" spans="2:72" ht="16.2" thickTop="1">
      <c r="B34" s="1022" t="s">
        <v>35</v>
      </c>
    </row>
    <row r="35" spans="2:72">
      <c r="B35" s="1023" t="s">
        <v>206</v>
      </c>
      <c r="C35" s="995"/>
      <c r="D35" s="995">
        <f>-D143</f>
        <v>-9760</v>
      </c>
      <c r="E35" s="995">
        <f>-E143</f>
        <v>0</v>
      </c>
      <c r="F35" s="995">
        <f>-F143</f>
        <v>-50000</v>
      </c>
      <c r="G35" s="995">
        <f t="shared" ref="G35:AM35" si="10">-G143</f>
        <v>0</v>
      </c>
      <c r="H35" s="995">
        <f t="shared" si="10"/>
        <v>0</v>
      </c>
      <c r="I35" s="995">
        <f t="shared" si="10"/>
        <v>0</v>
      </c>
      <c r="J35" s="995">
        <f t="shared" si="10"/>
        <v>0</v>
      </c>
      <c r="K35" s="995">
        <f t="shared" si="10"/>
        <v>0</v>
      </c>
      <c r="L35" s="995">
        <f t="shared" si="10"/>
        <v>0</v>
      </c>
      <c r="M35" s="995">
        <f t="shared" si="10"/>
        <v>0</v>
      </c>
      <c r="N35" s="995">
        <f t="shared" si="10"/>
        <v>0</v>
      </c>
      <c r="O35" s="1043">
        <f t="shared" si="10"/>
        <v>0</v>
      </c>
      <c r="P35" s="995">
        <f t="shared" si="10"/>
        <v>-53256</v>
      </c>
      <c r="Q35" s="995">
        <f t="shared" si="10"/>
        <v>0</v>
      </c>
      <c r="R35" s="995">
        <f t="shared" si="10"/>
        <v>-53256</v>
      </c>
      <c r="S35" s="995">
        <f t="shared" si="10"/>
        <v>0</v>
      </c>
      <c r="T35" s="995">
        <f t="shared" si="10"/>
        <v>0</v>
      </c>
      <c r="U35" s="995">
        <f t="shared" si="10"/>
        <v>0</v>
      </c>
      <c r="V35" s="995">
        <f t="shared" si="10"/>
        <v>0</v>
      </c>
      <c r="W35" s="995">
        <f t="shared" si="10"/>
        <v>0</v>
      </c>
      <c r="X35" s="995">
        <f t="shared" si="10"/>
        <v>0</v>
      </c>
      <c r="Y35" s="995">
        <f t="shared" si="10"/>
        <v>0</v>
      </c>
      <c r="Z35" s="995">
        <f t="shared" si="10"/>
        <v>0</v>
      </c>
      <c r="AA35" s="1043">
        <f t="shared" si="10"/>
        <v>0</v>
      </c>
      <c r="AB35" s="995">
        <f>-AB143</f>
        <v>-276080</v>
      </c>
      <c r="AC35" s="995">
        <f t="shared" si="10"/>
        <v>0</v>
      </c>
      <c r="AD35" s="995">
        <f t="shared" si="10"/>
        <v>0</v>
      </c>
      <c r="AE35" s="995">
        <f t="shared" si="10"/>
        <v>-276080</v>
      </c>
      <c r="AF35" s="995">
        <f t="shared" si="10"/>
        <v>0</v>
      </c>
      <c r="AG35" s="995">
        <f t="shared" si="10"/>
        <v>0</v>
      </c>
      <c r="AH35" s="995">
        <f t="shared" si="10"/>
        <v>0</v>
      </c>
      <c r="AI35" s="995">
        <f t="shared" si="10"/>
        <v>0</v>
      </c>
      <c r="AJ35" s="995">
        <f t="shared" si="10"/>
        <v>0</v>
      </c>
      <c r="AK35" s="995">
        <f t="shared" si="10"/>
        <v>0</v>
      </c>
      <c r="AL35" s="995">
        <f t="shared" si="10"/>
        <v>0</v>
      </c>
      <c r="AM35" s="995">
        <f t="shared" si="10"/>
        <v>0</v>
      </c>
    </row>
    <row r="36" spans="2:72">
      <c r="B36" s="1012"/>
      <c r="C36" s="995"/>
      <c r="D36" s="995"/>
      <c r="E36" s="995"/>
      <c r="F36" s="995"/>
      <c r="G36" s="995"/>
      <c r="H36" s="995"/>
      <c r="I36" s="995"/>
      <c r="J36" s="995"/>
      <c r="K36" s="995"/>
      <c r="L36" s="995"/>
      <c r="M36" s="995"/>
      <c r="N36" s="995"/>
      <c r="O36" s="1043"/>
      <c r="P36" s="995"/>
      <c r="Q36" s="995"/>
      <c r="R36" s="995"/>
      <c r="S36" s="995"/>
      <c r="T36" s="995"/>
      <c r="U36" s="995"/>
      <c r="V36" s="995"/>
      <c r="W36" s="995"/>
      <c r="X36" s="995"/>
      <c r="Y36" s="995"/>
      <c r="Z36" s="995"/>
      <c r="AA36" s="1043"/>
      <c r="AB36" s="995"/>
      <c r="AC36" s="995"/>
      <c r="AD36" s="995"/>
      <c r="AE36" s="995"/>
      <c r="AF36" s="995"/>
      <c r="AG36" s="995"/>
      <c r="AH36" s="995"/>
      <c r="AI36" s="995"/>
      <c r="AJ36" s="995"/>
      <c r="AK36" s="995"/>
      <c r="AL36" s="995"/>
      <c r="AM36" s="995"/>
    </row>
    <row r="37" spans="2:72" ht="16.2" thickBot="1">
      <c r="B37" s="1024" t="s">
        <v>129</v>
      </c>
      <c r="C37" s="995"/>
      <c r="D37" s="1001">
        <f>D32+D35</f>
        <v>-9760</v>
      </c>
      <c r="E37" s="1001">
        <f t="shared" ref="E37:AM37" si="11">E32+E35</f>
        <v>0</v>
      </c>
      <c r="F37" s="1001">
        <f t="shared" si="11"/>
        <v>-40040</v>
      </c>
      <c r="G37" s="1001">
        <f t="shared" si="11"/>
        <v>0</v>
      </c>
      <c r="H37" s="1001">
        <f t="shared" si="11"/>
        <v>0</v>
      </c>
      <c r="I37" s="1001">
        <f t="shared" si="11"/>
        <v>0</v>
      </c>
      <c r="J37" s="1001">
        <f t="shared" si="11"/>
        <v>0</v>
      </c>
      <c r="K37" s="1001">
        <f t="shared" si="11"/>
        <v>0</v>
      </c>
      <c r="L37" s="1001">
        <f t="shared" si="11"/>
        <v>0</v>
      </c>
      <c r="M37" s="1001">
        <f t="shared" si="11"/>
        <v>0</v>
      </c>
      <c r="N37" s="1001">
        <f t="shared" si="11"/>
        <v>0</v>
      </c>
      <c r="O37" s="1046">
        <f t="shared" si="11"/>
        <v>0</v>
      </c>
      <c r="P37" s="1001">
        <f t="shared" si="11"/>
        <v>-53256</v>
      </c>
      <c r="Q37" s="1001">
        <f t="shared" si="11"/>
        <v>0</v>
      </c>
      <c r="R37" s="1001">
        <f t="shared" si="11"/>
        <v>-44380</v>
      </c>
      <c r="S37" s="1001">
        <f t="shared" si="11"/>
        <v>0</v>
      </c>
      <c r="T37" s="1001">
        <f t="shared" si="11"/>
        <v>0</v>
      </c>
      <c r="U37" s="1001">
        <f t="shared" si="11"/>
        <v>0</v>
      </c>
      <c r="V37" s="1001">
        <f t="shared" si="11"/>
        <v>0</v>
      </c>
      <c r="W37" s="1001">
        <f t="shared" si="11"/>
        <v>0</v>
      </c>
      <c r="X37" s="1001">
        <f t="shared" si="11"/>
        <v>0</v>
      </c>
      <c r="Y37" s="1001">
        <f t="shared" si="11"/>
        <v>0</v>
      </c>
      <c r="Z37" s="1001">
        <f t="shared" si="11"/>
        <v>0</v>
      </c>
      <c r="AA37" s="1046">
        <f t="shared" si="11"/>
        <v>0</v>
      </c>
      <c r="AB37" s="1001">
        <f t="shared" si="11"/>
        <v>-276080</v>
      </c>
      <c r="AC37" s="1001">
        <f t="shared" si="11"/>
        <v>0</v>
      </c>
      <c r="AD37" s="1001">
        <f t="shared" si="11"/>
        <v>96800</v>
      </c>
      <c r="AE37" s="1001">
        <f t="shared" si="11"/>
        <v>-276080</v>
      </c>
      <c r="AF37" s="1001">
        <f t="shared" si="11"/>
        <v>0</v>
      </c>
      <c r="AG37" s="1001">
        <f t="shared" si="11"/>
        <v>0</v>
      </c>
      <c r="AH37" s="1001">
        <f t="shared" si="11"/>
        <v>0</v>
      </c>
      <c r="AI37" s="1001">
        <f t="shared" si="11"/>
        <v>0</v>
      </c>
      <c r="AJ37" s="1001">
        <f t="shared" si="11"/>
        <v>0</v>
      </c>
      <c r="AK37" s="1001">
        <f t="shared" si="11"/>
        <v>0</v>
      </c>
      <c r="AL37" s="1001">
        <f t="shared" si="11"/>
        <v>0</v>
      </c>
      <c r="AM37" s="1001">
        <f t="shared" si="11"/>
        <v>0</v>
      </c>
    </row>
    <row r="38" spans="2:72" ht="16.2" thickTop="1"/>
    <row r="40" spans="2:72" s="149" customFormat="1">
      <c r="B40" s="180" t="s">
        <v>130</v>
      </c>
      <c r="D40" s="158"/>
      <c r="E40" s="158"/>
      <c r="F40" s="158"/>
      <c r="G40" s="158"/>
      <c r="H40" s="158"/>
      <c r="I40" s="158"/>
      <c r="J40" s="158"/>
      <c r="K40" s="158"/>
      <c r="L40" s="158"/>
      <c r="M40" s="158"/>
      <c r="N40" s="158"/>
      <c r="O40" s="1041"/>
      <c r="P40" s="158"/>
      <c r="AA40" s="1041"/>
      <c r="AB40" s="158"/>
      <c r="AN40" s="169"/>
      <c r="AO40" s="169"/>
      <c r="AP40" s="169"/>
      <c r="AQ40" s="169"/>
      <c r="AR40" s="169"/>
      <c r="AS40" s="169"/>
      <c r="AT40" s="169"/>
      <c r="AU40" s="169"/>
      <c r="AV40" s="169"/>
      <c r="AW40" s="169"/>
      <c r="AX40" s="169"/>
      <c r="AY40" s="169"/>
      <c r="AZ40" s="169"/>
      <c r="BA40" s="169"/>
      <c r="BB40" s="169"/>
      <c r="BC40" s="169"/>
      <c r="BD40" s="169"/>
      <c r="BE40" s="169"/>
      <c r="BF40" s="169"/>
      <c r="BG40" s="169"/>
      <c r="BH40" s="169"/>
      <c r="BI40" s="169"/>
      <c r="BJ40" s="169"/>
      <c r="BK40" s="169"/>
      <c r="BL40" s="169"/>
      <c r="BM40" s="169"/>
      <c r="BN40" s="169"/>
      <c r="BO40" s="169"/>
      <c r="BP40" s="169"/>
      <c r="BQ40" s="169"/>
      <c r="BR40" s="169"/>
      <c r="BS40" s="169"/>
      <c r="BT40" s="169"/>
    </row>
    <row r="41" spans="2:72" s="67" customFormat="1" ht="16.2" thickBot="1">
      <c r="D41" s="68"/>
      <c r="E41" s="68"/>
      <c r="F41" s="68"/>
      <c r="G41" s="68"/>
      <c r="H41" s="68"/>
      <c r="I41" s="68"/>
      <c r="J41" s="68"/>
      <c r="K41" s="68"/>
      <c r="L41" s="68"/>
      <c r="M41" s="68"/>
      <c r="N41" s="68"/>
      <c r="O41" s="1037"/>
      <c r="P41" s="71"/>
      <c r="Q41" s="72"/>
      <c r="R41" s="72"/>
      <c r="S41" s="72"/>
      <c r="T41" s="72"/>
      <c r="U41" s="72"/>
      <c r="V41" s="72"/>
      <c r="W41" s="72"/>
      <c r="X41" s="72"/>
      <c r="Y41" s="72"/>
      <c r="Z41" s="72"/>
      <c r="AA41" s="1058"/>
      <c r="AB41" s="71"/>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row>
    <row r="42" spans="2:72" s="67" customFormat="1" ht="16.2" thickTop="1">
      <c r="B42" s="1022" t="s">
        <v>34</v>
      </c>
      <c r="D42" s="68"/>
      <c r="E42" s="68"/>
      <c r="F42" s="68"/>
      <c r="G42" s="68"/>
      <c r="H42" s="68"/>
      <c r="I42" s="68"/>
      <c r="J42" s="68"/>
      <c r="K42" s="68"/>
      <c r="L42" s="68"/>
      <c r="M42" s="68"/>
      <c r="N42" s="68"/>
      <c r="O42" s="1037"/>
      <c r="P42" s="71"/>
      <c r="Q42" s="72"/>
      <c r="R42" s="72"/>
      <c r="S42" s="72"/>
      <c r="T42" s="72"/>
      <c r="U42" s="72"/>
      <c r="V42" s="72"/>
      <c r="W42" s="72"/>
      <c r="X42" s="72"/>
      <c r="Y42" s="72"/>
      <c r="Z42" s="72"/>
      <c r="AA42" s="1058"/>
      <c r="AB42" s="71"/>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row>
    <row r="43" spans="2:72" s="67" customFormat="1">
      <c r="B43" s="1025" t="s">
        <v>207</v>
      </c>
      <c r="C43" s="999"/>
      <c r="D43" s="1002">
        <f>'Profit &amp; Loss Ecommerce'!D70</f>
        <v>200000</v>
      </c>
      <c r="E43" s="1002"/>
      <c r="F43" s="1002"/>
      <c r="G43" s="1002"/>
      <c r="H43" s="1002"/>
      <c r="I43" s="1002"/>
      <c r="J43" s="1002"/>
      <c r="K43" s="1002"/>
      <c r="L43" s="1002"/>
      <c r="M43" s="1002"/>
      <c r="N43" s="1002"/>
      <c r="O43" s="1047"/>
      <c r="P43" s="1002"/>
      <c r="Q43" s="999"/>
      <c r="R43" s="999"/>
      <c r="S43" s="999"/>
      <c r="T43" s="999"/>
      <c r="U43" s="999"/>
      <c r="V43" s="999"/>
      <c r="W43" s="999"/>
      <c r="X43" s="999"/>
      <c r="Y43" s="999"/>
      <c r="Z43" s="999"/>
      <c r="AA43" s="1047"/>
      <c r="AB43" s="1002"/>
      <c r="AC43" s="999"/>
      <c r="AD43" s="999"/>
      <c r="AE43" s="999"/>
      <c r="AF43" s="999"/>
      <c r="AG43" s="999"/>
      <c r="AH43" s="999"/>
      <c r="AI43" s="999"/>
      <c r="AJ43" s="999"/>
      <c r="AK43" s="999"/>
      <c r="AL43" s="999"/>
      <c r="AM43" s="999"/>
      <c r="AN43" s="72"/>
      <c r="AO43" s="72"/>
      <c r="AP43" s="72"/>
      <c r="AQ43" s="72"/>
      <c r="AR43" s="72"/>
      <c r="AS43" s="72"/>
      <c r="AT43" s="72"/>
      <c r="AU43" s="72"/>
      <c r="AV43" s="72"/>
      <c r="AW43" s="72"/>
      <c r="AX43" s="72"/>
      <c r="AY43" s="72"/>
      <c r="AZ43" s="72"/>
      <c r="BA43" s="72"/>
      <c r="BB43" s="72"/>
      <c r="BC43" s="72"/>
      <c r="BD43" s="72"/>
      <c r="BE43" s="72"/>
      <c r="BF43" s="72"/>
      <c r="BG43" s="72"/>
      <c r="BH43" s="72"/>
      <c r="BI43" s="72"/>
      <c r="BJ43" s="72"/>
      <c r="BK43" s="72"/>
      <c r="BL43" s="72"/>
      <c r="BM43" s="72"/>
      <c r="BN43" s="72"/>
      <c r="BO43" s="72"/>
      <c r="BP43" s="72"/>
      <c r="BQ43" s="72"/>
      <c r="BR43" s="72"/>
      <c r="BS43" s="72"/>
      <c r="BT43" s="72"/>
    </row>
    <row r="44" spans="2:72" s="67" customFormat="1">
      <c r="B44" s="1025" t="s">
        <v>208</v>
      </c>
      <c r="C44" s="999"/>
      <c r="D44" s="1002">
        <f>D150</f>
        <v>40000</v>
      </c>
      <c r="E44" s="1002"/>
      <c r="F44" s="1002"/>
      <c r="G44" s="1002"/>
      <c r="H44" s="1002"/>
      <c r="I44" s="1002"/>
      <c r="J44" s="1002"/>
      <c r="K44" s="1002"/>
      <c r="L44" s="1002"/>
      <c r="M44" s="1002"/>
      <c r="N44" s="1002"/>
      <c r="O44" s="1047"/>
      <c r="P44" s="1002"/>
      <c r="Q44" s="999"/>
      <c r="R44" s="999"/>
      <c r="S44" s="999"/>
      <c r="T44" s="999"/>
      <c r="U44" s="999"/>
      <c r="V44" s="999"/>
      <c r="W44" s="999"/>
      <c r="X44" s="999"/>
      <c r="Y44" s="999"/>
      <c r="Z44" s="999"/>
      <c r="AA44" s="1047"/>
      <c r="AB44" s="1002"/>
      <c r="AC44" s="999"/>
      <c r="AD44" s="999"/>
      <c r="AE44" s="999"/>
      <c r="AF44" s="999"/>
      <c r="AG44" s="999"/>
      <c r="AH44" s="999"/>
      <c r="AI44" s="999"/>
      <c r="AJ44" s="999"/>
      <c r="AK44" s="999"/>
      <c r="AL44" s="999"/>
      <c r="AM44" s="999"/>
      <c r="AN44" s="72"/>
      <c r="AO44" s="72"/>
      <c r="AP44" s="72"/>
      <c r="AQ44" s="72"/>
      <c r="AR44" s="72"/>
      <c r="AS44" s="72"/>
      <c r="AT44" s="72"/>
      <c r="AU44" s="72"/>
      <c r="AV44" s="72"/>
      <c r="AW44" s="72"/>
      <c r="AX44" s="72"/>
      <c r="AY44" s="72"/>
      <c r="AZ44" s="72"/>
      <c r="BA44" s="72"/>
      <c r="BB44" s="72"/>
      <c r="BC44" s="72"/>
      <c r="BD44" s="72"/>
      <c r="BE44" s="72"/>
      <c r="BF44" s="72"/>
      <c r="BG44" s="72"/>
      <c r="BH44" s="72"/>
      <c r="BI44" s="72"/>
      <c r="BJ44" s="72"/>
      <c r="BK44" s="72"/>
      <c r="BL44" s="72"/>
      <c r="BM44" s="72"/>
      <c r="BN44" s="72"/>
      <c r="BO44" s="72"/>
      <c r="BP44" s="72"/>
      <c r="BQ44" s="72"/>
      <c r="BR44" s="72"/>
      <c r="BS44" s="72"/>
      <c r="BT44" s="72"/>
    </row>
    <row r="45" spans="2:72" s="67" customFormat="1" ht="16.2" thickBot="1">
      <c r="B45" s="1026" t="s">
        <v>209</v>
      </c>
      <c r="C45" s="999"/>
      <c r="D45" s="1002">
        <f>D146</f>
        <v>500000</v>
      </c>
      <c r="E45" s="1002"/>
      <c r="F45" s="1002"/>
      <c r="G45" s="1002"/>
      <c r="H45" s="1002"/>
      <c r="I45" s="1002"/>
      <c r="J45" s="1002"/>
      <c r="K45" s="1002"/>
      <c r="L45" s="1002"/>
      <c r="M45" s="1002"/>
      <c r="N45" s="1002"/>
      <c r="O45" s="1047"/>
      <c r="P45" s="1002"/>
      <c r="Q45" s="999"/>
      <c r="R45" s="999"/>
      <c r="S45" s="999"/>
      <c r="T45" s="999"/>
      <c r="U45" s="999"/>
      <c r="V45" s="999"/>
      <c r="W45" s="999"/>
      <c r="X45" s="999"/>
      <c r="Y45" s="999"/>
      <c r="Z45" s="999"/>
      <c r="AA45" s="1047"/>
      <c r="AB45" s="1002"/>
      <c r="AC45" s="999"/>
      <c r="AD45" s="999"/>
      <c r="AE45" s="999"/>
      <c r="AF45" s="999"/>
      <c r="AG45" s="999"/>
      <c r="AH45" s="999"/>
      <c r="AI45" s="999"/>
      <c r="AJ45" s="999"/>
      <c r="AK45" s="999"/>
      <c r="AL45" s="999"/>
      <c r="AM45" s="999"/>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c r="BT45" s="72"/>
    </row>
    <row r="46" spans="2:72" s="67" customFormat="1" ht="16.2" thickTop="1">
      <c r="B46" s="174"/>
      <c r="C46" s="999"/>
      <c r="D46" s="1003">
        <f t="shared" ref="D46:AM46" si="12">SUM(D43:D45)</f>
        <v>740000</v>
      </c>
      <c r="E46" s="1003">
        <f t="shared" si="12"/>
        <v>0</v>
      </c>
      <c r="F46" s="1003">
        <f t="shared" si="12"/>
        <v>0</v>
      </c>
      <c r="G46" s="1003">
        <f t="shared" si="12"/>
        <v>0</v>
      </c>
      <c r="H46" s="1003">
        <f t="shared" si="12"/>
        <v>0</v>
      </c>
      <c r="I46" s="1003">
        <f t="shared" si="12"/>
        <v>0</v>
      </c>
      <c r="J46" s="1003">
        <f t="shared" si="12"/>
        <v>0</v>
      </c>
      <c r="K46" s="1003">
        <f t="shared" si="12"/>
        <v>0</v>
      </c>
      <c r="L46" s="1003">
        <f t="shared" si="12"/>
        <v>0</v>
      </c>
      <c r="M46" s="1003">
        <f t="shared" si="12"/>
        <v>0</v>
      </c>
      <c r="N46" s="1003">
        <f t="shared" si="12"/>
        <v>0</v>
      </c>
      <c r="O46" s="1048">
        <f t="shared" si="12"/>
        <v>0</v>
      </c>
      <c r="P46" s="1003">
        <f t="shared" si="12"/>
        <v>0</v>
      </c>
      <c r="Q46" s="1003">
        <f t="shared" si="12"/>
        <v>0</v>
      </c>
      <c r="R46" s="1003">
        <f t="shared" si="12"/>
        <v>0</v>
      </c>
      <c r="S46" s="1003">
        <f t="shared" si="12"/>
        <v>0</v>
      </c>
      <c r="T46" s="1003">
        <f t="shared" si="12"/>
        <v>0</v>
      </c>
      <c r="U46" s="1003">
        <f t="shared" si="12"/>
        <v>0</v>
      </c>
      <c r="V46" s="1003">
        <f t="shared" si="12"/>
        <v>0</v>
      </c>
      <c r="W46" s="1003">
        <f t="shared" si="12"/>
        <v>0</v>
      </c>
      <c r="X46" s="1003">
        <f t="shared" si="12"/>
        <v>0</v>
      </c>
      <c r="Y46" s="1003">
        <f t="shared" si="12"/>
        <v>0</v>
      </c>
      <c r="Z46" s="1003">
        <f t="shared" si="12"/>
        <v>0</v>
      </c>
      <c r="AA46" s="1048">
        <f t="shared" si="12"/>
        <v>0</v>
      </c>
      <c r="AB46" s="1003">
        <f t="shared" si="12"/>
        <v>0</v>
      </c>
      <c r="AC46" s="1003">
        <f t="shared" si="12"/>
        <v>0</v>
      </c>
      <c r="AD46" s="1003">
        <f t="shared" si="12"/>
        <v>0</v>
      </c>
      <c r="AE46" s="1003">
        <f t="shared" si="12"/>
        <v>0</v>
      </c>
      <c r="AF46" s="1003">
        <f t="shared" si="12"/>
        <v>0</v>
      </c>
      <c r="AG46" s="1003">
        <f t="shared" si="12"/>
        <v>0</v>
      </c>
      <c r="AH46" s="1003">
        <f t="shared" si="12"/>
        <v>0</v>
      </c>
      <c r="AI46" s="1003">
        <f t="shared" si="12"/>
        <v>0</v>
      </c>
      <c r="AJ46" s="1003">
        <f t="shared" si="12"/>
        <v>0</v>
      </c>
      <c r="AK46" s="1003">
        <f t="shared" si="12"/>
        <v>0</v>
      </c>
      <c r="AL46" s="1003">
        <f t="shared" si="12"/>
        <v>0</v>
      </c>
      <c r="AM46" s="1003">
        <f t="shared" si="12"/>
        <v>0</v>
      </c>
      <c r="AN46" s="72"/>
      <c r="AO46" s="72"/>
      <c r="AP46" s="72"/>
      <c r="AQ46" s="72"/>
      <c r="AR46" s="72"/>
      <c r="AS46" s="72"/>
      <c r="AT46" s="72"/>
      <c r="AU46" s="72"/>
      <c r="AV46" s="72"/>
      <c r="AW46" s="72"/>
      <c r="AX46" s="72"/>
      <c r="AY46" s="72"/>
      <c r="AZ46" s="72"/>
      <c r="BA46" s="72"/>
      <c r="BB46" s="72"/>
      <c r="BC46" s="72"/>
      <c r="BD46" s="72"/>
      <c r="BE46" s="72"/>
      <c r="BF46" s="72"/>
      <c r="BG46" s="72"/>
      <c r="BH46" s="72"/>
      <c r="BI46" s="72"/>
      <c r="BJ46" s="72"/>
      <c r="BK46" s="72"/>
      <c r="BL46" s="72"/>
      <c r="BM46" s="72"/>
      <c r="BN46" s="72"/>
      <c r="BO46" s="72"/>
      <c r="BP46" s="72"/>
      <c r="BQ46" s="72"/>
      <c r="BR46" s="72"/>
      <c r="BS46" s="72"/>
      <c r="BT46" s="72"/>
    </row>
    <row r="47" spans="2:72" s="67" customFormat="1" ht="16.2" thickBot="1">
      <c r="B47" s="166"/>
      <c r="D47" s="68"/>
      <c r="E47" s="68"/>
      <c r="F47" s="68"/>
      <c r="G47" s="68"/>
      <c r="H47" s="68"/>
      <c r="I47" s="68"/>
      <c r="J47" s="68"/>
      <c r="K47" s="68"/>
      <c r="L47" s="68"/>
      <c r="M47" s="68"/>
      <c r="N47" s="68"/>
      <c r="O47" s="1037"/>
      <c r="P47" s="71"/>
      <c r="Q47" s="72"/>
      <c r="R47" s="72"/>
      <c r="S47" s="72"/>
      <c r="T47" s="72"/>
      <c r="U47" s="72"/>
      <c r="V47" s="72"/>
      <c r="W47" s="72"/>
      <c r="X47" s="72"/>
      <c r="Y47" s="72"/>
      <c r="Z47" s="72"/>
      <c r="AA47" s="1058"/>
      <c r="AB47" s="71"/>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c r="BS47" s="72"/>
      <c r="BT47" s="72"/>
    </row>
    <row r="48" spans="2:72" s="67" customFormat="1" ht="16.2" thickTop="1">
      <c r="B48" s="1022" t="s">
        <v>35</v>
      </c>
      <c r="D48" s="68"/>
      <c r="E48" s="68"/>
      <c r="F48" s="68"/>
      <c r="G48" s="68"/>
      <c r="H48" s="68"/>
      <c r="I48" s="68"/>
      <c r="J48" s="68"/>
      <c r="K48" s="68"/>
      <c r="L48" s="68"/>
      <c r="M48" s="68"/>
      <c r="N48" s="68"/>
      <c r="O48" s="1037"/>
      <c r="P48" s="71"/>
      <c r="Q48" s="72"/>
      <c r="R48" s="72"/>
      <c r="S48" s="72"/>
      <c r="T48" s="72"/>
      <c r="U48" s="72"/>
      <c r="V48" s="72"/>
      <c r="W48" s="72"/>
      <c r="X48" s="72"/>
      <c r="Y48" s="72"/>
      <c r="Z48" s="72"/>
      <c r="AA48" s="1058"/>
      <c r="AB48" s="71"/>
      <c r="AN48" s="72"/>
      <c r="AO48" s="72"/>
      <c r="AP48" s="72"/>
      <c r="AQ48" s="72"/>
      <c r="AR48" s="72"/>
      <c r="AS48" s="72"/>
      <c r="AT48" s="72"/>
      <c r="AU48" s="72"/>
      <c r="AV48" s="72"/>
      <c r="AW48" s="72"/>
      <c r="AX48" s="72"/>
      <c r="AY48" s="72"/>
      <c r="AZ48" s="72"/>
      <c r="BA48" s="72"/>
      <c r="BB48" s="72"/>
      <c r="BC48" s="72"/>
      <c r="BD48" s="72"/>
      <c r="BE48" s="72"/>
      <c r="BF48" s="72"/>
      <c r="BG48" s="72"/>
      <c r="BH48" s="72"/>
      <c r="BI48" s="72"/>
      <c r="BJ48" s="72"/>
      <c r="BK48" s="72"/>
      <c r="BL48" s="72"/>
      <c r="BM48" s="72"/>
      <c r="BN48" s="72"/>
      <c r="BO48" s="72"/>
      <c r="BP48" s="72"/>
      <c r="BQ48" s="72"/>
      <c r="BR48" s="72"/>
      <c r="BS48" s="72"/>
      <c r="BT48" s="72"/>
    </row>
    <row r="49" spans="2:72" s="67" customFormat="1">
      <c r="B49" s="1023" t="s">
        <v>210</v>
      </c>
      <c r="C49" s="999"/>
      <c r="D49" s="1002">
        <f>-D147</f>
        <v>-7352.283488672133</v>
      </c>
      <c r="E49" s="1002">
        <f t="shared" ref="E49:AM49" si="13">-E147</f>
        <v>-7382.9180032082677</v>
      </c>
      <c r="F49" s="1002">
        <f t="shared" si="13"/>
        <v>-7413.6801615549684</v>
      </c>
      <c r="G49" s="1002">
        <f t="shared" si="13"/>
        <v>-7444.5704955614483</v>
      </c>
      <c r="H49" s="1002">
        <f t="shared" si="13"/>
        <v>-7475.5895392929542</v>
      </c>
      <c r="I49" s="1002">
        <f t="shared" si="13"/>
        <v>-7506.7378290400075</v>
      </c>
      <c r="J49" s="1002">
        <f t="shared" si="13"/>
        <v>-7538.0159033276741</v>
      </c>
      <c r="K49" s="1002">
        <f t="shared" si="13"/>
        <v>-7569.4243029248728</v>
      </c>
      <c r="L49" s="1002">
        <f t="shared" si="13"/>
        <v>-7600.9635708537271</v>
      </c>
      <c r="M49" s="1002">
        <f t="shared" si="13"/>
        <v>-7632.6342523989506</v>
      </c>
      <c r="N49" s="1002">
        <f t="shared" si="13"/>
        <v>-7664.4368951172801</v>
      </c>
      <c r="O49" s="1047">
        <f t="shared" si="13"/>
        <v>-7696.3720488469362</v>
      </c>
      <c r="P49" s="1002">
        <f t="shared" si="13"/>
        <v>-7728.4402657171304</v>
      </c>
      <c r="Q49" s="999">
        <f t="shared" si="13"/>
        <v>-7760.6421001576173</v>
      </c>
      <c r="R49" s="999">
        <f t="shared" si="13"/>
        <v>-7792.9781089082753</v>
      </c>
      <c r="S49" s="999">
        <f t="shared" si="13"/>
        <v>-7825.4488510287256</v>
      </c>
      <c r="T49" s="999">
        <f t="shared" si="13"/>
        <v>-7858.0548879080125</v>
      </c>
      <c r="U49" s="999">
        <f t="shared" si="13"/>
        <v>-7890.796783274297</v>
      </c>
      <c r="V49" s="999">
        <f t="shared" si="13"/>
        <v>-7923.6751032046059</v>
      </c>
      <c r="W49" s="999">
        <f t="shared" si="13"/>
        <v>-7956.6904161346247</v>
      </c>
      <c r="X49" s="999">
        <f t="shared" si="13"/>
        <v>-7989.8432928685188</v>
      </c>
      <c r="Y49" s="999">
        <f t="shared" si="13"/>
        <v>-8023.1343065888041</v>
      </c>
      <c r="Z49" s="999">
        <f t="shared" si="13"/>
        <v>-8056.5640328662585</v>
      </c>
      <c r="AA49" s="1047">
        <f t="shared" si="13"/>
        <v>-8090.1330496698665</v>
      </c>
      <c r="AB49" s="1002">
        <f t="shared" si="13"/>
        <v>-8123.8419373768247</v>
      </c>
      <c r="AC49" s="999">
        <f t="shared" si="13"/>
        <v>-8157.6912787825613</v>
      </c>
      <c r="AD49" s="999">
        <f t="shared" si="13"/>
        <v>-8191.6816591108227</v>
      </c>
      <c r="AE49" s="999">
        <f t="shared" si="13"/>
        <v>-8225.8136660237851</v>
      </c>
      <c r="AF49" s="999">
        <f t="shared" si="13"/>
        <v>-8260.0878896322174</v>
      </c>
      <c r="AG49" s="999">
        <f t="shared" si="13"/>
        <v>-8294.5049225056846</v>
      </c>
      <c r="AH49" s="999">
        <f t="shared" si="13"/>
        <v>-8329.0653596827906</v>
      </c>
      <c r="AI49" s="999">
        <f t="shared" si="13"/>
        <v>-8363.7697986814692</v>
      </c>
      <c r="AJ49" s="999">
        <f t="shared" si="13"/>
        <v>-8398.6188395093086</v>
      </c>
      <c r="AK49" s="999">
        <f t="shared" si="13"/>
        <v>-8433.6130846739306</v>
      </c>
      <c r="AL49" s="999">
        <f t="shared" si="13"/>
        <v>-8468.7531391934062</v>
      </c>
      <c r="AM49" s="999">
        <f t="shared" si="13"/>
        <v>-8504.0396106067128</v>
      </c>
      <c r="AN49" s="72"/>
      <c r="AO49" s="72"/>
      <c r="AP49" s="72"/>
      <c r="AQ49" s="72"/>
      <c r="AR49" s="72"/>
      <c r="AS49" s="72"/>
      <c r="AT49" s="72"/>
      <c r="AU49" s="72"/>
      <c r="AV49" s="72"/>
      <c r="AW49" s="72"/>
      <c r="AX49" s="72"/>
      <c r="AY49" s="72"/>
      <c r="AZ49" s="72"/>
      <c r="BA49" s="72"/>
      <c r="BB49" s="72"/>
      <c r="BC49" s="72"/>
      <c r="BD49" s="72"/>
      <c r="BE49" s="72"/>
      <c r="BF49" s="72"/>
      <c r="BG49" s="72"/>
      <c r="BH49" s="72"/>
      <c r="BI49" s="72"/>
      <c r="BJ49" s="72"/>
      <c r="BK49" s="72"/>
      <c r="BL49" s="72"/>
      <c r="BM49" s="72"/>
      <c r="BN49" s="72"/>
      <c r="BO49" s="72"/>
      <c r="BP49" s="72"/>
      <c r="BQ49" s="72"/>
      <c r="BR49" s="72"/>
      <c r="BS49" s="72"/>
      <c r="BT49" s="72"/>
    </row>
    <row r="50" spans="2:72" s="67" customFormat="1">
      <c r="B50" s="1023" t="s">
        <v>211</v>
      </c>
      <c r="C50" s="999"/>
      <c r="D50" s="1002">
        <f>-D151</f>
        <v>0</v>
      </c>
      <c r="E50" s="1002">
        <f t="shared" ref="E50:AM50" si="14">-E151</f>
        <v>0</v>
      </c>
      <c r="F50" s="1002">
        <f t="shared" si="14"/>
        <v>0</v>
      </c>
      <c r="G50" s="1002">
        <f t="shared" si="14"/>
        <v>0</v>
      </c>
      <c r="H50" s="1002">
        <f t="shared" si="14"/>
        <v>0</v>
      </c>
      <c r="I50" s="1002">
        <f t="shared" si="14"/>
        <v>0</v>
      </c>
      <c r="J50" s="1002">
        <f t="shared" si="14"/>
        <v>-5000</v>
      </c>
      <c r="K50" s="1002">
        <f t="shared" si="14"/>
        <v>0</v>
      </c>
      <c r="L50" s="1002">
        <f t="shared" si="14"/>
        <v>0</v>
      </c>
      <c r="M50" s="1002">
        <f t="shared" si="14"/>
        <v>0</v>
      </c>
      <c r="N50" s="1002">
        <f t="shared" si="14"/>
        <v>0</v>
      </c>
      <c r="O50" s="1047">
        <f t="shared" si="14"/>
        <v>0</v>
      </c>
      <c r="P50" s="1002">
        <f t="shared" si="14"/>
        <v>0</v>
      </c>
      <c r="Q50" s="999">
        <f t="shared" si="14"/>
        <v>-5000</v>
      </c>
      <c r="R50" s="999">
        <f t="shared" si="14"/>
        <v>0</v>
      </c>
      <c r="S50" s="999">
        <f t="shared" si="14"/>
        <v>0</v>
      </c>
      <c r="T50" s="999">
        <f t="shared" si="14"/>
        <v>0</v>
      </c>
      <c r="U50" s="999">
        <f t="shared" si="14"/>
        <v>0</v>
      </c>
      <c r="V50" s="999">
        <f t="shared" si="14"/>
        <v>0</v>
      </c>
      <c r="W50" s="999">
        <f t="shared" si="14"/>
        <v>0</v>
      </c>
      <c r="X50" s="999">
        <f t="shared" si="14"/>
        <v>0</v>
      </c>
      <c r="Y50" s="999">
        <f t="shared" si="14"/>
        <v>0</v>
      </c>
      <c r="Z50" s="999">
        <f t="shared" si="14"/>
        <v>0</v>
      </c>
      <c r="AA50" s="1047">
        <f t="shared" si="14"/>
        <v>0</v>
      </c>
      <c r="AB50" s="1002">
        <f t="shared" si="14"/>
        <v>0</v>
      </c>
      <c r="AC50" s="999">
        <f t="shared" si="14"/>
        <v>0</v>
      </c>
      <c r="AD50" s="999">
        <f t="shared" si="14"/>
        <v>0</v>
      </c>
      <c r="AE50" s="999">
        <f t="shared" si="14"/>
        <v>0</v>
      </c>
      <c r="AF50" s="999">
        <f t="shared" si="14"/>
        <v>0</v>
      </c>
      <c r="AG50" s="999">
        <f t="shared" si="14"/>
        <v>0</v>
      </c>
      <c r="AH50" s="999">
        <f t="shared" si="14"/>
        <v>0</v>
      </c>
      <c r="AI50" s="999">
        <f t="shared" si="14"/>
        <v>0</v>
      </c>
      <c r="AJ50" s="999">
        <f t="shared" si="14"/>
        <v>0</v>
      </c>
      <c r="AK50" s="999">
        <f t="shared" si="14"/>
        <v>0</v>
      </c>
      <c r="AL50" s="999">
        <f t="shared" si="14"/>
        <v>0</v>
      </c>
      <c r="AM50" s="999">
        <f t="shared" si="14"/>
        <v>0</v>
      </c>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row>
    <row r="51" spans="2:72" s="67" customFormat="1">
      <c r="B51" s="1023" t="s">
        <v>212</v>
      </c>
      <c r="C51" s="999"/>
      <c r="D51" s="1002">
        <f>-D154</f>
        <v>0</v>
      </c>
      <c r="E51" s="1002">
        <f t="shared" ref="E51:AM51" si="15">-E154</f>
        <v>0</v>
      </c>
      <c r="F51" s="1002">
        <f t="shared" si="15"/>
        <v>0</v>
      </c>
      <c r="G51" s="1002">
        <f t="shared" si="15"/>
        <v>0</v>
      </c>
      <c r="H51" s="1002">
        <f t="shared" si="15"/>
        <v>0</v>
      </c>
      <c r="I51" s="1002">
        <f t="shared" si="15"/>
        <v>0</v>
      </c>
      <c r="J51" s="1002">
        <f t="shared" si="15"/>
        <v>0</v>
      </c>
      <c r="K51" s="1002">
        <f t="shared" si="15"/>
        <v>0</v>
      </c>
      <c r="L51" s="1002">
        <f t="shared" si="15"/>
        <v>0</v>
      </c>
      <c r="M51" s="1002">
        <f t="shared" si="15"/>
        <v>0</v>
      </c>
      <c r="N51" s="1002">
        <f t="shared" si="15"/>
        <v>0</v>
      </c>
      <c r="O51" s="1047">
        <f t="shared" si="15"/>
        <v>0</v>
      </c>
      <c r="P51" s="1002">
        <f t="shared" si="15"/>
        <v>0</v>
      </c>
      <c r="Q51" s="999">
        <f t="shared" si="15"/>
        <v>0</v>
      </c>
      <c r="R51" s="999">
        <f t="shared" si="15"/>
        <v>0</v>
      </c>
      <c r="S51" s="999">
        <f t="shared" si="15"/>
        <v>0</v>
      </c>
      <c r="T51" s="999">
        <f t="shared" si="15"/>
        <v>-2000</v>
      </c>
      <c r="U51" s="999">
        <f t="shared" si="15"/>
        <v>-2000</v>
      </c>
      <c r="V51" s="999">
        <f t="shared" si="15"/>
        <v>-2000</v>
      </c>
      <c r="W51" s="999">
        <f t="shared" si="15"/>
        <v>-2000</v>
      </c>
      <c r="X51" s="999">
        <f t="shared" si="15"/>
        <v>-2000</v>
      </c>
      <c r="Y51" s="999">
        <f t="shared" si="15"/>
        <v>-2000</v>
      </c>
      <c r="Z51" s="999">
        <f t="shared" si="15"/>
        <v>-2000</v>
      </c>
      <c r="AA51" s="1047">
        <f t="shared" si="15"/>
        <v>-2000</v>
      </c>
      <c r="AB51" s="1002">
        <f t="shared" si="15"/>
        <v>-3000</v>
      </c>
      <c r="AC51" s="999">
        <f t="shared" si="15"/>
        <v>-3000</v>
      </c>
      <c r="AD51" s="999">
        <f t="shared" si="15"/>
        <v>-3000</v>
      </c>
      <c r="AE51" s="999">
        <f t="shared" si="15"/>
        <v>-3000</v>
      </c>
      <c r="AF51" s="999">
        <f t="shared" si="15"/>
        <v>-3000</v>
      </c>
      <c r="AG51" s="999">
        <f t="shared" si="15"/>
        <v>-3000</v>
      </c>
      <c r="AH51" s="999">
        <f t="shared" si="15"/>
        <v>-3000</v>
      </c>
      <c r="AI51" s="999">
        <f t="shared" si="15"/>
        <v>-3000</v>
      </c>
      <c r="AJ51" s="999">
        <f t="shared" si="15"/>
        <v>-3000</v>
      </c>
      <c r="AK51" s="999">
        <f t="shared" si="15"/>
        <v>-3000</v>
      </c>
      <c r="AL51" s="999">
        <f t="shared" si="15"/>
        <v>-3000</v>
      </c>
      <c r="AM51" s="999">
        <f t="shared" si="15"/>
        <v>-3000</v>
      </c>
      <c r="AN51" s="72"/>
      <c r="AO51" s="72"/>
      <c r="AP51" s="72"/>
      <c r="AQ51" s="72"/>
      <c r="AR51" s="72"/>
      <c r="AS51" s="72"/>
      <c r="AT51" s="72"/>
      <c r="AU51" s="72"/>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c r="BT51" s="72"/>
    </row>
    <row r="52" spans="2:72" s="67" customFormat="1">
      <c r="B52" s="1017"/>
      <c r="C52" s="999"/>
      <c r="D52" s="1003">
        <f>SUM(D49:D51)</f>
        <v>-7352.283488672133</v>
      </c>
      <c r="E52" s="1003">
        <f t="shared" ref="E52:AM52" si="16">SUM(E49:E51)</f>
        <v>-7382.9180032082677</v>
      </c>
      <c r="F52" s="1003">
        <f t="shared" si="16"/>
        <v>-7413.6801615549684</v>
      </c>
      <c r="G52" s="1003">
        <f t="shared" si="16"/>
        <v>-7444.5704955614483</v>
      </c>
      <c r="H52" s="1003">
        <f t="shared" si="16"/>
        <v>-7475.5895392929542</v>
      </c>
      <c r="I52" s="1003">
        <f t="shared" si="16"/>
        <v>-7506.7378290400075</v>
      </c>
      <c r="J52" s="1003">
        <f t="shared" si="16"/>
        <v>-12538.015903327674</v>
      </c>
      <c r="K52" s="1003">
        <f t="shared" si="16"/>
        <v>-7569.4243029248728</v>
      </c>
      <c r="L52" s="1003">
        <f t="shared" si="16"/>
        <v>-7600.9635708537271</v>
      </c>
      <c r="M52" s="1003">
        <f t="shared" si="16"/>
        <v>-7632.6342523989506</v>
      </c>
      <c r="N52" s="1003">
        <f t="shared" si="16"/>
        <v>-7664.4368951172801</v>
      </c>
      <c r="O52" s="1048">
        <f t="shared" si="16"/>
        <v>-7696.3720488469362</v>
      </c>
      <c r="P52" s="1003">
        <f t="shared" si="16"/>
        <v>-7728.4402657171304</v>
      </c>
      <c r="Q52" s="1003">
        <f t="shared" si="16"/>
        <v>-12760.642100157616</v>
      </c>
      <c r="R52" s="1003">
        <f t="shared" si="16"/>
        <v>-7792.9781089082753</v>
      </c>
      <c r="S52" s="1003">
        <f t="shared" si="16"/>
        <v>-7825.4488510287256</v>
      </c>
      <c r="T52" s="1003">
        <f t="shared" si="16"/>
        <v>-9858.0548879080125</v>
      </c>
      <c r="U52" s="1003">
        <f t="shared" si="16"/>
        <v>-9890.7967832742979</v>
      </c>
      <c r="V52" s="1003">
        <f t="shared" si="16"/>
        <v>-9923.675103204605</v>
      </c>
      <c r="W52" s="1003">
        <f t="shared" si="16"/>
        <v>-9956.6904161346247</v>
      </c>
      <c r="X52" s="1003">
        <f t="shared" si="16"/>
        <v>-9989.8432928685179</v>
      </c>
      <c r="Y52" s="1003">
        <f t="shared" si="16"/>
        <v>-10023.134306588803</v>
      </c>
      <c r="Z52" s="1003">
        <f t="shared" si="16"/>
        <v>-10056.564032866259</v>
      </c>
      <c r="AA52" s="1048">
        <f t="shared" si="16"/>
        <v>-10090.133049669867</v>
      </c>
      <c r="AB52" s="1003">
        <f t="shared" si="16"/>
        <v>-11123.841937376825</v>
      </c>
      <c r="AC52" s="1003">
        <f t="shared" si="16"/>
        <v>-11157.69127878256</v>
      </c>
      <c r="AD52" s="1003">
        <f t="shared" si="16"/>
        <v>-11191.681659110822</v>
      </c>
      <c r="AE52" s="1003">
        <f t="shared" si="16"/>
        <v>-11225.813666023785</v>
      </c>
      <c r="AF52" s="1003">
        <f t="shared" si="16"/>
        <v>-11260.087889632217</v>
      </c>
      <c r="AG52" s="1003">
        <f t="shared" si="16"/>
        <v>-11294.504922505685</v>
      </c>
      <c r="AH52" s="1003">
        <f t="shared" si="16"/>
        <v>-11329.065359682791</v>
      </c>
      <c r="AI52" s="1003">
        <f t="shared" si="16"/>
        <v>-11363.769798681469</v>
      </c>
      <c r="AJ52" s="1003">
        <f t="shared" si="16"/>
        <v>-11398.618839509309</v>
      </c>
      <c r="AK52" s="1003">
        <f t="shared" si="16"/>
        <v>-11433.613084673931</v>
      </c>
      <c r="AL52" s="1003">
        <f t="shared" si="16"/>
        <v>-11468.753139193406</v>
      </c>
      <c r="AM52" s="1003">
        <f t="shared" si="16"/>
        <v>-11504.039610606713</v>
      </c>
      <c r="AN52" s="72"/>
      <c r="AO52" s="72"/>
      <c r="AP52" s="72"/>
      <c r="AQ52" s="72"/>
      <c r="AR52" s="72"/>
      <c r="AS52" s="72"/>
      <c r="AT52" s="72"/>
      <c r="AU52" s="72"/>
      <c r="AV52" s="72"/>
      <c r="AW52" s="72"/>
      <c r="AX52" s="72"/>
      <c r="AY52" s="72"/>
      <c r="AZ52" s="72"/>
      <c r="BA52" s="72"/>
      <c r="BB52" s="72"/>
      <c r="BC52" s="72"/>
      <c r="BD52" s="72"/>
      <c r="BE52" s="72"/>
      <c r="BF52" s="72"/>
      <c r="BG52" s="72"/>
      <c r="BH52" s="72"/>
      <c r="BI52" s="72"/>
      <c r="BJ52" s="72"/>
      <c r="BK52" s="72"/>
      <c r="BL52" s="72"/>
      <c r="BM52" s="72"/>
      <c r="BN52" s="72"/>
      <c r="BO52" s="72"/>
      <c r="BP52" s="72"/>
      <c r="BQ52" s="72"/>
      <c r="BR52" s="72"/>
      <c r="BS52" s="72"/>
      <c r="BT52" s="72"/>
    </row>
    <row r="53" spans="2:72" s="67" customFormat="1">
      <c r="B53" s="1017"/>
      <c r="C53" s="999"/>
      <c r="D53" s="1002"/>
      <c r="E53" s="1002"/>
      <c r="F53" s="1002"/>
      <c r="G53" s="1002"/>
      <c r="H53" s="1002"/>
      <c r="I53" s="1002"/>
      <c r="J53" s="1002"/>
      <c r="K53" s="1002"/>
      <c r="L53" s="1002"/>
      <c r="M53" s="1002"/>
      <c r="N53" s="1002"/>
      <c r="O53" s="1047"/>
      <c r="P53" s="1002"/>
      <c r="Q53" s="999"/>
      <c r="R53" s="999"/>
      <c r="S53" s="999"/>
      <c r="T53" s="999"/>
      <c r="U53" s="999"/>
      <c r="V53" s="999"/>
      <c r="W53" s="999"/>
      <c r="X53" s="999"/>
      <c r="Y53" s="999"/>
      <c r="Z53" s="999"/>
      <c r="AA53" s="1047"/>
      <c r="AB53" s="1002"/>
      <c r="AC53" s="999"/>
      <c r="AD53" s="999"/>
      <c r="AE53" s="999"/>
      <c r="AF53" s="999"/>
      <c r="AG53" s="999"/>
      <c r="AH53" s="999"/>
      <c r="AI53" s="999"/>
      <c r="AJ53" s="999"/>
      <c r="AK53" s="999"/>
      <c r="AL53" s="999"/>
      <c r="AM53" s="999"/>
      <c r="AN53" s="72"/>
      <c r="AO53" s="72"/>
      <c r="AP53" s="72"/>
      <c r="AQ53" s="72"/>
      <c r="AR53" s="72"/>
      <c r="AS53" s="72"/>
      <c r="AT53" s="72"/>
      <c r="AU53" s="72"/>
      <c r="AV53" s="72"/>
      <c r="AW53" s="72"/>
      <c r="AX53" s="72"/>
      <c r="AY53" s="72"/>
      <c r="AZ53" s="72"/>
      <c r="BA53" s="72"/>
      <c r="BB53" s="72"/>
      <c r="BC53" s="72"/>
      <c r="BD53" s="72"/>
      <c r="BE53" s="72"/>
      <c r="BF53" s="72"/>
      <c r="BG53" s="72"/>
      <c r="BH53" s="72"/>
      <c r="BI53" s="72"/>
      <c r="BJ53" s="72"/>
      <c r="BK53" s="72"/>
      <c r="BL53" s="72"/>
      <c r="BM53" s="72"/>
      <c r="BN53" s="72"/>
      <c r="BO53" s="72"/>
      <c r="BP53" s="72"/>
      <c r="BQ53" s="72"/>
      <c r="BR53" s="72"/>
      <c r="BS53" s="72"/>
      <c r="BT53" s="72"/>
    </row>
    <row r="54" spans="2:72" s="67" customFormat="1" ht="16.2" thickBot="1">
      <c r="B54" s="1024" t="s">
        <v>139</v>
      </c>
      <c r="C54" s="999"/>
      <c r="D54" s="1001">
        <f>D46+D52</f>
        <v>732647.71651132789</v>
      </c>
      <c r="E54" s="1001">
        <f t="shared" ref="E54:AM54" si="17">E46+E52</f>
        <v>-7382.9180032082677</v>
      </c>
      <c r="F54" s="1001">
        <f t="shared" si="17"/>
        <v>-7413.6801615549684</v>
      </c>
      <c r="G54" s="1001">
        <f t="shared" si="17"/>
        <v>-7444.5704955614483</v>
      </c>
      <c r="H54" s="1001">
        <f t="shared" si="17"/>
        <v>-7475.5895392929542</v>
      </c>
      <c r="I54" s="1001">
        <f t="shared" si="17"/>
        <v>-7506.7378290400075</v>
      </c>
      <c r="J54" s="1001">
        <f t="shared" si="17"/>
        <v>-12538.015903327674</v>
      </c>
      <c r="K54" s="1001">
        <f t="shared" si="17"/>
        <v>-7569.4243029248728</v>
      </c>
      <c r="L54" s="1001">
        <f t="shared" si="17"/>
        <v>-7600.9635708537271</v>
      </c>
      <c r="M54" s="1001">
        <f t="shared" si="17"/>
        <v>-7632.6342523989506</v>
      </c>
      <c r="N54" s="1001">
        <f t="shared" si="17"/>
        <v>-7664.4368951172801</v>
      </c>
      <c r="O54" s="1046">
        <f t="shared" si="17"/>
        <v>-7696.3720488469362</v>
      </c>
      <c r="P54" s="1001">
        <f t="shared" si="17"/>
        <v>-7728.4402657171304</v>
      </c>
      <c r="Q54" s="1001">
        <f t="shared" si="17"/>
        <v>-12760.642100157616</v>
      </c>
      <c r="R54" s="1001">
        <f t="shared" si="17"/>
        <v>-7792.9781089082753</v>
      </c>
      <c r="S54" s="1001">
        <f t="shared" si="17"/>
        <v>-7825.4488510287256</v>
      </c>
      <c r="T54" s="1001">
        <f t="shared" si="17"/>
        <v>-9858.0548879080125</v>
      </c>
      <c r="U54" s="1001">
        <f t="shared" si="17"/>
        <v>-9890.7967832742979</v>
      </c>
      <c r="V54" s="1001">
        <f t="shared" si="17"/>
        <v>-9923.675103204605</v>
      </c>
      <c r="W54" s="1001">
        <f t="shared" si="17"/>
        <v>-9956.6904161346247</v>
      </c>
      <c r="X54" s="1001">
        <f t="shared" si="17"/>
        <v>-9989.8432928685179</v>
      </c>
      <c r="Y54" s="1001">
        <f t="shared" si="17"/>
        <v>-10023.134306588803</v>
      </c>
      <c r="Z54" s="1001">
        <f t="shared" si="17"/>
        <v>-10056.564032866259</v>
      </c>
      <c r="AA54" s="1046">
        <f t="shared" si="17"/>
        <v>-10090.133049669867</v>
      </c>
      <c r="AB54" s="1001">
        <f t="shared" si="17"/>
        <v>-11123.841937376825</v>
      </c>
      <c r="AC54" s="1001">
        <f t="shared" si="17"/>
        <v>-11157.69127878256</v>
      </c>
      <c r="AD54" s="1001">
        <f t="shared" si="17"/>
        <v>-11191.681659110822</v>
      </c>
      <c r="AE54" s="1001">
        <f t="shared" si="17"/>
        <v>-11225.813666023785</v>
      </c>
      <c r="AF54" s="1001">
        <f t="shared" si="17"/>
        <v>-11260.087889632217</v>
      </c>
      <c r="AG54" s="1001">
        <f t="shared" si="17"/>
        <v>-11294.504922505685</v>
      </c>
      <c r="AH54" s="1001">
        <f t="shared" si="17"/>
        <v>-11329.065359682791</v>
      </c>
      <c r="AI54" s="1001">
        <f t="shared" si="17"/>
        <v>-11363.769798681469</v>
      </c>
      <c r="AJ54" s="1001">
        <f t="shared" si="17"/>
        <v>-11398.618839509309</v>
      </c>
      <c r="AK54" s="1001">
        <f t="shared" si="17"/>
        <v>-11433.613084673931</v>
      </c>
      <c r="AL54" s="1001">
        <f t="shared" si="17"/>
        <v>-11468.753139193406</v>
      </c>
      <c r="AM54" s="1001">
        <f t="shared" si="17"/>
        <v>-11504.039610606713</v>
      </c>
      <c r="AN54" s="72"/>
      <c r="AO54" s="72"/>
      <c r="AP54" s="72"/>
      <c r="AQ54" s="72"/>
      <c r="AR54" s="72"/>
      <c r="AS54" s="72"/>
      <c r="AT54" s="72"/>
      <c r="AU54" s="72"/>
      <c r="AV54" s="72"/>
      <c r="AW54" s="72"/>
      <c r="AX54" s="72"/>
      <c r="AY54" s="72"/>
      <c r="AZ54" s="72"/>
      <c r="BA54" s="72"/>
      <c r="BB54" s="72"/>
      <c r="BC54" s="72"/>
      <c r="BD54" s="72"/>
      <c r="BE54" s="72"/>
      <c r="BF54" s="72"/>
      <c r="BG54" s="72"/>
      <c r="BH54" s="72"/>
      <c r="BI54" s="72"/>
      <c r="BJ54" s="72"/>
      <c r="BK54" s="72"/>
      <c r="BL54" s="72"/>
      <c r="BM54" s="72"/>
      <c r="BN54" s="72"/>
      <c r="BO54" s="72"/>
      <c r="BP54" s="72"/>
      <c r="BQ54" s="72"/>
      <c r="BR54" s="72"/>
      <c r="BS54" s="72"/>
      <c r="BT54" s="72"/>
    </row>
    <row r="55" spans="2:72" s="67" customFormat="1" ht="16.2" thickTop="1">
      <c r="B55" s="166"/>
      <c r="D55" s="68"/>
      <c r="E55" s="68"/>
      <c r="F55" s="68"/>
      <c r="G55" s="68"/>
      <c r="H55" s="68"/>
      <c r="I55" s="68"/>
      <c r="J55" s="68"/>
      <c r="K55" s="68"/>
      <c r="L55" s="68"/>
      <c r="M55" s="68"/>
      <c r="N55" s="68"/>
      <c r="O55" s="1037"/>
      <c r="P55" s="68"/>
      <c r="Q55" s="68"/>
      <c r="R55" s="68"/>
      <c r="S55" s="68"/>
      <c r="T55" s="68"/>
      <c r="U55" s="68"/>
      <c r="V55" s="68"/>
      <c r="W55" s="68"/>
      <c r="X55" s="68"/>
      <c r="Y55" s="68"/>
      <c r="Z55" s="68"/>
      <c r="AA55" s="1037"/>
      <c r="AB55" s="68"/>
      <c r="AC55" s="68"/>
      <c r="AD55" s="68"/>
      <c r="AE55" s="68"/>
      <c r="AF55" s="68"/>
      <c r="AG55" s="68"/>
      <c r="AH55" s="68"/>
      <c r="AI55" s="68"/>
      <c r="AJ55" s="68"/>
      <c r="AK55" s="68"/>
      <c r="AL55" s="68"/>
      <c r="AM55" s="68"/>
      <c r="AN55" s="72"/>
      <c r="AO55" s="72"/>
      <c r="AP55" s="72"/>
      <c r="AQ55" s="72"/>
      <c r="AR55" s="72"/>
      <c r="AS55" s="72"/>
      <c r="AT55" s="72"/>
      <c r="AU55" s="72"/>
      <c r="AV55" s="72"/>
      <c r="AW55" s="72"/>
      <c r="AX55" s="72"/>
      <c r="AY55" s="72"/>
      <c r="AZ55" s="72"/>
      <c r="BA55" s="72"/>
      <c r="BB55" s="72"/>
      <c r="BC55" s="72"/>
      <c r="BD55" s="72"/>
      <c r="BE55" s="72"/>
      <c r="BF55" s="72"/>
      <c r="BG55" s="72"/>
      <c r="BH55" s="72"/>
      <c r="BI55" s="72"/>
      <c r="BJ55" s="72"/>
      <c r="BK55" s="72"/>
      <c r="BL55" s="72"/>
      <c r="BM55" s="72"/>
      <c r="BN55" s="72"/>
      <c r="BO55" s="72"/>
      <c r="BP55" s="72"/>
      <c r="BQ55" s="72"/>
      <c r="BR55" s="72"/>
      <c r="BS55" s="72"/>
      <c r="BT55" s="72"/>
    </row>
    <row r="56" spans="2:72" s="67" customFormat="1">
      <c r="B56" s="166"/>
      <c r="D56" s="68"/>
      <c r="E56" s="68"/>
      <c r="F56" s="68"/>
      <c r="G56" s="68"/>
      <c r="H56" s="68"/>
      <c r="I56" s="68"/>
      <c r="J56" s="68"/>
      <c r="K56" s="68"/>
      <c r="L56" s="68"/>
      <c r="M56" s="68"/>
      <c r="N56" s="68"/>
      <c r="O56" s="1037"/>
      <c r="P56" s="71"/>
      <c r="Q56" s="72"/>
      <c r="R56" s="72"/>
      <c r="S56" s="72"/>
      <c r="T56" s="72"/>
      <c r="U56" s="72"/>
      <c r="V56" s="72"/>
      <c r="W56" s="72"/>
      <c r="X56" s="72"/>
      <c r="Y56" s="72"/>
      <c r="Z56" s="72"/>
      <c r="AA56" s="1058"/>
      <c r="AB56" s="71"/>
      <c r="AN56" s="72"/>
      <c r="AO56" s="72"/>
      <c r="AP56" s="72"/>
      <c r="AQ56" s="72"/>
      <c r="AR56" s="72"/>
      <c r="AS56" s="72"/>
      <c r="AT56" s="72"/>
      <c r="AU56" s="72"/>
      <c r="AV56" s="72"/>
      <c r="AW56" s="72"/>
      <c r="AX56" s="72"/>
      <c r="AY56" s="72"/>
      <c r="AZ56" s="72"/>
      <c r="BA56" s="72"/>
      <c r="BB56" s="72"/>
      <c r="BC56" s="72"/>
      <c r="BD56" s="72"/>
      <c r="BE56" s="72"/>
      <c r="BF56" s="72"/>
      <c r="BG56" s="72"/>
      <c r="BH56" s="72"/>
      <c r="BI56" s="72"/>
      <c r="BJ56" s="72"/>
      <c r="BK56" s="72"/>
      <c r="BL56" s="72"/>
      <c r="BM56" s="72"/>
      <c r="BN56" s="72"/>
      <c r="BO56" s="72"/>
      <c r="BP56" s="72"/>
      <c r="BQ56" s="72"/>
      <c r="BR56" s="72"/>
      <c r="BS56" s="72"/>
      <c r="BT56" s="72"/>
    </row>
    <row r="57" spans="2:72" s="149" customFormat="1">
      <c r="B57" s="180" t="s">
        <v>36</v>
      </c>
      <c r="D57" s="1031">
        <f>D24+D37+D54</f>
        <v>686556.88317799452</v>
      </c>
      <c r="E57" s="158">
        <f>E24+E37+E54</f>
        <v>-26043.116822005468</v>
      </c>
      <c r="F57" s="158">
        <f t="shared" ref="F57:AM57" si="18">F24+F37+F54</f>
        <v>-97880.516822005462</v>
      </c>
      <c r="G57" s="158">
        <f t="shared" si="18"/>
        <v>-14495.516822005469</v>
      </c>
      <c r="H57" s="158">
        <f t="shared" si="18"/>
        <v>-17851.676822005458</v>
      </c>
      <c r="I57" s="158">
        <f t="shared" si="18"/>
        <v>-23064.336822005469</v>
      </c>
      <c r="J57" s="158">
        <f t="shared" si="18"/>
        <v>-21293.23682200547</v>
      </c>
      <c r="K57" s="158">
        <f t="shared" si="18"/>
        <v>-2733.5968220054683</v>
      </c>
      <c r="L57" s="158">
        <f t="shared" si="18"/>
        <v>-26053.441822005483</v>
      </c>
      <c r="M57" s="158">
        <f t="shared" si="18"/>
        <v>-3319.7968220054381</v>
      </c>
      <c r="N57" s="158">
        <f t="shared" si="18"/>
        <v>13464.843177994531</v>
      </c>
      <c r="O57" s="1041">
        <f t="shared" si="18"/>
        <v>-34695.763822005458</v>
      </c>
      <c r="P57" s="158">
        <f t="shared" si="18"/>
        <v>-78690.469488672155</v>
      </c>
      <c r="Q57" s="149">
        <f t="shared" si="18"/>
        <v>41458.90211132788</v>
      </c>
      <c r="R57" s="149">
        <f t="shared" si="18"/>
        <v>-41896.863088672158</v>
      </c>
      <c r="S57" s="149">
        <f t="shared" si="18"/>
        <v>-6589.5254886720859</v>
      </c>
      <c r="T57" s="149">
        <f t="shared" si="18"/>
        <v>27540.188511327815</v>
      </c>
      <c r="U57" s="149">
        <f t="shared" si="18"/>
        <v>-7424.5986886721475</v>
      </c>
      <c r="V57" s="149">
        <f t="shared" si="18"/>
        <v>68099.133711327901</v>
      </c>
      <c r="W57" s="149">
        <f t="shared" si="18"/>
        <v>84782.061711327871</v>
      </c>
      <c r="X57" s="149">
        <f t="shared" ca="1" si="18"/>
        <v>13736.987411327838</v>
      </c>
      <c r="Y57" s="149">
        <f t="shared" si="18"/>
        <v>104913.62171132794</v>
      </c>
      <c r="Z57" s="149">
        <f t="shared" si="18"/>
        <v>123481.40411132782</v>
      </c>
      <c r="AA57" s="1041">
        <f t="shared" si="18"/>
        <v>43181.571871327862</v>
      </c>
      <c r="AB57" s="158">
        <f>AB24+AB37+AB54</f>
        <v>-264827.38858200546</v>
      </c>
      <c r="AC57" s="149">
        <f t="shared" si="18"/>
        <v>133981.35038599453</v>
      </c>
      <c r="AD57" s="149">
        <f t="shared" si="18"/>
        <v>158566.41886199458</v>
      </c>
      <c r="AE57" s="149">
        <f t="shared" si="18"/>
        <v>-208979.24405400548</v>
      </c>
      <c r="AF57" s="149">
        <f t="shared" si="18"/>
        <v>161309.1334339946</v>
      </c>
      <c r="AG57" s="149">
        <f t="shared" si="18"/>
        <v>95252.726321994574</v>
      </c>
      <c r="AH57" s="149">
        <f t="shared" si="18"/>
        <v>180969.0600979944</v>
      </c>
      <c r="AI57" s="149">
        <f t="shared" si="18"/>
        <v>234535.21027399451</v>
      </c>
      <c r="AJ57" s="149">
        <f t="shared" ca="1" si="18"/>
        <v>-112374.83646825409</v>
      </c>
      <c r="AK57" s="149">
        <f t="shared" si="18"/>
        <v>452674.0256659945</v>
      </c>
      <c r="AL57" s="149">
        <f t="shared" si="18"/>
        <v>436066.95439399453</v>
      </c>
      <c r="AM57" s="149">
        <f t="shared" si="18"/>
        <v>-95358.627503805299</v>
      </c>
      <c r="AN57" s="169"/>
      <c r="AO57" s="169"/>
      <c r="AP57" s="169"/>
      <c r="AQ57" s="169"/>
      <c r="AR57" s="169"/>
      <c r="AS57" s="169"/>
      <c r="AT57" s="169"/>
      <c r="AU57" s="169"/>
      <c r="AV57" s="169"/>
      <c r="AW57" s="169"/>
      <c r="AX57" s="169"/>
      <c r="AY57" s="169"/>
      <c r="AZ57" s="169"/>
      <c r="BA57" s="169"/>
      <c r="BB57" s="169"/>
      <c r="BC57" s="169"/>
      <c r="BD57" s="169"/>
      <c r="BE57" s="169"/>
      <c r="BF57" s="169"/>
      <c r="BG57" s="169"/>
      <c r="BH57" s="169"/>
      <c r="BI57" s="169"/>
      <c r="BJ57" s="169"/>
      <c r="BK57" s="169"/>
      <c r="BL57" s="169"/>
      <c r="BM57" s="169"/>
      <c r="BN57" s="169"/>
      <c r="BO57" s="169"/>
      <c r="BP57" s="169"/>
      <c r="BQ57" s="169"/>
      <c r="BR57" s="169"/>
      <c r="BS57" s="169"/>
      <c r="BT57" s="169"/>
    </row>
    <row r="58" spans="2:72" s="67" customFormat="1">
      <c r="B58" s="18"/>
      <c r="C58" s="155"/>
      <c r="D58" s="68"/>
      <c r="E58" s="68"/>
      <c r="F58" s="68"/>
      <c r="G58" s="68"/>
      <c r="H58" s="68"/>
      <c r="I58" s="68"/>
      <c r="J58" s="68"/>
      <c r="K58" s="68"/>
      <c r="L58" s="68"/>
      <c r="M58" s="68"/>
      <c r="N58" s="68"/>
      <c r="O58" s="1037"/>
      <c r="P58" s="68"/>
      <c r="AA58" s="1037"/>
      <c r="AB58" s="68"/>
      <c r="AN58" s="72"/>
      <c r="AO58" s="72"/>
      <c r="AP58" s="72"/>
      <c r="AQ58" s="72"/>
      <c r="AR58" s="72"/>
      <c r="AS58" s="72"/>
      <c r="AT58" s="72"/>
      <c r="AU58" s="72"/>
      <c r="AV58" s="72"/>
      <c r="AW58" s="72"/>
      <c r="AX58" s="72"/>
      <c r="AY58" s="72"/>
      <c r="AZ58" s="72"/>
      <c r="BA58" s="72"/>
      <c r="BB58" s="72"/>
      <c r="BC58" s="72"/>
      <c r="BD58" s="72"/>
      <c r="BE58" s="72"/>
      <c r="BF58" s="72"/>
      <c r="BG58" s="72"/>
      <c r="BH58" s="72"/>
      <c r="BI58" s="72"/>
      <c r="BJ58" s="72"/>
      <c r="BK58" s="72"/>
      <c r="BL58" s="72"/>
      <c r="BM58" s="72"/>
      <c r="BN58" s="72"/>
      <c r="BO58" s="72"/>
      <c r="BP58" s="72"/>
      <c r="BQ58" s="72"/>
      <c r="BR58" s="72"/>
      <c r="BS58" s="72"/>
      <c r="BT58" s="72"/>
    </row>
    <row r="59" spans="2:72" s="183" customFormat="1">
      <c r="B59" s="18" t="s">
        <v>26</v>
      </c>
      <c r="D59" s="263">
        <v>0</v>
      </c>
      <c r="E59" s="263">
        <f t="shared" ref="E59:AM59" si="19">D60</f>
        <v>686556.88317799452</v>
      </c>
      <c r="F59" s="263">
        <f t="shared" si="19"/>
        <v>660513.76635598904</v>
      </c>
      <c r="G59" s="263">
        <f t="shared" si="19"/>
        <v>562633.24953398353</v>
      </c>
      <c r="H59" s="263">
        <f t="shared" si="19"/>
        <v>548137.73271197802</v>
      </c>
      <c r="I59" s="263">
        <f t="shared" si="19"/>
        <v>530286.0558899726</v>
      </c>
      <c r="J59" s="263">
        <f t="shared" si="19"/>
        <v>507221.71906796715</v>
      </c>
      <c r="K59" s="263">
        <f t="shared" si="19"/>
        <v>485928.48224596167</v>
      </c>
      <c r="L59" s="263">
        <f t="shared" si="19"/>
        <v>483194.88542395621</v>
      </c>
      <c r="M59" s="263">
        <f t="shared" si="19"/>
        <v>457141.44360195071</v>
      </c>
      <c r="N59" s="263">
        <f t="shared" si="19"/>
        <v>453821.64677994529</v>
      </c>
      <c r="O59" s="1049">
        <f t="shared" si="19"/>
        <v>467286.48995793983</v>
      </c>
      <c r="P59" s="263">
        <f t="shared" si="19"/>
        <v>432590.72613593435</v>
      </c>
      <c r="Q59" s="183">
        <f t="shared" si="19"/>
        <v>353900.2566472622</v>
      </c>
      <c r="R59" s="183">
        <f t="shared" si="19"/>
        <v>395359.15875859006</v>
      </c>
      <c r="S59" s="183">
        <f t="shared" si="19"/>
        <v>353462.29566991789</v>
      </c>
      <c r="T59" s="183">
        <f t="shared" si="19"/>
        <v>346872.77018124581</v>
      </c>
      <c r="U59" s="183">
        <f t="shared" si="19"/>
        <v>374412.95869257365</v>
      </c>
      <c r="V59" s="183">
        <f t="shared" si="19"/>
        <v>366988.36000390153</v>
      </c>
      <c r="W59" s="183">
        <f t="shared" si="19"/>
        <v>435087.49371522944</v>
      </c>
      <c r="X59" s="183">
        <f t="shared" si="19"/>
        <v>519869.55542655732</v>
      </c>
      <c r="Y59" s="183">
        <f t="shared" ca="1" si="19"/>
        <v>533606.54283788521</v>
      </c>
      <c r="Z59" s="183">
        <f t="shared" ca="1" si="19"/>
        <v>638520.16454921314</v>
      </c>
      <c r="AA59" s="1049">
        <f t="shared" ca="1" si="19"/>
        <v>762001.56866054097</v>
      </c>
      <c r="AB59" s="263">
        <f t="shared" ca="1" si="19"/>
        <v>805183.14053186879</v>
      </c>
      <c r="AC59" s="183">
        <f t="shared" ca="1" si="19"/>
        <v>540355.75194986328</v>
      </c>
      <c r="AD59" s="183">
        <f t="shared" ca="1" si="19"/>
        <v>674337.10233585781</v>
      </c>
      <c r="AE59" s="183">
        <f t="shared" ca="1" si="19"/>
        <v>832903.52119785245</v>
      </c>
      <c r="AF59" s="183">
        <f t="shared" ca="1" si="19"/>
        <v>623924.27714384696</v>
      </c>
      <c r="AG59" s="183">
        <f t="shared" ca="1" si="19"/>
        <v>785233.41057784157</v>
      </c>
      <c r="AH59" s="183">
        <f t="shared" ca="1" si="19"/>
        <v>880486.13689983613</v>
      </c>
      <c r="AI59" s="183">
        <f t="shared" ca="1" si="19"/>
        <v>1061455.1969978306</v>
      </c>
      <c r="AJ59" s="183">
        <f t="shared" ca="1" si="19"/>
        <v>1295990.4072718252</v>
      </c>
      <c r="AK59" s="183">
        <f t="shared" ca="1" si="19"/>
        <v>1183615.5708035713</v>
      </c>
      <c r="AL59" s="183">
        <f t="shared" ca="1" si="19"/>
        <v>1636289.5964695658</v>
      </c>
      <c r="AM59" s="183">
        <f t="shared" ca="1" si="19"/>
        <v>2072356.5508635603</v>
      </c>
    </row>
    <row r="60" spans="2:72" s="149" customFormat="1">
      <c r="B60" s="164" t="s">
        <v>213</v>
      </c>
      <c r="C60" s="184"/>
      <c r="D60" s="1031">
        <f>D59+D57</f>
        <v>686556.88317799452</v>
      </c>
      <c r="E60" s="158">
        <f t="shared" ref="E60:AM60" si="20">E59+E57</f>
        <v>660513.76635598904</v>
      </c>
      <c r="F60" s="158">
        <f t="shared" si="20"/>
        <v>562633.24953398353</v>
      </c>
      <c r="G60" s="158">
        <f t="shared" si="20"/>
        <v>548137.73271197802</v>
      </c>
      <c r="H60" s="158">
        <f t="shared" si="20"/>
        <v>530286.0558899726</v>
      </c>
      <c r="I60" s="158">
        <f t="shared" si="20"/>
        <v>507221.71906796715</v>
      </c>
      <c r="J60" s="158">
        <f t="shared" si="20"/>
        <v>485928.48224596167</v>
      </c>
      <c r="K60" s="158">
        <f t="shared" si="20"/>
        <v>483194.88542395621</v>
      </c>
      <c r="L60" s="158">
        <f t="shared" si="20"/>
        <v>457141.44360195071</v>
      </c>
      <c r="M60" s="158">
        <f t="shared" si="20"/>
        <v>453821.64677994529</v>
      </c>
      <c r="N60" s="158">
        <f t="shared" si="20"/>
        <v>467286.48995793983</v>
      </c>
      <c r="O60" s="1041">
        <f t="shared" si="20"/>
        <v>432590.72613593435</v>
      </c>
      <c r="P60" s="158">
        <f t="shared" si="20"/>
        <v>353900.2566472622</v>
      </c>
      <c r="Q60" s="149">
        <f t="shared" si="20"/>
        <v>395359.15875859006</v>
      </c>
      <c r="R60" s="149">
        <f t="shared" si="20"/>
        <v>353462.29566991789</v>
      </c>
      <c r="S60" s="149">
        <f t="shared" si="20"/>
        <v>346872.77018124581</v>
      </c>
      <c r="T60" s="149">
        <f t="shared" si="20"/>
        <v>374412.95869257365</v>
      </c>
      <c r="U60" s="149">
        <f t="shared" si="20"/>
        <v>366988.36000390153</v>
      </c>
      <c r="V60" s="149">
        <f t="shared" si="20"/>
        <v>435087.49371522944</v>
      </c>
      <c r="W60" s="149">
        <f t="shared" si="20"/>
        <v>519869.55542655732</v>
      </c>
      <c r="X60" s="149">
        <f t="shared" ca="1" si="20"/>
        <v>533606.54283788521</v>
      </c>
      <c r="Y60" s="149">
        <f t="shared" ca="1" si="20"/>
        <v>638520.16454921314</v>
      </c>
      <c r="Z60" s="149">
        <f t="shared" ca="1" si="20"/>
        <v>762001.56866054097</v>
      </c>
      <c r="AA60" s="1041">
        <f t="shared" ca="1" si="20"/>
        <v>805183.14053186879</v>
      </c>
      <c r="AB60" s="158">
        <f ca="1">AB59+AB57</f>
        <v>540355.75194986328</v>
      </c>
      <c r="AC60" s="149">
        <f t="shared" ca="1" si="20"/>
        <v>674337.10233585781</v>
      </c>
      <c r="AD60" s="149">
        <f t="shared" ca="1" si="20"/>
        <v>832903.52119785245</v>
      </c>
      <c r="AE60" s="149">
        <f t="shared" ca="1" si="20"/>
        <v>623924.27714384696</v>
      </c>
      <c r="AF60" s="149">
        <f t="shared" ca="1" si="20"/>
        <v>785233.41057784157</v>
      </c>
      <c r="AG60" s="149">
        <f t="shared" ca="1" si="20"/>
        <v>880486.13689983613</v>
      </c>
      <c r="AH60" s="149">
        <f t="shared" ca="1" si="20"/>
        <v>1061455.1969978306</v>
      </c>
      <c r="AI60" s="149">
        <f t="shared" ca="1" si="20"/>
        <v>1295990.4072718252</v>
      </c>
      <c r="AJ60" s="149">
        <f t="shared" ca="1" si="20"/>
        <v>1183615.5708035713</v>
      </c>
      <c r="AK60" s="149">
        <f t="shared" ca="1" si="20"/>
        <v>1636289.5964695658</v>
      </c>
      <c r="AL60" s="149">
        <f t="shared" ca="1" si="20"/>
        <v>2072356.5508635603</v>
      </c>
      <c r="AM60" s="149">
        <f t="shared" ca="1" si="20"/>
        <v>1976997.923359755</v>
      </c>
      <c r="AN60" s="169"/>
      <c r="AO60" s="169"/>
      <c r="AP60" s="169"/>
      <c r="AQ60" s="169"/>
      <c r="AR60" s="169"/>
      <c r="AS60" s="169"/>
      <c r="AT60" s="169"/>
      <c r="AU60" s="169"/>
      <c r="AV60" s="169"/>
      <c r="AW60" s="169"/>
      <c r="AX60" s="169"/>
      <c r="AY60" s="169"/>
      <c r="AZ60" s="169"/>
      <c r="BA60" s="169"/>
      <c r="BB60" s="169"/>
      <c r="BC60" s="169"/>
      <c r="BD60" s="169"/>
      <c r="BE60" s="169"/>
      <c r="BF60" s="169"/>
      <c r="BG60" s="169"/>
      <c r="BH60" s="169"/>
      <c r="BI60" s="169"/>
      <c r="BJ60" s="169"/>
      <c r="BK60" s="169"/>
      <c r="BL60" s="169"/>
      <c r="BM60" s="169"/>
      <c r="BN60" s="169"/>
      <c r="BO60" s="169"/>
      <c r="BP60" s="169"/>
      <c r="BQ60" s="169"/>
      <c r="BR60" s="169"/>
      <c r="BS60" s="169"/>
      <c r="BT60" s="169"/>
    </row>
    <row r="61" spans="2:72" s="169" customFormat="1">
      <c r="B61" s="57"/>
      <c r="C61" s="185"/>
      <c r="D61" s="172"/>
      <c r="E61" s="172"/>
      <c r="F61" s="172"/>
      <c r="G61" s="172"/>
      <c r="H61" s="172"/>
      <c r="I61" s="172"/>
      <c r="J61" s="172"/>
      <c r="K61" s="172"/>
      <c r="L61" s="172"/>
      <c r="M61" s="172"/>
      <c r="N61" s="172"/>
      <c r="O61" s="1050"/>
      <c r="P61" s="172"/>
      <c r="AA61" s="1050"/>
      <c r="AB61" s="172"/>
    </row>
    <row r="62" spans="2:72" s="67" customFormat="1">
      <c r="B62" s="186" t="s">
        <v>23</v>
      </c>
      <c r="C62" s="187"/>
      <c r="D62" s="187">
        <f>'Balance Sheet'!D67</f>
        <v>0</v>
      </c>
      <c r="E62" s="187">
        <f>'Balance Sheet'!E67</f>
        <v>0</v>
      </c>
      <c r="F62" s="187">
        <f>'Balance Sheet'!F67</f>
        <v>0</v>
      </c>
      <c r="G62" s="187">
        <f>'Balance Sheet'!G67</f>
        <v>0</v>
      </c>
      <c r="H62" s="187">
        <f>'Balance Sheet'!H67</f>
        <v>0</v>
      </c>
      <c r="I62" s="187">
        <f>'Balance Sheet'!I67</f>
        <v>0</v>
      </c>
      <c r="J62" s="187">
        <f>'Balance Sheet'!J67</f>
        <v>0</v>
      </c>
      <c r="K62" s="187">
        <f>'Balance Sheet'!K67</f>
        <v>0</v>
      </c>
      <c r="L62" s="187">
        <f>'Balance Sheet'!L67</f>
        <v>0</v>
      </c>
      <c r="M62" s="187">
        <f>'Balance Sheet'!M67</f>
        <v>0</v>
      </c>
      <c r="N62" s="187">
        <f>'Balance Sheet'!N67</f>
        <v>0</v>
      </c>
      <c r="O62" s="1051">
        <f>'Balance Sheet'!O67</f>
        <v>0</v>
      </c>
      <c r="P62" s="187">
        <f>'Balance Sheet'!P67</f>
        <v>0</v>
      </c>
      <c r="Q62" s="187">
        <f>'Balance Sheet'!Q67</f>
        <v>0</v>
      </c>
      <c r="R62" s="187">
        <f>'Balance Sheet'!R67</f>
        <v>0</v>
      </c>
      <c r="S62" s="187">
        <f>'Balance Sheet'!S67</f>
        <v>0</v>
      </c>
      <c r="T62" s="187">
        <f>'Balance Sheet'!T67</f>
        <v>0</v>
      </c>
      <c r="U62" s="187">
        <f>'Balance Sheet'!U67</f>
        <v>0</v>
      </c>
      <c r="V62" s="187">
        <f>'Balance Sheet'!V67</f>
        <v>0</v>
      </c>
      <c r="W62" s="187">
        <f>'Balance Sheet'!W67</f>
        <v>0</v>
      </c>
      <c r="X62" s="187">
        <f ca="1">'Balance Sheet'!X67</f>
        <v>0</v>
      </c>
      <c r="Y62" s="187">
        <f ca="1">'Balance Sheet'!Y67</f>
        <v>0</v>
      </c>
      <c r="Z62" s="187">
        <f ca="1">'Balance Sheet'!Z67</f>
        <v>0</v>
      </c>
      <c r="AA62" s="1051">
        <f ca="1">'Balance Sheet'!AA67</f>
        <v>0</v>
      </c>
      <c r="AB62" s="187">
        <f ca="1">'Balance Sheet'!AB67</f>
        <v>0</v>
      </c>
      <c r="AC62" s="187">
        <f ca="1">'Balance Sheet'!AC67</f>
        <v>0</v>
      </c>
      <c r="AD62" s="187">
        <f ca="1">'Balance Sheet'!AD67</f>
        <v>0</v>
      </c>
      <c r="AE62" s="187">
        <f ca="1">'Balance Sheet'!AE67</f>
        <v>0</v>
      </c>
      <c r="AF62" s="187">
        <f ca="1">'Balance Sheet'!AF67</f>
        <v>0</v>
      </c>
      <c r="AG62" s="187">
        <f ca="1">'Balance Sheet'!AG67</f>
        <v>0</v>
      </c>
      <c r="AH62" s="187">
        <f ca="1">'Balance Sheet'!AH67</f>
        <v>0</v>
      </c>
      <c r="AI62" s="187">
        <f ca="1">'Balance Sheet'!AI67</f>
        <v>0</v>
      </c>
      <c r="AJ62" s="187">
        <f ca="1">'Balance Sheet'!AJ67</f>
        <v>0</v>
      </c>
      <c r="AK62" s="187">
        <f ca="1">'Balance Sheet'!AK67</f>
        <v>0</v>
      </c>
      <c r="AL62" s="187">
        <f ca="1">'Balance Sheet'!AL67</f>
        <v>0</v>
      </c>
      <c r="AM62" s="187">
        <f ca="1">'Balance Sheet'!AM67</f>
        <v>0</v>
      </c>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c r="BT62" s="72"/>
    </row>
    <row r="63" spans="2:72" s="67" customFormat="1">
      <c r="B63" s="18"/>
      <c r="D63" s="68"/>
      <c r="E63" s="68"/>
      <c r="F63" s="68"/>
      <c r="G63" s="68"/>
      <c r="H63" s="68"/>
      <c r="I63" s="68"/>
      <c r="J63" s="68"/>
      <c r="K63" s="68"/>
      <c r="L63" s="68"/>
      <c r="M63" s="68"/>
      <c r="N63" s="68"/>
      <c r="O63" s="1037"/>
      <c r="P63" s="71"/>
      <c r="Q63" s="72"/>
      <c r="R63" s="72"/>
      <c r="S63" s="72"/>
      <c r="T63" s="72"/>
      <c r="U63" s="72"/>
      <c r="V63" s="72"/>
      <c r="W63" s="72"/>
      <c r="X63" s="72"/>
      <c r="Y63" s="72"/>
      <c r="Z63" s="72"/>
      <c r="AA63" s="1058"/>
      <c r="AB63" s="71"/>
      <c r="AN63" s="72"/>
      <c r="AO63" s="72"/>
      <c r="AP63" s="72"/>
      <c r="AQ63" s="72"/>
      <c r="AR63" s="72"/>
      <c r="AS63" s="72"/>
      <c r="AT63" s="72"/>
      <c r="AU63" s="72"/>
      <c r="AV63" s="72"/>
      <c r="AW63" s="72"/>
      <c r="AX63" s="72"/>
      <c r="AY63" s="72"/>
      <c r="AZ63" s="72"/>
      <c r="BA63" s="72"/>
      <c r="BB63" s="72"/>
      <c r="BC63" s="72"/>
      <c r="BD63" s="72"/>
      <c r="BE63" s="72"/>
      <c r="BF63" s="72"/>
      <c r="BG63" s="72"/>
      <c r="BH63" s="72"/>
      <c r="BI63" s="72"/>
      <c r="BJ63" s="72"/>
      <c r="BK63" s="72"/>
      <c r="BL63" s="72"/>
      <c r="BM63" s="72"/>
      <c r="BN63" s="72"/>
      <c r="BO63" s="72"/>
      <c r="BP63" s="72"/>
      <c r="BQ63" s="72"/>
      <c r="BR63" s="72"/>
      <c r="BS63" s="72"/>
      <c r="BT63" s="72"/>
    </row>
    <row r="64" spans="2:72" s="67" customFormat="1" ht="7.2" customHeight="1">
      <c r="B64" s="18"/>
      <c r="D64" s="68"/>
      <c r="E64" s="68"/>
      <c r="F64" s="68"/>
      <c r="G64" s="68"/>
      <c r="H64" s="68"/>
      <c r="I64" s="68"/>
      <c r="J64" s="68"/>
      <c r="K64" s="68"/>
      <c r="L64" s="68"/>
      <c r="M64" s="68"/>
      <c r="N64" s="68"/>
      <c r="O64" s="1037"/>
      <c r="P64" s="71"/>
      <c r="Q64" s="72"/>
      <c r="R64" s="72"/>
      <c r="S64" s="72"/>
      <c r="T64" s="72"/>
      <c r="U64" s="72"/>
      <c r="V64" s="72"/>
      <c r="W64" s="72"/>
      <c r="X64" s="72"/>
      <c r="Y64" s="72"/>
      <c r="Z64" s="72"/>
      <c r="AA64" s="1058"/>
      <c r="AB64" s="71"/>
      <c r="AN64" s="72"/>
      <c r="AO64" s="72"/>
      <c r="AP64" s="72"/>
      <c r="AQ64" s="72"/>
      <c r="AR64" s="72"/>
      <c r="AS64" s="72"/>
      <c r="AT64" s="72"/>
      <c r="AU64" s="72"/>
      <c r="AV64" s="72"/>
      <c r="AW64" s="72"/>
      <c r="AX64" s="72"/>
      <c r="AY64" s="72"/>
      <c r="AZ64" s="72"/>
      <c r="BA64" s="72"/>
      <c r="BB64" s="72"/>
      <c r="BC64" s="72"/>
      <c r="BD64" s="72"/>
      <c r="BE64" s="72"/>
      <c r="BF64" s="72"/>
      <c r="BG64" s="72"/>
      <c r="BH64" s="72"/>
      <c r="BI64" s="72"/>
      <c r="BJ64" s="72"/>
      <c r="BK64" s="72"/>
      <c r="BL64" s="72"/>
      <c r="BM64" s="72"/>
      <c r="BN64" s="72"/>
      <c r="BO64" s="72"/>
      <c r="BP64" s="72"/>
      <c r="BQ64" s="72"/>
      <c r="BR64" s="72"/>
      <c r="BS64" s="72"/>
      <c r="BT64" s="72"/>
    </row>
    <row r="65" spans="2:72" s="67" customFormat="1" hidden="1">
      <c r="B65" s="18"/>
      <c r="D65" s="68"/>
      <c r="E65" s="68"/>
      <c r="F65" s="68"/>
      <c r="G65" s="68"/>
      <c r="H65" s="68"/>
      <c r="I65" s="68"/>
      <c r="J65" s="68"/>
      <c r="K65" s="68"/>
      <c r="L65" s="68"/>
      <c r="M65" s="68"/>
      <c r="N65" s="68"/>
      <c r="O65" s="1037"/>
      <c r="P65" s="71"/>
      <c r="Q65" s="72"/>
      <c r="R65" s="72"/>
      <c r="S65" s="72"/>
      <c r="T65" s="72"/>
      <c r="U65" s="72"/>
      <c r="V65" s="72"/>
      <c r="W65" s="72"/>
      <c r="X65" s="72"/>
      <c r="Y65" s="72"/>
      <c r="Z65" s="72"/>
      <c r="AA65" s="1058"/>
      <c r="AB65" s="71"/>
      <c r="AN65" s="72"/>
      <c r="AO65" s="72"/>
      <c r="AP65" s="72"/>
      <c r="AQ65" s="72"/>
      <c r="AR65" s="72"/>
      <c r="AS65" s="72"/>
      <c r="AT65" s="72"/>
      <c r="AU65" s="72"/>
      <c r="AV65" s="72"/>
      <c r="AW65" s="72"/>
      <c r="AX65" s="72"/>
      <c r="AY65" s="72"/>
      <c r="AZ65" s="72"/>
      <c r="BA65" s="72"/>
      <c r="BB65" s="72"/>
      <c r="BC65" s="72"/>
      <c r="BD65" s="72"/>
      <c r="BE65" s="72"/>
      <c r="BF65" s="72"/>
      <c r="BG65" s="72"/>
      <c r="BH65" s="72"/>
      <c r="BI65" s="72"/>
      <c r="BJ65" s="72"/>
      <c r="BK65" s="72"/>
      <c r="BL65" s="72"/>
      <c r="BM65" s="72"/>
      <c r="BN65" s="72"/>
      <c r="BO65" s="72"/>
      <c r="BP65" s="72"/>
      <c r="BQ65" s="72"/>
      <c r="BR65" s="72"/>
      <c r="BS65" s="72"/>
      <c r="BT65" s="72"/>
    </row>
    <row r="66" spans="2:72" s="67" customFormat="1" hidden="1">
      <c r="B66" s="18"/>
      <c r="D66" s="68"/>
      <c r="E66" s="68"/>
      <c r="F66" s="68"/>
      <c r="G66" s="68"/>
      <c r="H66" s="68"/>
      <c r="I66" s="68"/>
      <c r="J66" s="68"/>
      <c r="K66" s="68"/>
      <c r="L66" s="68"/>
      <c r="M66" s="68"/>
      <c r="N66" s="68"/>
      <c r="O66" s="1037"/>
      <c r="P66" s="71"/>
      <c r="Q66" s="72"/>
      <c r="R66" s="72"/>
      <c r="S66" s="72"/>
      <c r="T66" s="72"/>
      <c r="U66" s="72"/>
      <c r="V66" s="72"/>
      <c r="W66" s="72"/>
      <c r="X66" s="72"/>
      <c r="Y66" s="72"/>
      <c r="Z66" s="72"/>
      <c r="AA66" s="1058"/>
      <c r="AB66" s="71"/>
      <c r="AN66" s="72"/>
      <c r="AO66" s="72"/>
      <c r="AP66" s="72"/>
      <c r="AQ66" s="72"/>
      <c r="AR66" s="72"/>
      <c r="AS66" s="72"/>
      <c r="AT66" s="72"/>
      <c r="AU66" s="72"/>
      <c r="AV66" s="72"/>
      <c r="AW66" s="72"/>
      <c r="AX66" s="72"/>
      <c r="AY66" s="72"/>
      <c r="AZ66" s="72"/>
      <c r="BA66" s="72"/>
      <c r="BB66" s="72"/>
      <c r="BC66" s="72"/>
      <c r="BD66" s="72"/>
      <c r="BE66" s="72"/>
      <c r="BF66" s="72"/>
      <c r="BG66" s="72"/>
      <c r="BH66" s="72"/>
      <c r="BI66" s="72"/>
      <c r="BJ66" s="72"/>
      <c r="BK66" s="72"/>
      <c r="BL66" s="72"/>
      <c r="BM66" s="72"/>
      <c r="BN66" s="72"/>
      <c r="BO66" s="72"/>
      <c r="BP66" s="72"/>
      <c r="BQ66" s="72"/>
      <c r="BR66" s="72"/>
      <c r="BS66" s="72"/>
      <c r="BT66" s="72"/>
    </row>
    <row r="67" spans="2:72" s="67" customFormat="1" hidden="1">
      <c r="B67" s="18"/>
      <c r="D67" s="68"/>
      <c r="E67" s="68"/>
      <c r="F67" s="68"/>
      <c r="G67" s="68"/>
      <c r="H67" s="68"/>
      <c r="I67" s="68"/>
      <c r="J67" s="68"/>
      <c r="K67" s="68"/>
      <c r="L67" s="68"/>
      <c r="M67" s="68"/>
      <c r="N67" s="68"/>
      <c r="O67" s="1037"/>
      <c r="P67" s="71"/>
      <c r="Q67" s="72"/>
      <c r="R67" s="72"/>
      <c r="S67" s="72"/>
      <c r="T67" s="72"/>
      <c r="U67" s="72"/>
      <c r="V67" s="72"/>
      <c r="W67" s="72"/>
      <c r="X67" s="72"/>
      <c r="Y67" s="72"/>
      <c r="Z67" s="72"/>
      <c r="AA67" s="1058"/>
      <c r="AB67" s="71"/>
      <c r="AN67" s="72"/>
      <c r="AO67" s="72"/>
      <c r="AP67" s="72"/>
      <c r="AQ67" s="72"/>
      <c r="AR67" s="72"/>
      <c r="AS67" s="72"/>
      <c r="AT67" s="72"/>
      <c r="AU67" s="72"/>
      <c r="AV67" s="72"/>
      <c r="AW67" s="72"/>
      <c r="AX67" s="72"/>
      <c r="AY67" s="72"/>
      <c r="AZ67" s="72"/>
      <c r="BA67" s="72"/>
      <c r="BB67" s="72"/>
      <c r="BC67" s="72"/>
      <c r="BD67" s="72"/>
      <c r="BE67" s="72"/>
      <c r="BF67" s="72"/>
      <c r="BG67" s="72"/>
      <c r="BH67" s="72"/>
      <c r="BI67" s="72"/>
      <c r="BJ67" s="72"/>
      <c r="BK67" s="72"/>
      <c r="BL67" s="72"/>
      <c r="BM67" s="72"/>
      <c r="BN67" s="72"/>
      <c r="BO67" s="72"/>
      <c r="BP67" s="72"/>
      <c r="BQ67" s="72"/>
      <c r="BR67" s="72"/>
      <c r="BS67" s="72"/>
      <c r="BT67" s="72"/>
    </row>
    <row r="68" spans="2:72" s="67" customFormat="1" hidden="1">
      <c r="B68" s="18"/>
      <c r="D68" s="68"/>
      <c r="E68" s="68"/>
      <c r="F68" s="68"/>
      <c r="G68" s="68"/>
      <c r="H68" s="68"/>
      <c r="I68" s="68"/>
      <c r="J68" s="68"/>
      <c r="K68" s="68"/>
      <c r="L68" s="68"/>
      <c r="M68" s="68"/>
      <c r="N68" s="68"/>
      <c r="O68" s="1037"/>
      <c r="P68" s="71"/>
      <c r="Q68" s="72"/>
      <c r="R68" s="72"/>
      <c r="S68" s="72"/>
      <c r="T68" s="72"/>
      <c r="U68" s="72"/>
      <c r="V68" s="72"/>
      <c r="W68" s="72"/>
      <c r="X68" s="72"/>
      <c r="Y68" s="72"/>
      <c r="Z68" s="72"/>
      <c r="AA68" s="1058"/>
      <c r="AB68" s="71"/>
      <c r="AN68" s="72"/>
      <c r="AO68" s="72"/>
      <c r="AP68" s="72"/>
      <c r="AQ68" s="72"/>
      <c r="AR68" s="72"/>
      <c r="AS68" s="72"/>
      <c r="AT68" s="72"/>
      <c r="AU68" s="72"/>
      <c r="AV68" s="72"/>
      <c r="AW68" s="72"/>
      <c r="AX68" s="72"/>
      <c r="AY68" s="72"/>
      <c r="AZ68" s="72"/>
      <c r="BA68" s="72"/>
      <c r="BB68" s="72"/>
      <c r="BC68" s="72"/>
      <c r="BD68" s="72"/>
      <c r="BE68" s="72"/>
      <c r="BF68" s="72"/>
      <c r="BG68" s="72"/>
      <c r="BH68" s="72"/>
      <c r="BI68" s="72"/>
      <c r="BJ68" s="72"/>
      <c r="BK68" s="72"/>
      <c r="BL68" s="72"/>
      <c r="BM68" s="72"/>
      <c r="BN68" s="72"/>
      <c r="BO68" s="72"/>
      <c r="BP68" s="72"/>
      <c r="BQ68" s="72"/>
      <c r="BR68" s="72"/>
      <c r="BS68" s="72"/>
      <c r="BT68" s="72"/>
    </row>
    <row r="69" spans="2:72" s="67" customFormat="1" hidden="1">
      <c r="B69" s="18"/>
      <c r="D69" s="68"/>
      <c r="E69" s="68"/>
      <c r="F69" s="68"/>
      <c r="G69" s="68"/>
      <c r="H69" s="68"/>
      <c r="I69" s="68"/>
      <c r="J69" s="68"/>
      <c r="K69" s="68"/>
      <c r="L69" s="68"/>
      <c r="M69" s="68"/>
      <c r="N69" s="68"/>
      <c r="O69" s="1037"/>
      <c r="P69" s="71"/>
      <c r="Q69" s="72"/>
      <c r="R69" s="72"/>
      <c r="S69" s="72"/>
      <c r="T69" s="72"/>
      <c r="U69" s="72"/>
      <c r="V69" s="72"/>
      <c r="W69" s="72"/>
      <c r="X69" s="72"/>
      <c r="Y69" s="72"/>
      <c r="Z69" s="72"/>
      <c r="AA69" s="1058"/>
      <c r="AB69" s="71"/>
      <c r="AN69" s="72"/>
      <c r="AO69" s="72"/>
      <c r="AP69" s="72"/>
      <c r="AQ69" s="72"/>
      <c r="AR69" s="72"/>
      <c r="AS69" s="72"/>
      <c r="AT69" s="72"/>
      <c r="AU69" s="72"/>
      <c r="AV69" s="72"/>
      <c r="AW69" s="72"/>
      <c r="AX69" s="72"/>
      <c r="AY69" s="72"/>
      <c r="AZ69" s="72"/>
      <c r="BA69" s="72"/>
      <c r="BB69" s="72"/>
      <c r="BC69" s="72"/>
      <c r="BD69" s="72"/>
      <c r="BE69" s="72"/>
      <c r="BF69" s="72"/>
      <c r="BG69" s="72"/>
      <c r="BH69" s="72"/>
      <c r="BI69" s="72"/>
      <c r="BJ69" s="72"/>
      <c r="BK69" s="72"/>
      <c r="BL69" s="72"/>
      <c r="BM69" s="72"/>
      <c r="BN69" s="72"/>
      <c r="BO69" s="72"/>
      <c r="BP69" s="72"/>
      <c r="BQ69" s="72"/>
      <c r="BR69" s="72"/>
      <c r="BS69" s="72"/>
      <c r="BT69" s="72"/>
    </row>
    <row r="70" spans="2:72" s="67" customFormat="1" hidden="1">
      <c r="B70" s="18"/>
      <c r="D70" s="68"/>
      <c r="E70" s="68"/>
      <c r="F70" s="68"/>
      <c r="G70" s="68"/>
      <c r="H70" s="68"/>
      <c r="I70" s="68"/>
      <c r="J70" s="68"/>
      <c r="K70" s="68"/>
      <c r="L70" s="68"/>
      <c r="M70" s="68"/>
      <c r="N70" s="68"/>
      <c r="O70" s="1037"/>
      <c r="P70" s="71"/>
      <c r="Q70" s="72"/>
      <c r="R70" s="72"/>
      <c r="S70" s="72"/>
      <c r="T70" s="72"/>
      <c r="U70" s="72"/>
      <c r="V70" s="72"/>
      <c r="W70" s="72"/>
      <c r="X70" s="72"/>
      <c r="Y70" s="72"/>
      <c r="Z70" s="72"/>
      <c r="AA70" s="1058"/>
      <c r="AB70" s="71"/>
      <c r="AN70" s="72"/>
      <c r="AO70" s="72"/>
      <c r="AP70" s="72"/>
      <c r="AQ70" s="72"/>
      <c r="AR70" s="72"/>
      <c r="AS70" s="72"/>
      <c r="AT70" s="72"/>
      <c r="AU70" s="72"/>
      <c r="AV70" s="72"/>
      <c r="AW70" s="72"/>
      <c r="AX70" s="72"/>
      <c r="AY70" s="72"/>
      <c r="AZ70" s="72"/>
      <c r="BA70" s="72"/>
      <c r="BB70" s="72"/>
      <c r="BC70" s="72"/>
      <c r="BD70" s="72"/>
      <c r="BE70" s="72"/>
      <c r="BF70" s="72"/>
      <c r="BG70" s="72"/>
      <c r="BH70" s="72"/>
      <c r="BI70" s="72"/>
      <c r="BJ70" s="72"/>
      <c r="BK70" s="72"/>
      <c r="BL70" s="72"/>
      <c r="BM70" s="72"/>
      <c r="BN70" s="72"/>
      <c r="BO70" s="72"/>
      <c r="BP70" s="72"/>
      <c r="BQ70" s="72"/>
      <c r="BR70" s="72"/>
      <c r="BS70" s="72"/>
      <c r="BT70" s="72"/>
    </row>
    <row r="71" spans="2:72" s="67" customFormat="1" hidden="1">
      <c r="B71" s="18"/>
      <c r="D71" s="68"/>
      <c r="E71" s="68"/>
      <c r="F71" s="68"/>
      <c r="G71" s="68"/>
      <c r="H71" s="68"/>
      <c r="I71" s="68"/>
      <c r="J71" s="68"/>
      <c r="K71" s="68"/>
      <c r="L71" s="68"/>
      <c r="M71" s="68"/>
      <c r="N71" s="68"/>
      <c r="O71" s="1037"/>
      <c r="P71" s="71"/>
      <c r="Q71" s="72"/>
      <c r="R71" s="72"/>
      <c r="S71" s="72"/>
      <c r="T71" s="72"/>
      <c r="U71" s="72"/>
      <c r="V71" s="72"/>
      <c r="W71" s="72"/>
      <c r="X71" s="72"/>
      <c r="Y71" s="72"/>
      <c r="Z71" s="72"/>
      <c r="AA71" s="1058"/>
      <c r="AB71" s="71"/>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c r="BP71" s="72"/>
      <c r="BQ71" s="72"/>
      <c r="BR71" s="72"/>
      <c r="BS71" s="72"/>
      <c r="BT71" s="72"/>
    </row>
    <row r="72" spans="2:72" s="67" customFormat="1" hidden="1">
      <c r="B72" s="18"/>
      <c r="D72" s="68"/>
      <c r="E72" s="68"/>
      <c r="F72" s="68"/>
      <c r="G72" s="68"/>
      <c r="H72" s="68"/>
      <c r="I72" s="68"/>
      <c r="J72" s="68"/>
      <c r="K72" s="68"/>
      <c r="L72" s="68"/>
      <c r="M72" s="68"/>
      <c r="N72" s="68"/>
      <c r="O72" s="1037"/>
      <c r="P72" s="71"/>
      <c r="Q72" s="72"/>
      <c r="R72" s="72"/>
      <c r="S72" s="72"/>
      <c r="T72" s="72"/>
      <c r="U72" s="72"/>
      <c r="V72" s="72"/>
      <c r="W72" s="72"/>
      <c r="X72" s="72"/>
      <c r="Y72" s="72"/>
      <c r="Z72" s="72"/>
      <c r="AA72" s="1058"/>
      <c r="AB72" s="71"/>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c r="BT72" s="72"/>
    </row>
    <row r="73" spans="2:72" s="993" customFormat="1" ht="43.2" customHeight="1">
      <c r="B73" s="951" t="s">
        <v>61</v>
      </c>
      <c r="C73" s="992"/>
      <c r="D73" s="992"/>
      <c r="E73" s="994"/>
      <c r="F73" s="994"/>
      <c r="G73" s="994"/>
      <c r="H73" s="994"/>
      <c r="I73" s="994"/>
      <c r="J73" s="994"/>
      <c r="K73" s="994"/>
      <c r="L73" s="994"/>
      <c r="M73" s="994"/>
      <c r="N73" s="994"/>
      <c r="O73" s="1052"/>
      <c r="P73" s="994"/>
      <c r="AA73" s="1052"/>
      <c r="AB73" s="994"/>
      <c r="AN73" s="1029"/>
      <c r="AO73" s="1029"/>
      <c r="AP73" s="1029"/>
      <c r="AQ73" s="1029"/>
      <c r="AR73" s="1029"/>
      <c r="AS73" s="1029"/>
      <c r="AT73" s="1029"/>
      <c r="AU73" s="1029"/>
      <c r="AV73" s="1029"/>
      <c r="AW73" s="1029"/>
      <c r="AX73" s="1029"/>
      <c r="AY73" s="1029"/>
      <c r="AZ73" s="1029"/>
      <c r="BA73" s="1029"/>
      <c r="BB73" s="1029"/>
      <c r="BC73" s="1029"/>
      <c r="BD73" s="1029"/>
      <c r="BE73" s="1029"/>
      <c r="BF73" s="1029"/>
      <c r="BG73" s="1029"/>
      <c r="BH73" s="1029"/>
      <c r="BI73" s="1029"/>
      <c r="BJ73" s="1029"/>
      <c r="BK73" s="1029"/>
      <c r="BL73" s="1029"/>
      <c r="BM73" s="1029"/>
      <c r="BN73" s="1029"/>
      <c r="BO73" s="1029"/>
      <c r="BP73" s="1029"/>
      <c r="BQ73" s="1029"/>
      <c r="BR73" s="1029"/>
      <c r="BS73" s="1029"/>
      <c r="BT73" s="1029"/>
    </row>
    <row r="74" spans="2:72" s="67" customFormat="1">
      <c r="B74" s="18"/>
      <c r="D74" s="1217"/>
      <c r="E74" s="1217"/>
      <c r="F74" s="1217"/>
      <c r="G74" s="1217"/>
      <c r="H74" s="1217"/>
      <c r="I74" s="1217"/>
      <c r="J74" s="1217"/>
      <c r="K74" s="1217"/>
      <c r="L74" s="1217"/>
      <c r="M74" s="1217"/>
      <c r="N74" s="1217"/>
      <c r="O74" s="1313"/>
      <c r="P74" s="1217"/>
      <c r="Q74" s="1217"/>
      <c r="R74" s="1217"/>
      <c r="S74" s="1217"/>
      <c r="T74" s="1217"/>
      <c r="U74" s="1217"/>
      <c r="V74" s="1217"/>
      <c r="W74" s="1217"/>
      <c r="X74" s="1217"/>
      <c r="Y74" s="1217"/>
      <c r="Z74" s="1217"/>
      <c r="AA74" s="1229"/>
      <c r="AB74" s="1217"/>
      <c r="AC74" s="1217"/>
      <c r="AD74" s="1217"/>
      <c r="AE74" s="1217"/>
      <c r="AF74" s="1217"/>
      <c r="AG74" s="1217"/>
      <c r="AH74" s="1217"/>
      <c r="AI74" s="1217"/>
      <c r="AJ74" s="1217"/>
      <c r="AK74" s="1217"/>
      <c r="AL74" s="1217"/>
      <c r="AM74" s="1229"/>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c r="BT74" s="72"/>
    </row>
    <row r="75" spans="2:72" s="24" customFormat="1">
      <c r="B75" s="23"/>
      <c r="C75" s="47" t="str">
        <f t="shared" ref="C75:AM75" si="21">C7</f>
        <v>Month:</v>
      </c>
      <c r="D75" s="34">
        <f t="shared" si="21"/>
        <v>45292</v>
      </c>
      <c r="E75" s="34">
        <f t="shared" si="21"/>
        <v>45323</v>
      </c>
      <c r="F75" s="34">
        <f t="shared" si="21"/>
        <v>45352</v>
      </c>
      <c r="G75" s="34">
        <f t="shared" si="21"/>
        <v>45383</v>
      </c>
      <c r="H75" s="34">
        <f t="shared" si="21"/>
        <v>45413</v>
      </c>
      <c r="I75" s="34">
        <f t="shared" si="21"/>
        <v>45444</v>
      </c>
      <c r="J75" s="34">
        <f t="shared" si="21"/>
        <v>45474</v>
      </c>
      <c r="K75" s="34">
        <f t="shared" si="21"/>
        <v>45505</v>
      </c>
      <c r="L75" s="34">
        <f t="shared" si="21"/>
        <v>45536</v>
      </c>
      <c r="M75" s="34">
        <f t="shared" si="21"/>
        <v>45566</v>
      </c>
      <c r="N75" s="34">
        <f t="shared" si="21"/>
        <v>45597</v>
      </c>
      <c r="O75" s="1039">
        <f t="shared" si="21"/>
        <v>45627</v>
      </c>
      <c r="P75" s="34">
        <f t="shared" si="21"/>
        <v>45658</v>
      </c>
      <c r="Q75" s="34">
        <f t="shared" si="21"/>
        <v>45689</v>
      </c>
      <c r="R75" s="34">
        <f t="shared" si="21"/>
        <v>45717</v>
      </c>
      <c r="S75" s="34">
        <f t="shared" si="21"/>
        <v>45748</v>
      </c>
      <c r="T75" s="34">
        <f t="shared" si="21"/>
        <v>45778</v>
      </c>
      <c r="U75" s="34">
        <f t="shared" si="21"/>
        <v>45809</v>
      </c>
      <c r="V75" s="34">
        <f t="shared" si="21"/>
        <v>45839</v>
      </c>
      <c r="W75" s="34">
        <f t="shared" si="21"/>
        <v>45870</v>
      </c>
      <c r="X75" s="34">
        <f t="shared" si="21"/>
        <v>45901</v>
      </c>
      <c r="Y75" s="34">
        <f t="shared" si="21"/>
        <v>45931</v>
      </c>
      <c r="Z75" s="34">
        <f t="shared" si="21"/>
        <v>45962</v>
      </c>
      <c r="AA75" s="1039">
        <f t="shared" si="21"/>
        <v>45992</v>
      </c>
      <c r="AB75" s="34">
        <f t="shared" si="21"/>
        <v>46023</v>
      </c>
      <c r="AC75" s="34">
        <f t="shared" si="21"/>
        <v>46054</v>
      </c>
      <c r="AD75" s="34">
        <f t="shared" si="21"/>
        <v>46082</v>
      </c>
      <c r="AE75" s="34">
        <f t="shared" si="21"/>
        <v>46113</v>
      </c>
      <c r="AF75" s="34">
        <f t="shared" si="21"/>
        <v>46143</v>
      </c>
      <c r="AG75" s="34">
        <f t="shared" si="21"/>
        <v>46174</v>
      </c>
      <c r="AH75" s="34">
        <f t="shared" si="21"/>
        <v>46204</v>
      </c>
      <c r="AI75" s="34">
        <f t="shared" si="21"/>
        <v>46235</v>
      </c>
      <c r="AJ75" s="34">
        <f t="shared" si="21"/>
        <v>46266</v>
      </c>
      <c r="AK75" s="34">
        <f t="shared" si="21"/>
        <v>46296</v>
      </c>
      <c r="AL75" s="34">
        <f t="shared" si="21"/>
        <v>46327</v>
      </c>
      <c r="AM75" s="34">
        <f t="shared" si="21"/>
        <v>46357</v>
      </c>
    </row>
    <row r="76" spans="2:72" s="24" customFormat="1" ht="16.2" thickBot="1">
      <c r="B76" s="23"/>
      <c r="C76" s="47"/>
      <c r="D76" s="34"/>
      <c r="E76" s="34"/>
      <c r="F76" s="34"/>
      <c r="G76" s="34"/>
      <c r="H76" s="34"/>
      <c r="I76" s="34"/>
      <c r="J76" s="34"/>
      <c r="K76" s="34"/>
      <c r="L76" s="34"/>
      <c r="M76" s="34"/>
      <c r="N76" s="34"/>
      <c r="O76" s="1039"/>
      <c r="P76" s="34"/>
      <c r="Q76" s="34"/>
      <c r="R76" s="34"/>
      <c r="S76" s="34"/>
      <c r="T76" s="34"/>
      <c r="U76" s="34"/>
      <c r="V76" s="34"/>
      <c r="W76" s="34"/>
      <c r="X76" s="34"/>
      <c r="Y76" s="34"/>
      <c r="Z76" s="34"/>
      <c r="AA76" s="1039"/>
      <c r="AB76" s="34"/>
      <c r="AC76" s="34"/>
      <c r="AD76" s="34"/>
      <c r="AE76" s="34"/>
      <c r="AF76" s="34"/>
      <c r="AG76" s="34"/>
      <c r="AH76" s="34"/>
      <c r="AI76" s="34"/>
      <c r="AJ76" s="34"/>
      <c r="AK76" s="34"/>
      <c r="AL76" s="34"/>
      <c r="AM76" s="34"/>
    </row>
    <row r="77" spans="2:72" s="143" customFormat="1" ht="16.2" thickTop="1">
      <c r="B77" s="1011" t="s">
        <v>119</v>
      </c>
      <c r="D77" s="160"/>
      <c r="E77" s="160"/>
      <c r="F77" s="160"/>
      <c r="G77" s="160"/>
      <c r="H77" s="160"/>
      <c r="I77" s="160"/>
      <c r="J77" s="160"/>
      <c r="K77" s="160"/>
      <c r="L77" s="160"/>
      <c r="M77" s="160"/>
      <c r="N77" s="160"/>
      <c r="O77" s="1042"/>
      <c r="P77" s="172"/>
      <c r="Q77" s="169"/>
      <c r="R77" s="169"/>
      <c r="S77" s="169"/>
      <c r="T77" s="169"/>
      <c r="U77" s="169"/>
      <c r="V77" s="169"/>
      <c r="W77" s="169"/>
      <c r="X77" s="169"/>
      <c r="Y77" s="169"/>
      <c r="Z77" s="169"/>
      <c r="AA77" s="1050"/>
      <c r="AB77" s="172"/>
      <c r="AN77" s="169"/>
      <c r="AO77" s="169"/>
      <c r="AP77" s="169"/>
      <c r="AQ77" s="169"/>
      <c r="AR77" s="169"/>
      <c r="AS77" s="169"/>
      <c r="AT77" s="169"/>
      <c r="AU77" s="169"/>
      <c r="AV77" s="169"/>
      <c r="AW77" s="169"/>
      <c r="AX77" s="169"/>
      <c r="AY77" s="169"/>
      <c r="AZ77" s="169"/>
      <c r="BA77" s="169"/>
      <c r="BB77" s="169"/>
      <c r="BC77" s="169"/>
      <c r="BD77" s="169"/>
      <c r="BE77" s="169"/>
      <c r="BF77" s="169"/>
      <c r="BG77" s="169"/>
      <c r="BH77" s="169"/>
      <c r="BI77" s="169"/>
      <c r="BJ77" s="169"/>
      <c r="BK77" s="169"/>
      <c r="BL77" s="169"/>
      <c r="BM77" s="169"/>
      <c r="BN77" s="169"/>
      <c r="BO77" s="169"/>
      <c r="BP77" s="169"/>
      <c r="BQ77" s="169"/>
      <c r="BR77" s="169"/>
      <c r="BS77" s="169"/>
      <c r="BT77" s="169"/>
    </row>
    <row r="78" spans="2:72" s="143" customFormat="1">
      <c r="B78" s="1012" t="s">
        <v>113</v>
      </c>
      <c r="D78" s="1002">
        <f>'Consolidated Profit and Loss'!D55</f>
        <v>25772</v>
      </c>
      <c r="E78" s="1002">
        <f>'Consolidated Profit and Loss'!E55</f>
        <v>29558</v>
      </c>
      <c r="F78" s="1002">
        <f>'Consolidated Profit and Loss'!F55</f>
        <v>36270</v>
      </c>
      <c r="G78" s="1002">
        <f>'Consolidated Profit and Loss'!G55</f>
        <v>38164</v>
      </c>
      <c r="H78" s="1002">
        <f>'Consolidated Profit and Loss'!H55</f>
        <v>44750</v>
      </c>
      <c r="I78" s="1002">
        <f>'Consolidated Profit and Loss'!I55</f>
        <v>49478</v>
      </c>
      <c r="J78" s="1002">
        <f>'Consolidated Profit and Loss'!J55</f>
        <v>55242</v>
      </c>
      <c r="K78" s="1002">
        <f>'Consolidated Profit and Loss'!K55</f>
        <v>56729.5</v>
      </c>
      <c r="L78" s="1002">
        <f>'Consolidated Profit and Loss'!L55</f>
        <v>59838</v>
      </c>
      <c r="M78" s="1002">
        <f>'Consolidated Profit and Loss'!M55</f>
        <v>64550</v>
      </c>
      <c r="N78" s="1002">
        <f>'Consolidated Profit and Loss'!N55</f>
        <v>70110.600000000006</v>
      </c>
      <c r="O78" s="1047">
        <f>'Consolidated Profit and Loss'!O55</f>
        <v>76762</v>
      </c>
      <c r="P78" s="999">
        <f>'Consolidated Profit and Loss'!P55</f>
        <v>103556.8</v>
      </c>
      <c r="Q78" s="999">
        <f>'Consolidated Profit and Loss'!Q55</f>
        <v>130173.9</v>
      </c>
      <c r="R78" s="999">
        <f>'Consolidated Profit and Loss'!R55</f>
        <v>166319</v>
      </c>
      <c r="S78" s="999">
        <f>'Consolidated Profit and Loss'!S55</f>
        <v>198640.1</v>
      </c>
      <c r="T78" s="999">
        <f>'Consolidated Profit and Loss'!T55</f>
        <v>214395.2</v>
      </c>
      <c r="U78" s="999">
        <f>'Consolidated Profit and Loss'!U55</f>
        <v>231713.3</v>
      </c>
      <c r="V78" s="999">
        <f>'Consolidated Profit and Loss'!V55</f>
        <v>248305.4</v>
      </c>
      <c r="W78" s="999">
        <f>'Consolidated Profit and Loss'!W55</f>
        <v>249238.39999999999</v>
      </c>
      <c r="X78" s="999">
        <f>'Consolidated Profit and Loss'!X55</f>
        <v>277291.40000000002</v>
      </c>
      <c r="Y78" s="999">
        <f>'Consolidated Profit and Loss'!Y55</f>
        <v>298631.5</v>
      </c>
      <c r="Z78" s="999">
        <f>'Consolidated Profit and Loss'!Z55</f>
        <v>321593.59999999998</v>
      </c>
      <c r="AA78" s="1047">
        <f>'Consolidated Profit and Loss'!AA55</f>
        <v>319906.3</v>
      </c>
      <c r="AB78" s="999">
        <f>'Consolidated Profit and Loss'!AB55</f>
        <v>371883.06000000006</v>
      </c>
      <c r="AC78" s="999">
        <f>'Consolidated Profit and Loss'!AC55</f>
        <v>408846.47200000001</v>
      </c>
      <c r="AD78" s="999">
        <f>'Consolidated Profit and Loss'!AD55</f>
        <v>470213.03200000001</v>
      </c>
      <c r="AE78" s="999">
        <f>'Consolidated Profit and Loss'!AE55</f>
        <v>491213.56000000006</v>
      </c>
      <c r="AF78" s="999">
        <f>'Consolidated Profit and Loss'!AF55</f>
        <v>541685.05800000008</v>
      </c>
      <c r="AG78" s="999">
        <f>'Consolidated Profit and Loss'!AG55</f>
        <v>620685.64599999995</v>
      </c>
      <c r="AH78" s="999">
        <f>'Consolidated Profit and Loss'!AH55</f>
        <v>676897.45640000002</v>
      </c>
      <c r="AI78" s="999">
        <f>'Consolidated Profit and Loss'!AI55</f>
        <v>703046.02399999998</v>
      </c>
      <c r="AJ78" s="999">
        <f>'Consolidated Profit and Loss'!AJ55</f>
        <v>723274.90599999996</v>
      </c>
      <c r="AK78" s="999">
        <f>'Consolidated Profit and Loss'!AK55</f>
        <v>796548.652</v>
      </c>
      <c r="AL78" s="999">
        <f>'Consolidated Profit and Loss'!AL55</f>
        <v>848725.21363999997</v>
      </c>
      <c r="AM78" s="999">
        <f>'Consolidated Profit and Loss'!AM55</f>
        <v>900255.60379999992</v>
      </c>
      <c r="AN78" s="169"/>
      <c r="AO78" s="169"/>
      <c r="AP78" s="169"/>
      <c r="AQ78" s="169"/>
      <c r="AR78" s="169"/>
      <c r="AS78" s="169"/>
      <c r="AT78" s="169"/>
      <c r="AU78" s="169"/>
      <c r="AV78" s="169"/>
      <c r="AW78" s="169"/>
      <c r="AX78" s="169"/>
      <c r="AY78" s="169"/>
      <c r="AZ78" s="169"/>
      <c r="BA78" s="169"/>
      <c r="BB78" s="169"/>
      <c r="BC78" s="169"/>
      <c r="BD78" s="169"/>
      <c r="BE78" s="169"/>
      <c r="BF78" s="169"/>
      <c r="BG78" s="169"/>
      <c r="BH78" s="169"/>
      <c r="BI78" s="169"/>
      <c r="BJ78" s="169"/>
      <c r="BK78" s="169"/>
      <c r="BL78" s="169"/>
      <c r="BM78" s="169"/>
      <c r="BN78" s="169"/>
      <c r="BO78" s="169"/>
      <c r="BP78" s="169"/>
      <c r="BQ78" s="169"/>
      <c r="BR78" s="169"/>
      <c r="BS78" s="169"/>
      <c r="BT78" s="169"/>
    </row>
    <row r="79" spans="2:72" s="169" customFormat="1">
      <c r="B79" s="1017" t="s">
        <v>182</v>
      </c>
      <c r="D79" s="995">
        <f>D78</f>
        <v>25772</v>
      </c>
      <c r="E79" s="995">
        <f t="shared" ref="E79:AM79" si="22">E78</f>
        <v>29558</v>
      </c>
      <c r="F79" s="995">
        <f t="shared" si="22"/>
        <v>36270</v>
      </c>
      <c r="G79" s="995">
        <f t="shared" si="22"/>
        <v>38164</v>
      </c>
      <c r="H79" s="995">
        <f t="shared" si="22"/>
        <v>44750</v>
      </c>
      <c r="I79" s="995">
        <f t="shared" si="22"/>
        <v>49478</v>
      </c>
      <c r="J79" s="995">
        <f t="shared" si="22"/>
        <v>55242</v>
      </c>
      <c r="K79" s="995">
        <f t="shared" si="22"/>
        <v>56729.5</v>
      </c>
      <c r="L79" s="995">
        <f t="shared" si="22"/>
        <v>59838</v>
      </c>
      <c r="M79" s="995">
        <f t="shared" si="22"/>
        <v>64550</v>
      </c>
      <c r="N79" s="995">
        <f t="shared" si="22"/>
        <v>70110.600000000006</v>
      </c>
      <c r="O79" s="1043">
        <f t="shared" si="22"/>
        <v>76762</v>
      </c>
      <c r="P79" s="995">
        <f t="shared" si="22"/>
        <v>103556.8</v>
      </c>
      <c r="Q79" s="995">
        <f t="shared" si="22"/>
        <v>130173.9</v>
      </c>
      <c r="R79" s="995">
        <f t="shared" si="22"/>
        <v>166319</v>
      </c>
      <c r="S79" s="995">
        <f t="shared" si="22"/>
        <v>198640.1</v>
      </c>
      <c r="T79" s="995">
        <f t="shared" si="22"/>
        <v>214395.2</v>
      </c>
      <c r="U79" s="995">
        <f t="shared" si="22"/>
        <v>231713.3</v>
      </c>
      <c r="V79" s="995">
        <f t="shared" si="22"/>
        <v>248305.4</v>
      </c>
      <c r="W79" s="995">
        <f t="shared" si="22"/>
        <v>249238.39999999999</v>
      </c>
      <c r="X79" s="995">
        <f t="shared" si="22"/>
        <v>277291.40000000002</v>
      </c>
      <c r="Y79" s="995">
        <f t="shared" si="22"/>
        <v>298631.5</v>
      </c>
      <c r="Z79" s="995">
        <f t="shared" si="22"/>
        <v>321593.59999999998</v>
      </c>
      <c r="AA79" s="1043">
        <f t="shared" si="22"/>
        <v>319906.3</v>
      </c>
      <c r="AB79" s="995">
        <f t="shared" si="22"/>
        <v>371883.06000000006</v>
      </c>
      <c r="AC79" s="995">
        <f t="shared" si="22"/>
        <v>408846.47200000001</v>
      </c>
      <c r="AD79" s="995">
        <f t="shared" si="22"/>
        <v>470213.03200000001</v>
      </c>
      <c r="AE79" s="995">
        <f t="shared" si="22"/>
        <v>491213.56000000006</v>
      </c>
      <c r="AF79" s="995">
        <f t="shared" si="22"/>
        <v>541685.05800000008</v>
      </c>
      <c r="AG79" s="995">
        <f t="shared" si="22"/>
        <v>620685.64599999995</v>
      </c>
      <c r="AH79" s="995">
        <f t="shared" si="22"/>
        <v>676897.45640000002</v>
      </c>
      <c r="AI79" s="995">
        <f t="shared" si="22"/>
        <v>703046.02399999998</v>
      </c>
      <c r="AJ79" s="995">
        <f t="shared" si="22"/>
        <v>723274.90599999996</v>
      </c>
      <c r="AK79" s="995">
        <f t="shared" si="22"/>
        <v>796548.652</v>
      </c>
      <c r="AL79" s="995">
        <f t="shared" si="22"/>
        <v>848725.21363999997</v>
      </c>
      <c r="AM79" s="995">
        <f t="shared" si="22"/>
        <v>900255.60379999992</v>
      </c>
    </row>
    <row r="80" spans="2:72" s="143" customFormat="1">
      <c r="B80" s="1017" t="s">
        <v>187</v>
      </c>
      <c r="D80" s="1002">
        <f>C79</f>
        <v>0</v>
      </c>
      <c r="E80" s="1002">
        <f t="shared" ref="E80:AM80" si="23">D79</f>
        <v>25772</v>
      </c>
      <c r="F80" s="1002">
        <f>E79</f>
        <v>29558</v>
      </c>
      <c r="G80" s="1002">
        <f t="shared" si="23"/>
        <v>36270</v>
      </c>
      <c r="H80" s="1002">
        <f t="shared" si="23"/>
        <v>38164</v>
      </c>
      <c r="I80" s="1002">
        <f t="shared" si="23"/>
        <v>44750</v>
      </c>
      <c r="J80" s="1002">
        <f t="shared" si="23"/>
        <v>49478</v>
      </c>
      <c r="K80" s="1002">
        <f t="shared" si="23"/>
        <v>55242</v>
      </c>
      <c r="L80" s="1002">
        <f t="shared" si="23"/>
        <v>56729.5</v>
      </c>
      <c r="M80" s="1002">
        <f t="shared" si="23"/>
        <v>59838</v>
      </c>
      <c r="N80" s="1002">
        <f t="shared" si="23"/>
        <v>64550</v>
      </c>
      <c r="O80" s="1047">
        <f t="shared" si="23"/>
        <v>70110.600000000006</v>
      </c>
      <c r="P80" s="1002">
        <f t="shared" si="23"/>
        <v>76762</v>
      </c>
      <c r="Q80" s="999">
        <f t="shared" si="23"/>
        <v>103556.8</v>
      </c>
      <c r="R80" s="999">
        <f t="shared" si="23"/>
        <v>130173.9</v>
      </c>
      <c r="S80" s="999">
        <f t="shared" si="23"/>
        <v>166319</v>
      </c>
      <c r="T80" s="999">
        <f t="shared" si="23"/>
        <v>198640.1</v>
      </c>
      <c r="U80" s="999">
        <f t="shared" si="23"/>
        <v>214395.2</v>
      </c>
      <c r="V80" s="999">
        <f t="shared" si="23"/>
        <v>231713.3</v>
      </c>
      <c r="W80" s="999">
        <f t="shared" si="23"/>
        <v>248305.4</v>
      </c>
      <c r="X80" s="999">
        <f t="shared" si="23"/>
        <v>249238.39999999999</v>
      </c>
      <c r="Y80" s="999">
        <f t="shared" si="23"/>
        <v>277291.40000000002</v>
      </c>
      <c r="Z80" s="999">
        <f t="shared" si="23"/>
        <v>298631.5</v>
      </c>
      <c r="AA80" s="1047">
        <f t="shared" si="23"/>
        <v>321593.59999999998</v>
      </c>
      <c r="AB80" s="1002">
        <f t="shared" si="23"/>
        <v>319906.3</v>
      </c>
      <c r="AC80" s="999">
        <f t="shared" si="23"/>
        <v>371883.06000000006</v>
      </c>
      <c r="AD80" s="999">
        <f t="shared" si="23"/>
        <v>408846.47200000001</v>
      </c>
      <c r="AE80" s="999">
        <f t="shared" si="23"/>
        <v>470213.03200000001</v>
      </c>
      <c r="AF80" s="999">
        <f t="shared" si="23"/>
        <v>491213.56000000006</v>
      </c>
      <c r="AG80" s="999">
        <f t="shared" si="23"/>
        <v>541685.05800000008</v>
      </c>
      <c r="AH80" s="999">
        <f t="shared" si="23"/>
        <v>620685.64599999995</v>
      </c>
      <c r="AI80" s="999">
        <f t="shared" si="23"/>
        <v>676897.45640000002</v>
      </c>
      <c r="AJ80" s="999">
        <f t="shared" si="23"/>
        <v>703046.02399999998</v>
      </c>
      <c r="AK80" s="999">
        <f t="shared" si="23"/>
        <v>723274.90599999996</v>
      </c>
      <c r="AL80" s="999">
        <f t="shared" si="23"/>
        <v>796548.652</v>
      </c>
      <c r="AM80" s="999">
        <f t="shared" si="23"/>
        <v>848725.21363999997</v>
      </c>
      <c r="AN80" s="169"/>
      <c r="AO80" s="169"/>
      <c r="AP80" s="169"/>
      <c r="AQ80" s="169"/>
      <c r="AR80" s="169"/>
      <c r="AS80" s="169"/>
      <c r="AT80" s="169"/>
      <c r="AU80" s="169"/>
      <c r="AV80" s="169"/>
      <c r="AW80" s="169"/>
      <c r="AX80" s="169"/>
      <c r="AY80" s="169"/>
      <c r="AZ80" s="169"/>
      <c r="BA80" s="169"/>
      <c r="BB80" s="169"/>
      <c r="BC80" s="169"/>
      <c r="BD80" s="169"/>
      <c r="BE80" s="169"/>
      <c r="BF80" s="169"/>
      <c r="BG80" s="169"/>
      <c r="BH80" s="169"/>
      <c r="BI80" s="169"/>
      <c r="BJ80" s="169"/>
      <c r="BK80" s="169"/>
      <c r="BL80" s="169"/>
      <c r="BM80" s="169"/>
      <c r="BN80" s="169"/>
      <c r="BO80" s="169"/>
      <c r="BP80" s="169"/>
      <c r="BQ80" s="169"/>
      <c r="BR80" s="169"/>
      <c r="BS80" s="169"/>
      <c r="BT80" s="169"/>
    </row>
    <row r="81" spans="2:72" s="143" customFormat="1">
      <c r="B81" s="1012" t="s">
        <v>178</v>
      </c>
      <c r="D81" s="1002">
        <f>D78-D79+D80</f>
        <v>0</v>
      </c>
      <c r="E81" s="1002">
        <f t="shared" ref="E81:AM81" si="24">E78-E79+E80</f>
        <v>25772</v>
      </c>
      <c r="F81" s="1002">
        <f t="shared" si="24"/>
        <v>29558</v>
      </c>
      <c r="G81" s="1002">
        <f t="shared" si="24"/>
        <v>36270</v>
      </c>
      <c r="H81" s="1002">
        <f t="shared" si="24"/>
        <v>38164</v>
      </c>
      <c r="I81" s="1002">
        <f t="shared" si="24"/>
        <v>44750</v>
      </c>
      <c r="J81" s="1002">
        <f t="shared" si="24"/>
        <v>49478</v>
      </c>
      <c r="K81" s="1002">
        <f t="shared" si="24"/>
        <v>55242</v>
      </c>
      <c r="L81" s="1002">
        <f t="shared" si="24"/>
        <v>56729.5</v>
      </c>
      <c r="M81" s="1002">
        <f t="shared" si="24"/>
        <v>59838</v>
      </c>
      <c r="N81" s="1002">
        <f t="shared" si="24"/>
        <v>64550</v>
      </c>
      <c r="O81" s="1047">
        <f t="shared" si="24"/>
        <v>70110.600000000006</v>
      </c>
      <c r="P81" s="1002">
        <f t="shared" si="24"/>
        <v>76762</v>
      </c>
      <c r="Q81" s="999">
        <f t="shared" si="24"/>
        <v>103556.8</v>
      </c>
      <c r="R81" s="999">
        <f t="shared" si="24"/>
        <v>130173.9</v>
      </c>
      <c r="S81" s="999">
        <f t="shared" si="24"/>
        <v>166319</v>
      </c>
      <c r="T81" s="999">
        <f t="shared" si="24"/>
        <v>198640.1</v>
      </c>
      <c r="U81" s="999">
        <f t="shared" si="24"/>
        <v>214395.2</v>
      </c>
      <c r="V81" s="999">
        <f t="shared" si="24"/>
        <v>231713.3</v>
      </c>
      <c r="W81" s="999">
        <f t="shared" si="24"/>
        <v>248305.4</v>
      </c>
      <c r="X81" s="999">
        <f t="shared" si="24"/>
        <v>249238.39999999999</v>
      </c>
      <c r="Y81" s="999">
        <f t="shared" si="24"/>
        <v>277291.40000000002</v>
      </c>
      <c r="Z81" s="999">
        <f t="shared" si="24"/>
        <v>298631.5</v>
      </c>
      <c r="AA81" s="1047">
        <f t="shared" si="24"/>
        <v>321593.59999999998</v>
      </c>
      <c r="AB81" s="1002">
        <f t="shared" si="24"/>
        <v>319906.3</v>
      </c>
      <c r="AC81" s="999">
        <f t="shared" si="24"/>
        <v>371883.06000000006</v>
      </c>
      <c r="AD81" s="999">
        <f t="shared" si="24"/>
        <v>408846.47200000001</v>
      </c>
      <c r="AE81" s="999">
        <f t="shared" si="24"/>
        <v>470213.03200000001</v>
      </c>
      <c r="AF81" s="999">
        <f t="shared" si="24"/>
        <v>491213.56000000006</v>
      </c>
      <c r="AG81" s="999">
        <f t="shared" si="24"/>
        <v>541685.05800000008</v>
      </c>
      <c r="AH81" s="999">
        <f t="shared" si="24"/>
        <v>620685.64599999995</v>
      </c>
      <c r="AI81" s="999">
        <f t="shared" si="24"/>
        <v>676897.45640000002</v>
      </c>
      <c r="AJ81" s="999">
        <f t="shared" si="24"/>
        <v>703046.02399999998</v>
      </c>
      <c r="AK81" s="999">
        <f t="shared" si="24"/>
        <v>723274.90599999996</v>
      </c>
      <c r="AL81" s="999">
        <f t="shared" si="24"/>
        <v>796548.652</v>
      </c>
      <c r="AM81" s="999">
        <f t="shared" si="24"/>
        <v>848725.21363999997</v>
      </c>
      <c r="AN81" s="169"/>
      <c r="AO81" s="169"/>
      <c r="AP81" s="169"/>
      <c r="AQ81" s="169"/>
      <c r="AR81" s="169"/>
      <c r="AS81" s="169"/>
      <c r="AT81" s="169"/>
      <c r="AU81" s="169"/>
      <c r="AV81" s="169"/>
      <c r="AW81" s="169"/>
      <c r="AX81" s="169"/>
      <c r="AY81" s="169"/>
      <c r="AZ81" s="169"/>
      <c r="BA81" s="169"/>
      <c r="BB81" s="169"/>
      <c r="BC81" s="169"/>
      <c r="BD81" s="169"/>
      <c r="BE81" s="169"/>
      <c r="BF81" s="169"/>
      <c r="BG81" s="169"/>
      <c r="BH81" s="169"/>
      <c r="BI81" s="169"/>
      <c r="BJ81" s="169"/>
      <c r="BK81" s="169"/>
      <c r="BL81" s="169"/>
      <c r="BM81" s="169"/>
      <c r="BN81" s="169"/>
      <c r="BO81" s="169"/>
      <c r="BP81" s="169"/>
      <c r="BQ81" s="169"/>
      <c r="BR81" s="169"/>
      <c r="BS81" s="169"/>
      <c r="BT81" s="169"/>
    </row>
    <row r="82" spans="2:72" s="143" customFormat="1">
      <c r="B82" s="1017" t="s">
        <v>183</v>
      </c>
      <c r="D82" s="1005">
        <f>D81*'Profit &amp; Loss Ecommerce'!$D$82</f>
        <v>0</v>
      </c>
      <c r="E82" s="1005">
        <f>E81*'Profit &amp; Loss Ecommerce'!$D$82</f>
        <v>5154.4000000000005</v>
      </c>
      <c r="F82" s="1005">
        <f>F81*'Profit &amp; Loss Ecommerce'!$D$82</f>
        <v>5911.6</v>
      </c>
      <c r="G82" s="1005">
        <f>G81*'Profit &amp; Loss Ecommerce'!$D$82</f>
        <v>7254</v>
      </c>
      <c r="H82" s="1005">
        <f>H81*'Profit &amp; Loss Ecommerce'!$D$82</f>
        <v>7632.8</v>
      </c>
      <c r="I82" s="1005">
        <f>I81*'Profit &amp; Loss Ecommerce'!$D$82</f>
        <v>8950</v>
      </c>
      <c r="J82" s="1005">
        <f>J81*'Profit &amp; Loss Ecommerce'!$D$82</f>
        <v>9895.6</v>
      </c>
      <c r="K82" s="1005">
        <f>K81*'Profit &amp; Loss Ecommerce'!$D$82</f>
        <v>11048.400000000001</v>
      </c>
      <c r="L82" s="1005">
        <f>L81*'Profit &amp; Loss Ecommerce'!$D$82</f>
        <v>11345.900000000001</v>
      </c>
      <c r="M82" s="1005">
        <f>M81*'Profit &amp; Loss Ecommerce'!$D$82</f>
        <v>11967.6</v>
      </c>
      <c r="N82" s="1005">
        <f>N81*'Profit &amp; Loss Ecommerce'!$D$82</f>
        <v>12910</v>
      </c>
      <c r="O82" s="1053">
        <f>O81*'Profit &amp; Loss Ecommerce'!$D$82</f>
        <v>14022.120000000003</v>
      </c>
      <c r="P82" s="1005">
        <f>P81*'Profit &amp; Loss Ecommerce'!$D$82</f>
        <v>15352.400000000001</v>
      </c>
      <c r="Q82" s="1004">
        <f>Q81*'Profit &amp; Loss Ecommerce'!$D$82</f>
        <v>20711.36</v>
      </c>
      <c r="R82" s="1004">
        <f>R81*'Profit &amp; Loss Ecommerce'!$D$82</f>
        <v>26034.78</v>
      </c>
      <c r="S82" s="1004">
        <f>S81*'Profit &amp; Loss Ecommerce'!$D$82</f>
        <v>33263.800000000003</v>
      </c>
      <c r="T82" s="1004">
        <f>T81*'Profit &amp; Loss Ecommerce'!$D$82</f>
        <v>39728.020000000004</v>
      </c>
      <c r="U82" s="1004">
        <f>U81*'Profit &amp; Loss Ecommerce'!$D$82</f>
        <v>42879.040000000008</v>
      </c>
      <c r="V82" s="1004">
        <f>V81*'Profit &amp; Loss Ecommerce'!$D$82</f>
        <v>46342.66</v>
      </c>
      <c r="W82" s="1004">
        <f>W81*'Profit &amp; Loss Ecommerce'!$D$82</f>
        <v>49661.08</v>
      </c>
      <c r="X82" s="1004">
        <f>X81*'Profit &amp; Loss Ecommerce'!$D$82</f>
        <v>49847.68</v>
      </c>
      <c r="Y82" s="1004">
        <f>Y81*'Profit &amp; Loss Ecommerce'!$D$82</f>
        <v>55458.280000000006</v>
      </c>
      <c r="Z82" s="1004">
        <f>Z81*'Profit &amp; Loss Ecommerce'!$D$82</f>
        <v>59726.3</v>
      </c>
      <c r="AA82" s="1053">
        <f>AA81*'Profit &amp; Loss Ecommerce'!$D$82</f>
        <v>64318.720000000001</v>
      </c>
      <c r="AB82" s="1005">
        <f>AB81*'Profit &amp; Loss Ecommerce'!$D$82</f>
        <v>63981.26</v>
      </c>
      <c r="AC82" s="1004">
        <f>AC81*'Profit &amp; Loss Ecommerce'!$D$82</f>
        <v>74376.612000000008</v>
      </c>
      <c r="AD82" s="1004">
        <f>AD81*'Profit &amp; Loss Ecommerce'!$D$82</f>
        <v>81769.294400000013</v>
      </c>
      <c r="AE82" s="1004">
        <f>AE81*'Profit &amp; Loss Ecommerce'!$D$82</f>
        <v>94042.606400000004</v>
      </c>
      <c r="AF82" s="1004">
        <f>AF81*'Profit &amp; Loss Ecommerce'!$D$82</f>
        <v>98242.712000000014</v>
      </c>
      <c r="AG82" s="1004">
        <f>AG81*'Profit &amp; Loss Ecommerce'!$D$82</f>
        <v>108337.01160000003</v>
      </c>
      <c r="AH82" s="1004">
        <f>AH81*'Profit &amp; Loss Ecommerce'!$D$82</f>
        <v>124137.1292</v>
      </c>
      <c r="AI82" s="1004">
        <f>AI81*'Profit &amp; Loss Ecommerce'!$D$82</f>
        <v>135379.49128000002</v>
      </c>
      <c r="AJ82" s="1004">
        <f>AJ81*'Profit &amp; Loss Ecommerce'!$D$82</f>
        <v>140609.20480000001</v>
      </c>
      <c r="AK82" s="1004">
        <f>AK81*'Profit &amp; Loss Ecommerce'!$D$82</f>
        <v>144654.98120000001</v>
      </c>
      <c r="AL82" s="1004">
        <f>AL81*'Profit &amp; Loss Ecommerce'!$D$82</f>
        <v>159309.7304</v>
      </c>
      <c r="AM82" s="1004">
        <f>AM81*'Profit &amp; Loss Ecommerce'!$D$82</f>
        <v>169745.042728</v>
      </c>
      <c r="AN82" s="169"/>
      <c r="AO82" s="169"/>
      <c r="AP82" s="169"/>
      <c r="AQ82" s="169"/>
      <c r="AR82" s="169"/>
      <c r="AS82" s="169"/>
      <c r="AT82" s="169"/>
      <c r="AU82" s="169"/>
      <c r="AV82" s="169"/>
      <c r="AW82" s="169"/>
      <c r="AX82" s="169"/>
      <c r="AY82" s="169"/>
      <c r="AZ82" s="169"/>
      <c r="BA82" s="169"/>
      <c r="BB82" s="169"/>
      <c r="BC82" s="169"/>
      <c r="BD82" s="169"/>
      <c r="BE82" s="169"/>
      <c r="BF82" s="169"/>
      <c r="BG82" s="169"/>
      <c r="BH82" s="169"/>
      <c r="BI82" s="169"/>
      <c r="BJ82" s="169"/>
      <c r="BK82" s="169"/>
      <c r="BL82" s="169"/>
      <c r="BM82" s="169"/>
      <c r="BN82" s="169"/>
      <c r="BO82" s="169"/>
      <c r="BP82" s="169"/>
      <c r="BQ82" s="169"/>
      <c r="BR82" s="169"/>
      <c r="BS82" s="169"/>
      <c r="BT82" s="169"/>
    </row>
    <row r="83" spans="2:72" s="143" customFormat="1">
      <c r="B83" s="1021" t="s">
        <v>179</v>
      </c>
      <c r="D83" s="1006">
        <f>D81+D82</f>
        <v>0</v>
      </c>
      <c r="E83" s="1006">
        <f t="shared" ref="E83:AM83" si="25">E81+E82</f>
        <v>30926.400000000001</v>
      </c>
      <c r="F83" s="1006">
        <f t="shared" si="25"/>
        <v>35469.599999999999</v>
      </c>
      <c r="G83" s="1006">
        <f t="shared" si="25"/>
        <v>43524</v>
      </c>
      <c r="H83" s="1006">
        <f t="shared" si="25"/>
        <v>45796.800000000003</v>
      </c>
      <c r="I83" s="1006">
        <f t="shared" si="25"/>
        <v>53700</v>
      </c>
      <c r="J83" s="1006">
        <f t="shared" si="25"/>
        <v>59373.599999999999</v>
      </c>
      <c r="K83" s="1006">
        <f t="shared" si="25"/>
        <v>66290.399999999994</v>
      </c>
      <c r="L83" s="1006">
        <f t="shared" si="25"/>
        <v>68075.399999999994</v>
      </c>
      <c r="M83" s="1006">
        <f t="shared" si="25"/>
        <v>71805.600000000006</v>
      </c>
      <c r="N83" s="1006">
        <f t="shared" si="25"/>
        <v>77460</v>
      </c>
      <c r="O83" s="1054">
        <f t="shared" si="25"/>
        <v>84132.72</v>
      </c>
      <c r="P83" s="1006">
        <f t="shared" si="25"/>
        <v>92114.4</v>
      </c>
      <c r="Q83" s="996">
        <f t="shared" si="25"/>
        <v>124268.16</v>
      </c>
      <c r="R83" s="996">
        <f t="shared" si="25"/>
        <v>156208.68</v>
      </c>
      <c r="S83" s="996">
        <f t="shared" si="25"/>
        <v>199582.8</v>
      </c>
      <c r="T83" s="996">
        <f t="shared" si="25"/>
        <v>238368.12</v>
      </c>
      <c r="U83" s="996">
        <f t="shared" si="25"/>
        <v>257274.24000000002</v>
      </c>
      <c r="V83" s="996">
        <f t="shared" si="25"/>
        <v>278055.95999999996</v>
      </c>
      <c r="W83" s="996">
        <f t="shared" si="25"/>
        <v>297966.48</v>
      </c>
      <c r="X83" s="996">
        <f t="shared" si="25"/>
        <v>299086.08000000002</v>
      </c>
      <c r="Y83" s="996">
        <f t="shared" si="25"/>
        <v>332749.68000000005</v>
      </c>
      <c r="Z83" s="996">
        <f t="shared" si="25"/>
        <v>358357.8</v>
      </c>
      <c r="AA83" s="1054">
        <f t="shared" si="25"/>
        <v>385912.31999999995</v>
      </c>
      <c r="AB83" s="1006">
        <f>AB81+AB82</f>
        <v>383887.56</v>
      </c>
      <c r="AC83" s="996">
        <f t="shared" si="25"/>
        <v>446259.67200000008</v>
      </c>
      <c r="AD83" s="996">
        <f t="shared" si="25"/>
        <v>490615.76640000002</v>
      </c>
      <c r="AE83" s="996">
        <f t="shared" si="25"/>
        <v>564255.63840000005</v>
      </c>
      <c r="AF83" s="996">
        <f t="shared" si="25"/>
        <v>589456.27200000011</v>
      </c>
      <c r="AG83" s="996">
        <f t="shared" si="25"/>
        <v>650022.06960000005</v>
      </c>
      <c r="AH83" s="996">
        <f t="shared" si="25"/>
        <v>744822.77519999992</v>
      </c>
      <c r="AI83" s="996">
        <f t="shared" si="25"/>
        <v>812276.94767999998</v>
      </c>
      <c r="AJ83" s="996">
        <f t="shared" si="25"/>
        <v>843655.22879999992</v>
      </c>
      <c r="AK83" s="996">
        <f t="shared" si="25"/>
        <v>867929.8872</v>
      </c>
      <c r="AL83" s="996">
        <f t="shared" si="25"/>
        <v>955858.3824</v>
      </c>
      <c r="AM83" s="996">
        <f t="shared" si="25"/>
        <v>1018470.2563679999</v>
      </c>
      <c r="AN83" s="169"/>
      <c r="AO83" s="169"/>
      <c r="AP83" s="169"/>
      <c r="AQ83" s="169"/>
      <c r="AR83" s="169"/>
      <c r="AS83" s="169"/>
      <c r="AT83" s="169"/>
      <c r="AU83" s="169"/>
      <c r="AV83" s="169"/>
      <c r="AW83" s="169"/>
      <c r="AX83" s="169"/>
      <c r="AY83" s="169"/>
      <c r="AZ83" s="169"/>
      <c r="BA83" s="169"/>
      <c r="BB83" s="169"/>
      <c r="BC83" s="169"/>
      <c r="BD83" s="169"/>
      <c r="BE83" s="169"/>
      <c r="BF83" s="169"/>
      <c r="BG83" s="169"/>
      <c r="BH83" s="169"/>
      <c r="BI83" s="169"/>
      <c r="BJ83" s="169"/>
      <c r="BK83" s="169"/>
      <c r="BL83" s="169"/>
      <c r="BM83" s="169"/>
      <c r="BN83" s="169"/>
      <c r="BO83" s="169"/>
      <c r="BP83" s="169"/>
      <c r="BQ83" s="169"/>
      <c r="BR83" s="169"/>
      <c r="BS83" s="169"/>
      <c r="BT83" s="169"/>
    </row>
    <row r="84" spans="2:72" s="143" customFormat="1" ht="16.2" thickBot="1">
      <c r="B84" s="1014" t="s">
        <v>216</v>
      </c>
      <c r="D84" s="1005">
        <f>(D79-D80)*(1+'Profit &amp; Loss Ecommerce'!$D$82)</f>
        <v>30926.399999999998</v>
      </c>
      <c r="E84" s="1005">
        <f>(E79-E80)*(1+'Profit &amp; Loss Ecommerce'!$D$82)</f>
        <v>4543.2</v>
      </c>
      <c r="F84" s="1005">
        <f>(F79-F80)*(1+'Profit &amp; Loss Ecommerce'!$D$82)</f>
        <v>8054.4</v>
      </c>
      <c r="G84" s="1005">
        <f>(G79-G80)*(1+'Profit &amp; Loss Ecommerce'!$D$82)</f>
        <v>2272.7999999999997</v>
      </c>
      <c r="H84" s="1005">
        <f>(H79-H80)*(1+'Profit &amp; Loss Ecommerce'!$D$82)</f>
        <v>7903.2</v>
      </c>
      <c r="I84" s="1005">
        <f>(I79-I80)*(1+'Profit &amp; Loss Ecommerce'!$D$82)</f>
        <v>5673.5999999999995</v>
      </c>
      <c r="J84" s="1005">
        <f>(J79-J80)*(1+'Profit &amp; Loss Ecommerce'!$D$82)</f>
        <v>6916.8</v>
      </c>
      <c r="K84" s="1005">
        <f>(K79-K80)*(1+'Profit &amp; Loss Ecommerce'!$D$82)</f>
        <v>1785</v>
      </c>
      <c r="L84" s="1005">
        <f>(L79-L80)*(1+'Profit &amp; Loss Ecommerce'!$D$82)</f>
        <v>3730.2</v>
      </c>
      <c r="M84" s="1005">
        <f>(M79-M80)*(1+'Profit &amp; Loss Ecommerce'!$D$82)</f>
        <v>5654.4</v>
      </c>
      <c r="N84" s="1005">
        <f>(N79-N80)*(1+'Profit &amp; Loss Ecommerce'!$D$82)</f>
        <v>6672.7200000000066</v>
      </c>
      <c r="O84" s="1053">
        <f>(O79-O80)*(1+'Profit &amp; Loss Ecommerce'!$D$82)</f>
        <v>7981.679999999993</v>
      </c>
      <c r="P84" s="1005">
        <f>(P79-P80)*(1+'Profit &amp; Loss Ecommerce'!$D$82)</f>
        <v>32153.760000000002</v>
      </c>
      <c r="Q84" s="1004">
        <f>(Q79-Q80)*(1+'Profit &amp; Loss Ecommerce'!$D$82)</f>
        <v>31940.51999999999</v>
      </c>
      <c r="R84" s="1004">
        <f>(R79-R80)*(1+'Profit &amp; Loss Ecommerce'!$D$82)</f>
        <v>43374.12</v>
      </c>
      <c r="S84" s="1004">
        <f>(S79-S80)*(1+'Profit &amp; Loss Ecommerce'!$D$82)</f>
        <v>38785.320000000007</v>
      </c>
      <c r="T84" s="1004">
        <f>(T79-T80)*(1+'Profit &amp; Loss Ecommerce'!$D$82)</f>
        <v>18906.120000000006</v>
      </c>
      <c r="U84" s="1004">
        <f>(U79-U80)*(1+'Profit &amp; Loss Ecommerce'!$D$82)</f>
        <v>20781.719999999972</v>
      </c>
      <c r="V84" s="1004">
        <f>(V79-V80)*(1+'Profit &amp; Loss Ecommerce'!$D$82)</f>
        <v>19910.520000000008</v>
      </c>
      <c r="W84" s="1004">
        <f>(W79-W80)*(1+'Profit &amp; Loss Ecommerce'!$D$82)</f>
        <v>1119.5999999999999</v>
      </c>
      <c r="X84" s="1004">
        <f>(X79-X80)*(1+'Profit &amp; Loss Ecommerce'!$D$82)</f>
        <v>33663.600000000035</v>
      </c>
      <c r="Y84" s="1004">
        <f>(Y79-Y80)*(1+'Profit &amp; Loss Ecommerce'!$D$82)</f>
        <v>25608.11999999997</v>
      </c>
      <c r="Z84" s="1004">
        <f>(Z79-Z80)*(1+'Profit &amp; Loss Ecommerce'!$D$82)</f>
        <v>27554.519999999971</v>
      </c>
      <c r="AA84" s="1053">
        <f>(AA79-AA80)*(1+'Profit &amp; Loss Ecommerce'!$D$82)</f>
        <v>-2024.7599999999859</v>
      </c>
      <c r="AB84" s="1005">
        <f>(AB79-AB80)*(1+'Profit &amp; Loss Ecommerce'!$D$82)</f>
        <v>62372.112000000081</v>
      </c>
      <c r="AC84" s="1004">
        <f>(AC79-AC80)*(1+'Profit &amp; Loss Ecommerce'!$D$82)</f>
        <v>44356.094399999944</v>
      </c>
      <c r="AD84" s="1004">
        <f>(AD79-AD80)*(1+'Profit &amp; Loss Ecommerce'!$D$82)</f>
        <v>73639.871999999988</v>
      </c>
      <c r="AE84" s="1004">
        <f>(AE79-AE80)*(1+'Profit &amp; Loss Ecommerce'!$D$82)</f>
        <v>25200.633600000059</v>
      </c>
      <c r="AF84" s="1004">
        <f>(AF79-AF80)*(1+'Profit &amp; Loss Ecommerce'!$D$82)</f>
        <v>60565.79760000002</v>
      </c>
      <c r="AG84" s="1004">
        <f>(AG79-AG80)*(1+'Profit &amp; Loss Ecommerce'!$D$82)</f>
        <v>94800.705599999841</v>
      </c>
      <c r="AH84" s="1004">
        <f>(AH79-AH80)*(1+'Profit &amp; Loss Ecommerce'!$D$82)</f>
        <v>67454.172480000081</v>
      </c>
      <c r="AI84" s="1004">
        <f>(AI79-AI80)*(1+'Profit &amp; Loss Ecommerce'!$D$82)</f>
        <v>31378.281119999941</v>
      </c>
      <c r="AJ84" s="1004">
        <f>(AJ79-AJ80)*(1+'Profit &amp; Loss Ecommerce'!$D$82)</f>
        <v>24274.658399999978</v>
      </c>
      <c r="AK84" s="1004">
        <f>(AK79-AK80)*(1+'Profit &amp; Loss Ecommerce'!$D$82)</f>
        <v>87928.495200000048</v>
      </c>
      <c r="AL84" s="1004">
        <f>(AL79-AL80)*(1+'Profit &amp; Loss Ecommerce'!$D$82)</f>
        <v>62611.873967999963</v>
      </c>
      <c r="AM84" s="1004">
        <f>(AM79-AM80)*(1+'Profit &amp; Loss Ecommerce'!$D$82)</f>
        <v>61836.468191999942</v>
      </c>
      <c r="AN84" s="169"/>
      <c r="AO84" s="169"/>
      <c r="AP84" s="169"/>
      <c r="AQ84" s="169"/>
      <c r="AR84" s="169"/>
      <c r="AS84" s="169"/>
      <c r="AT84" s="169"/>
      <c r="AU84" s="169"/>
      <c r="AV84" s="169"/>
      <c r="AW84" s="169"/>
      <c r="AX84" s="169"/>
      <c r="AY84" s="169"/>
      <c r="AZ84" s="169"/>
      <c r="BA84" s="169"/>
      <c r="BB84" s="169"/>
      <c r="BC84" s="169"/>
      <c r="BD84" s="169"/>
      <c r="BE84" s="169"/>
      <c r="BF84" s="169"/>
      <c r="BG84" s="169"/>
      <c r="BH84" s="169"/>
      <c r="BI84" s="169"/>
      <c r="BJ84" s="169"/>
      <c r="BK84" s="169"/>
      <c r="BL84" s="169"/>
      <c r="BM84" s="169"/>
      <c r="BN84" s="169"/>
      <c r="BO84" s="169"/>
      <c r="BP84" s="169"/>
      <c r="BQ84" s="169"/>
      <c r="BR84" s="169"/>
      <c r="BS84" s="169"/>
      <c r="BT84" s="169"/>
    </row>
    <row r="85" spans="2:72" s="143" customFormat="1" ht="16.8" thickTop="1" thickBot="1">
      <c r="B85" s="166"/>
      <c r="D85" s="160"/>
      <c r="E85" s="160"/>
      <c r="F85" s="160"/>
      <c r="G85" s="160"/>
      <c r="H85" s="160"/>
      <c r="I85" s="160"/>
      <c r="J85" s="160"/>
      <c r="K85" s="160"/>
      <c r="L85" s="160"/>
      <c r="M85" s="160"/>
      <c r="N85" s="160"/>
      <c r="O85" s="1042"/>
      <c r="P85" s="172"/>
      <c r="Q85" s="169"/>
      <c r="R85" s="169"/>
      <c r="S85" s="169"/>
      <c r="T85" s="169"/>
      <c r="U85" s="169"/>
      <c r="V85" s="169"/>
      <c r="W85" s="169"/>
      <c r="X85" s="169"/>
      <c r="Y85" s="169"/>
      <c r="Z85" s="169"/>
      <c r="AA85" s="1050"/>
      <c r="AB85" s="172"/>
      <c r="AN85" s="169"/>
      <c r="AO85" s="169"/>
      <c r="AP85" s="169"/>
      <c r="AQ85" s="169"/>
      <c r="AR85" s="169"/>
      <c r="AS85" s="169"/>
      <c r="AT85" s="169"/>
      <c r="AU85" s="169"/>
      <c r="AV85" s="169"/>
      <c r="AW85" s="169"/>
      <c r="AX85" s="169"/>
      <c r="AY85" s="169"/>
      <c r="AZ85" s="169"/>
      <c r="BA85" s="169"/>
      <c r="BB85" s="169"/>
      <c r="BC85" s="169"/>
      <c r="BD85" s="169"/>
      <c r="BE85" s="169"/>
      <c r="BF85" s="169"/>
      <c r="BG85" s="169"/>
      <c r="BH85" s="169"/>
      <c r="BI85" s="169"/>
      <c r="BJ85" s="169"/>
      <c r="BK85" s="169"/>
      <c r="BL85" s="169"/>
      <c r="BM85" s="169"/>
      <c r="BN85" s="169"/>
      <c r="BO85" s="169"/>
      <c r="BP85" s="169"/>
      <c r="BQ85" s="169"/>
      <c r="BR85" s="169"/>
      <c r="BS85" s="169"/>
      <c r="BT85" s="169"/>
    </row>
    <row r="86" spans="2:72" s="143" customFormat="1" ht="16.2" thickTop="1">
      <c r="B86" s="1011" t="s">
        <v>114</v>
      </c>
      <c r="D86" s="160"/>
      <c r="E86" s="160"/>
      <c r="F86" s="160"/>
      <c r="G86" s="160"/>
      <c r="H86" s="160"/>
      <c r="I86" s="160"/>
      <c r="J86" s="160"/>
      <c r="K86" s="160"/>
      <c r="L86" s="160"/>
      <c r="M86" s="160"/>
      <c r="N86" s="160"/>
      <c r="O86" s="1042"/>
      <c r="P86" s="172"/>
      <c r="Q86" s="169"/>
      <c r="R86" s="169"/>
      <c r="S86" s="169"/>
      <c r="T86" s="169"/>
      <c r="U86" s="169"/>
      <c r="V86" s="169"/>
      <c r="W86" s="169"/>
      <c r="X86" s="169"/>
      <c r="Y86" s="169"/>
      <c r="Z86" s="169"/>
      <c r="AA86" s="1050"/>
      <c r="AB86" s="172"/>
      <c r="AN86" s="169"/>
      <c r="AO86" s="169"/>
      <c r="AP86" s="169"/>
      <c r="AQ86" s="169"/>
      <c r="AR86" s="169"/>
      <c r="AS86" s="169"/>
      <c r="AT86" s="169"/>
      <c r="AU86" s="169"/>
      <c r="AV86" s="169"/>
      <c r="AW86" s="169"/>
      <c r="AX86" s="169"/>
      <c r="AY86" s="169"/>
      <c r="AZ86" s="169"/>
      <c r="BA86" s="169"/>
      <c r="BB86" s="169"/>
      <c r="BC86" s="169"/>
      <c r="BD86" s="169"/>
      <c r="BE86" s="169"/>
      <c r="BF86" s="169"/>
      <c r="BG86" s="169"/>
      <c r="BH86" s="169"/>
      <c r="BI86" s="169"/>
      <c r="BJ86" s="169"/>
      <c r="BK86" s="169"/>
      <c r="BL86" s="169"/>
      <c r="BM86" s="169"/>
      <c r="BN86" s="169"/>
      <c r="BO86" s="169"/>
      <c r="BP86" s="169"/>
      <c r="BQ86" s="169"/>
      <c r="BR86" s="169"/>
      <c r="BS86" s="169"/>
      <c r="BT86" s="169"/>
    </row>
    <row r="87" spans="2:72" s="143" customFormat="1">
      <c r="B87" s="1012" t="s">
        <v>115</v>
      </c>
      <c r="D87" s="1005">
        <f>-'Consolidated Profit and Loss'!D56</f>
        <v>8974</v>
      </c>
      <c r="E87" s="1005">
        <f>-'Consolidated Profit and Loss'!E56</f>
        <v>10856</v>
      </c>
      <c r="F87" s="1005">
        <f>-'Consolidated Profit and Loss'!F56</f>
        <v>14111.800000000003</v>
      </c>
      <c r="G87" s="1005">
        <f>-'Consolidated Profit and Loss'!G56</f>
        <v>14323.599999999999</v>
      </c>
      <c r="H87" s="1005">
        <f>-'Consolidated Profit and Loss'!H56</f>
        <v>17406</v>
      </c>
      <c r="I87" s="1005">
        <f>-'Consolidated Profit and Loss'!I56</f>
        <v>19303.900000000001</v>
      </c>
      <c r="J87" s="1005">
        <f>-'Consolidated Profit and Loss'!J56</f>
        <v>21603</v>
      </c>
      <c r="K87" s="1005">
        <f>-'Consolidated Profit and Loss'!K56</f>
        <v>23154.684999999998</v>
      </c>
      <c r="L87" s="1005">
        <f>-'Consolidated Profit and Loss'!L56</f>
        <v>24485.5</v>
      </c>
      <c r="M87" s="1005">
        <f>-'Consolidated Profit and Loss'!M56</f>
        <v>26121.100000000006</v>
      </c>
      <c r="N87" s="1005">
        <f>-'Consolidated Profit and Loss'!N56</f>
        <v>28993.068000000007</v>
      </c>
      <c r="O87" s="1053">
        <f>-'Consolidated Profit and Loss'!O56</f>
        <v>32181.205000000002</v>
      </c>
      <c r="P87" s="1004">
        <f>-'Consolidated Profit and Loss'!P56</f>
        <v>47151.532000000007</v>
      </c>
      <c r="Q87" s="1004">
        <f>-'Consolidated Profit and Loss'!Q56</f>
        <v>61975.778999999995</v>
      </c>
      <c r="R87" s="1004">
        <f>-'Consolidated Profit and Loss'!R56</f>
        <v>82491.154999999999</v>
      </c>
      <c r="S87" s="1004">
        <f>-'Consolidated Profit and Loss'!S56</f>
        <v>100392.16</v>
      </c>
      <c r="T87" s="1004">
        <f>-'Consolidated Profit and Loss'!T56</f>
        <v>107673.33700000001</v>
      </c>
      <c r="U87" s="1004">
        <f>-'Consolidated Profit and Loss'!U56</f>
        <v>115424.53899999999</v>
      </c>
      <c r="V87" s="1004">
        <f>-'Consolidated Profit and Loss'!V56</f>
        <v>122249.499</v>
      </c>
      <c r="W87" s="1004">
        <f>-'Consolidated Profit and Loss'!W56</f>
        <v>125354.7907</v>
      </c>
      <c r="X87" s="1004">
        <f>-'Consolidated Profit and Loss'!X56</f>
        <v>135602.07900000003</v>
      </c>
      <c r="Y87" s="1004">
        <f>-'Consolidated Profit and Loss'!Y56</f>
        <v>144159.22700000001</v>
      </c>
      <c r="Z87" s="1004">
        <f>-'Consolidated Profit and Loss'!Z56</f>
        <v>152987.26199999999</v>
      </c>
      <c r="AA87" s="1053">
        <f>-'Consolidated Profit and Loss'!AA56</f>
        <v>152197.72979999997</v>
      </c>
      <c r="AB87" s="1004">
        <f>-'Consolidated Profit and Loss'!AB56</f>
        <v>175170.83766000005</v>
      </c>
      <c r="AC87" s="1004">
        <f>-'Consolidated Profit and Loss'!AC56</f>
        <v>189839.54232000001</v>
      </c>
      <c r="AD87" s="1004">
        <f>-'Consolidated Profit and Loss'!AD56</f>
        <v>210696.28576000003</v>
      </c>
      <c r="AE87" s="1004">
        <f>-'Consolidated Profit and Loss'!AE56</f>
        <v>221072.73832</v>
      </c>
      <c r="AF87" s="1004">
        <f>-'Consolidated Profit and Loss'!AF56</f>
        <v>239342.04926000012</v>
      </c>
      <c r="AG87" s="1004">
        <f>-'Consolidated Profit and Loss'!AG56</f>
        <v>264774.78629999992</v>
      </c>
      <c r="AH87" s="1004">
        <f>-'Consolidated Profit and Loss'!AH56</f>
        <v>283440.55002000002</v>
      </c>
      <c r="AI87" s="1004">
        <f>-'Consolidated Profit and Loss'!AI56</f>
        <v>292945.48466699995</v>
      </c>
      <c r="AJ87" s="1004">
        <f>-'Consolidated Profit and Loss'!AJ56</f>
        <v>305379.39685999998</v>
      </c>
      <c r="AK87" s="1004">
        <f>-'Consolidated Profit and Loss'!AK56</f>
        <v>329252.43871999998</v>
      </c>
      <c r="AL87" s="1004">
        <f>-'Consolidated Profit and Loss'!AL56</f>
        <v>347878.79150239995</v>
      </c>
      <c r="AM87" s="1004">
        <f>-'Consolidated Profit and Loss'!AM56</f>
        <v>368519.60478299984</v>
      </c>
      <c r="AN87" s="169"/>
      <c r="AO87" s="169"/>
      <c r="AP87" s="169"/>
      <c r="AQ87" s="169"/>
      <c r="AR87" s="169"/>
      <c r="AS87" s="169"/>
      <c r="AT87" s="169"/>
      <c r="AU87" s="169"/>
      <c r="AV87" s="169"/>
      <c r="AW87" s="169"/>
      <c r="AX87" s="169"/>
      <c r="AY87" s="169"/>
      <c r="AZ87" s="169"/>
      <c r="BA87" s="169"/>
      <c r="BB87" s="169"/>
      <c r="BC87" s="169"/>
      <c r="BD87" s="169"/>
      <c r="BE87" s="169"/>
      <c r="BF87" s="169"/>
      <c r="BG87" s="169"/>
      <c r="BH87" s="169"/>
      <c r="BI87" s="169"/>
      <c r="BJ87" s="169"/>
      <c r="BK87" s="169"/>
      <c r="BL87" s="169"/>
      <c r="BM87" s="169"/>
      <c r="BN87" s="169"/>
      <c r="BO87" s="169"/>
      <c r="BP87" s="169"/>
      <c r="BQ87" s="169"/>
      <c r="BR87" s="169"/>
      <c r="BS87" s="169"/>
      <c r="BT87" s="169"/>
    </row>
    <row r="88" spans="2:72" s="143" customFormat="1">
      <c r="B88" s="1017" t="s">
        <v>184</v>
      </c>
      <c r="D88" s="995">
        <f>'Stock Model'!I212</f>
        <v>8348</v>
      </c>
      <c r="E88" s="995">
        <f>'Stock Model'!J212</f>
        <v>29279.800000000003</v>
      </c>
      <c r="F88" s="995">
        <f>'Stock Model'!K212</f>
        <v>-2164.7999999999993</v>
      </c>
      <c r="G88" s="995">
        <f>'Stock Model'!L212</f>
        <v>8564.1999999999953</v>
      </c>
      <c r="H88" s="995">
        <f>'Stock Model'!M212</f>
        <v>2080.0000000000064</v>
      </c>
      <c r="I88" s="995">
        <f>'Stock Model'!N212</f>
        <v>7349.199999999998</v>
      </c>
      <c r="J88" s="995">
        <f>'Stock Model'!O212</f>
        <v>5764.4</v>
      </c>
      <c r="K88" s="995">
        <f>'Stock Model'!P212</f>
        <v>6618.0000000000073</v>
      </c>
      <c r="L88" s="995">
        <f>'Stock Model'!Q212</f>
        <v>1716.399999999991</v>
      </c>
      <c r="M88" s="995">
        <f>'Stock Model'!R212</f>
        <v>-2944.3999999999996</v>
      </c>
      <c r="N88" s="995">
        <f>'Stock Model'!S212</f>
        <v>23358.799999999996</v>
      </c>
      <c r="O88" s="1043">
        <f>'Stock Model'!T212</f>
        <v>27222.200000000015</v>
      </c>
      <c r="P88" s="995">
        <f>'Stock Model'!U212</f>
        <v>-14614.470000000008</v>
      </c>
      <c r="Q88" s="995">
        <f>'Stock Model'!V212</f>
        <v>708.71000000000276</v>
      </c>
      <c r="R88" s="995">
        <f>'Stock Model'!W212</f>
        <v>50765.12999999999</v>
      </c>
      <c r="S88" s="995">
        <f>'Stock Model'!X212</f>
        <v>41327.130000000034</v>
      </c>
      <c r="T88" s="995">
        <f>'Stock Model'!Y212</f>
        <v>37178.530000000013</v>
      </c>
      <c r="U88" s="995">
        <f>'Stock Model'!Z212</f>
        <v>19318.829999999973</v>
      </c>
      <c r="V88" s="995">
        <f>'Stock Model'!AA212</f>
        <v>21433.53</v>
      </c>
      <c r="W88" s="995">
        <f>'Stock Model'!AB212</f>
        <v>17502.630000000012</v>
      </c>
      <c r="X88" s="995">
        <f>'Stock Model'!AC212</f>
        <v>14040.64999999998</v>
      </c>
      <c r="Y88" s="995">
        <f>'Stock Model'!AD212</f>
        <v>17600.450000000019</v>
      </c>
      <c r="Z88" s="995">
        <f>'Stock Model'!AE212</f>
        <v>32511.329999999998</v>
      </c>
      <c r="AA88" s="1043">
        <f>'Stock Model'!AF212</f>
        <v>70962.12999999999</v>
      </c>
      <c r="AB88" s="995">
        <f>'Stock Model'!AG212</f>
        <v>4629.3330000000042</v>
      </c>
      <c r="AC88" s="995">
        <f>'Stock Model'!AH212</f>
        <v>-13041.495999999999</v>
      </c>
      <c r="AD88" s="995">
        <f>'Stock Model'!AI212</f>
        <v>116230.18559999998</v>
      </c>
      <c r="AE88" s="995">
        <f>'Stock Model'!AJ212</f>
        <v>55284.779800000004</v>
      </c>
      <c r="AF88" s="995">
        <f>'Stock Model'!AK212</f>
        <v>13275.594399999951</v>
      </c>
      <c r="AG88" s="995">
        <f>'Stock Model'!AL212</f>
        <v>117734.04560000004</v>
      </c>
      <c r="AH88" s="995">
        <f>'Stock Model'!AM212</f>
        <v>117579.13380000003</v>
      </c>
      <c r="AI88" s="995">
        <f>'Stock Model'!AN212</f>
        <v>53763.361599999989</v>
      </c>
      <c r="AJ88" s="995">
        <f>'Stock Model'!AO212</f>
        <v>-46702.109599999996</v>
      </c>
      <c r="AK88" s="995">
        <f>'Stock Model'!AP212</f>
        <v>23475.320600000021</v>
      </c>
      <c r="AL88" s="995">
        <f>'Stock Model'!AQ212</f>
        <v>373683.51839999988</v>
      </c>
      <c r="AM88" s="995">
        <f>'Stock Model'!AR212</f>
        <v>378989.8196000001</v>
      </c>
      <c r="AN88" s="169"/>
      <c r="AO88" s="169"/>
      <c r="AP88" s="169"/>
      <c r="AQ88" s="169"/>
      <c r="AR88" s="169"/>
      <c r="AS88" s="169"/>
      <c r="AT88" s="169"/>
      <c r="AU88" s="169"/>
      <c r="AV88" s="169"/>
      <c r="AW88" s="169"/>
      <c r="AX88" s="169"/>
      <c r="AY88" s="169"/>
      <c r="AZ88" s="169"/>
      <c r="BA88" s="169"/>
      <c r="BB88" s="169"/>
      <c r="BC88" s="169"/>
      <c r="BD88" s="169"/>
      <c r="BE88" s="169"/>
      <c r="BF88" s="169"/>
      <c r="BG88" s="169"/>
      <c r="BH88" s="169"/>
      <c r="BI88" s="169"/>
      <c r="BJ88" s="169"/>
      <c r="BK88" s="169"/>
      <c r="BL88" s="169"/>
      <c r="BM88" s="169"/>
      <c r="BN88" s="169"/>
      <c r="BO88" s="169"/>
      <c r="BP88" s="169"/>
      <c r="BQ88" s="169"/>
      <c r="BR88" s="169"/>
      <c r="BS88" s="169"/>
      <c r="BT88" s="169"/>
    </row>
    <row r="89" spans="2:72" s="143" customFormat="1">
      <c r="B89" s="1012" t="s">
        <v>185</v>
      </c>
      <c r="D89" s="1005">
        <f>D87+D88</f>
        <v>17322</v>
      </c>
      <c r="E89" s="1005">
        <f t="shared" ref="E89:K89" si="26">E87+E88</f>
        <v>40135.800000000003</v>
      </c>
      <c r="F89" s="1005">
        <f t="shared" si="26"/>
        <v>11947.000000000004</v>
      </c>
      <c r="G89" s="1005">
        <f t="shared" si="26"/>
        <v>22887.799999999996</v>
      </c>
      <c r="H89" s="1005">
        <f t="shared" si="26"/>
        <v>19486.000000000007</v>
      </c>
      <c r="I89" s="1005">
        <f t="shared" si="26"/>
        <v>26653.1</v>
      </c>
      <c r="J89" s="1005">
        <f t="shared" si="26"/>
        <v>27367.4</v>
      </c>
      <c r="K89" s="1005">
        <f t="shared" si="26"/>
        <v>29772.685000000005</v>
      </c>
      <c r="L89" s="1005">
        <f t="shared" ref="L89" si="27">L87+L88</f>
        <v>26201.899999999991</v>
      </c>
      <c r="M89" s="1005">
        <f t="shared" ref="M89" si="28">M87+M88</f>
        <v>23176.700000000004</v>
      </c>
      <c r="N89" s="1005">
        <f t="shared" ref="N89" si="29">N87+N88</f>
        <v>52351.868000000002</v>
      </c>
      <c r="O89" s="1053">
        <f>O87+O88</f>
        <v>59403.405000000013</v>
      </c>
      <c r="P89" s="1005">
        <f t="shared" ref="P89" si="30">P87+P88</f>
        <v>32537.061999999998</v>
      </c>
      <c r="Q89" s="1004">
        <f t="shared" ref="Q89:R89" si="31">Q87+Q88</f>
        <v>62684.489000000001</v>
      </c>
      <c r="R89" s="1004">
        <f t="shared" si="31"/>
        <v>133256.28499999997</v>
      </c>
      <c r="S89" s="1004">
        <f t="shared" ref="S89" si="32">S87+S88</f>
        <v>141719.29000000004</v>
      </c>
      <c r="T89" s="1004">
        <f t="shared" ref="T89" si="33">T87+T88</f>
        <v>144851.86700000003</v>
      </c>
      <c r="U89" s="1004">
        <f t="shared" ref="U89" si="34">U87+U88</f>
        <v>134743.36899999995</v>
      </c>
      <c r="V89" s="1004">
        <f t="shared" ref="V89" si="35">V87+V88</f>
        <v>143683.02899999998</v>
      </c>
      <c r="W89" s="1004">
        <f t="shared" ref="W89" si="36">W87+W88</f>
        <v>142857.42070000002</v>
      </c>
      <c r="X89" s="1004">
        <f t="shared" ref="X89:Y89" si="37">X87+X88</f>
        <v>149642.72899999999</v>
      </c>
      <c r="Y89" s="1004">
        <f t="shared" si="37"/>
        <v>161759.67700000003</v>
      </c>
      <c r="Z89" s="1004">
        <f t="shared" ref="Z89" si="38">Z87+Z88</f>
        <v>185498.59199999998</v>
      </c>
      <c r="AA89" s="1053">
        <f t="shared" ref="AA89" si="39">AA87+AA88</f>
        <v>223159.85979999998</v>
      </c>
      <c r="AB89" s="1005">
        <f t="shared" ref="AB89" si="40">AB87+AB88</f>
        <v>179800.17066000006</v>
      </c>
      <c r="AC89" s="1004">
        <f t="shared" ref="AC89" si="41">AC87+AC88</f>
        <v>176798.04632000002</v>
      </c>
      <c r="AD89" s="1004">
        <f t="shared" ref="AD89" si="42">AD87+AD88</f>
        <v>326926.47136000003</v>
      </c>
      <c r="AE89" s="1004">
        <f t="shared" ref="AE89:AF89" si="43">AE87+AE88</f>
        <v>276357.51812000002</v>
      </c>
      <c r="AF89" s="1004">
        <f t="shared" si="43"/>
        <v>252617.64366000006</v>
      </c>
      <c r="AG89" s="1004">
        <f t="shared" ref="AG89" si="44">AG87+AG88</f>
        <v>382508.83189999999</v>
      </c>
      <c r="AH89" s="1004">
        <f t="shared" ref="AH89" si="45">AH87+AH88</f>
        <v>401019.68382000003</v>
      </c>
      <c r="AI89" s="1004">
        <f t="shared" ref="AI89" si="46">AI87+AI88</f>
        <v>346708.84626699996</v>
      </c>
      <c r="AJ89" s="1004">
        <f t="shared" ref="AJ89" si="47">AJ87+AJ88</f>
        <v>258677.28725999998</v>
      </c>
      <c r="AK89" s="1004">
        <f t="shared" ref="AK89" si="48">AK87+AK88</f>
        <v>352727.75932000001</v>
      </c>
      <c r="AL89" s="1004">
        <f t="shared" ref="AL89:AM89" si="49">AL87+AL88</f>
        <v>721562.30990239978</v>
      </c>
      <c r="AM89" s="1004">
        <f t="shared" si="49"/>
        <v>747509.42438300001</v>
      </c>
      <c r="AN89" s="169"/>
      <c r="AO89" s="169"/>
      <c r="AP89" s="169"/>
      <c r="AQ89" s="169"/>
      <c r="AR89" s="169"/>
      <c r="AS89" s="169"/>
      <c r="AT89" s="169"/>
      <c r="AU89" s="169"/>
      <c r="AV89" s="169"/>
      <c r="AW89" s="169"/>
      <c r="AX89" s="169"/>
      <c r="AY89" s="169"/>
      <c r="AZ89" s="169"/>
      <c r="BA89" s="169"/>
      <c r="BB89" s="169"/>
      <c r="BC89" s="169"/>
      <c r="BD89" s="169"/>
      <c r="BE89" s="169"/>
      <c r="BF89" s="169"/>
      <c r="BG89" s="169"/>
      <c r="BH89" s="169"/>
      <c r="BI89" s="169"/>
      <c r="BJ89" s="169"/>
      <c r="BK89" s="169"/>
      <c r="BL89" s="169"/>
      <c r="BM89" s="169"/>
      <c r="BN89" s="169"/>
      <c r="BO89" s="169"/>
      <c r="BP89" s="169"/>
      <c r="BQ89" s="169"/>
      <c r="BR89" s="169"/>
      <c r="BS89" s="169"/>
      <c r="BT89" s="169"/>
    </row>
    <row r="90" spans="2:72" s="143" customFormat="1">
      <c r="B90" s="1020" t="s">
        <v>186</v>
      </c>
      <c r="D90" s="1005">
        <f>D89*'Profit &amp; Loss Ecommerce'!$D$82</f>
        <v>3464.4</v>
      </c>
      <c r="E90" s="1005">
        <f>E89*'Profit &amp; Loss Ecommerce'!$D$82</f>
        <v>8027.1600000000008</v>
      </c>
      <c r="F90" s="1005">
        <f>F89*'Profit &amp; Loss Ecommerce'!$D$82</f>
        <v>2389.400000000001</v>
      </c>
      <c r="G90" s="1005">
        <f>G89*'Profit &amp; Loss Ecommerce'!$D$82</f>
        <v>4577.5599999999995</v>
      </c>
      <c r="H90" s="1005">
        <f>H89*'Profit &amp; Loss Ecommerce'!$D$82</f>
        <v>3897.2000000000016</v>
      </c>
      <c r="I90" s="1005">
        <f>I89*'Profit &amp; Loss Ecommerce'!$D$82</f>
        <v>5330.62</v>
      </c>
      <c r="J90" s="1005">
        <f>J89*'Profit &amp; Loss Ecommerce'!$D$82</f>
        <v>5473.4800000000005</v>
      </c>
      <c r="K90" s="1005">
        <f>K89*'Profit &amp; Loss Ecommerce'!$D$82</f>
        <v>5954.5370000000012</v>
      </c>
      <c r="L90" s="1005">
        <f>L89*'Profit &amp; Loss Ecommerce'!$D$82</f>
        <v>5240.3799999999983</v>
      </c>
      <c r="M90" s="1005">
        <f>M89*'Profit &amp; Loss Ecommerce'!$D$82</f>
        <v>4635.3400000000011</v>
      </c>
      <c r="N90" s="1005">
        <f>N89*'Profit &amp; Loss Ecommerce'!$D$82</f>
        <v>10470.373600000001</v>
      </c>
      <c r="O90" s="1053">
        <f>O89*'Profit &amp; Loss Ecommerce'!$D$82</f>
        <v>11880.681000000004</v>
      </c>
      <c r="P90" s="1005">
        <f>P89*'Profit &amp; Loss Ecommerce'!$D$82</f>
        <v>6507.4124000000002</v>
      </c>
      <c r="Q90" s="1004">
        <f>Q89*'Profit &amp; Loss Ecommerce'!$D$82</f>
        <v>12536.897800000001</v>
      </c>
      <c r="R90" s="1004">
        <f>R89*'Profit &amp; Loss Ecommerce'!$D$82</f>
        <v>26651.256999999998</v>
      </c>
      <c r="S90" s="1004">
        <f>S89*'Profit &amp; Loss Ecommerce'!$D$82</f>
        <v>28343.858000000007</v>
      </c>
      <c r="T90" s="1004">
        <f>T89*'Profit &amp; Loss Ecommerce'!$D$82</f>
        <v>28970.373400000008</v>
      </c>
      <c r="U90" s="1004">
        <f>U89*'Profit &amp; Loss Ecommerce'!$D$82</f>
        <v>26948.67379999999</v>
      </c>
      <c r="V90" s="1004">
        <f>V89*'Profit &amp; Loss Ecommerce'!$D$82</f>
        <v>28736.605799999998</v>
      </c>
      <c r="W90" s="1004">
        <f>W89*'Profit &amp; Loss Ecommerce'!$D$82</f>
        <v>28571.484140000004</v>
      </c>
      <c r="X90" s="1004">
        <f>X89*'Profit &amp; Loss Ecommerce'!$D$82</f>
        <v>29928.5458</v>
      </c>
      <c r="Y90" s="1004">
        <f>Y89*'Profit &amp; Loss Ecommerce'!$D$82</f>
        <v>32351.935400000006</v>
      </c>
      <c r="Z90" s="1004">
        <f>Z89*'Profit &amp; Loss Ecommerce'!$D$82</f>
        <v>37099.718399999998</v>
      </c>
      <c r="AA90" s="1053">
        <f>AA89*'Profit &amp; Loss Ecommerce'!$D$82</f>
        <v>44631.971959999995</v>
      </c>
      <c r="AB90" s="1005">
        <f>AB89*'Profit &amp; Loss Ecommerce'!$D$82</f>
        <v>35960.034132000015</v>
      </c>
      <c r="AC90" s="1004">
        <f>AC89*'Profit &amp; Loss Ecommerce'!$D$82</f>
        <v>35359.609264000006</v>
      </c>
      <c r="AD90" s="1004">
        <f>AD89*'Profit &amp; Loss Ecommerce'!$D$82</f>
        <v>65385.294272000006</v>
      </c>
      <c r="AE90" s="1004">
        <f>AE89*'Profit &amp; Loss Ecommerce'!$D$82</f>
        <v>55271.503624000004</v>
      </c>
      <c r="AF90" s="1004">
        <f>AF89*'Profit &amp; Loss Ecommerce'!$D$82</f>
        <v>50523.528732000013</v>
      </c>
      <c r="AG90" s="1004">
        <f>AG89*'Profit &amp; Loss Ecommerce'!$D$82</f>
        <v>76501.766380000001</v>
      </c>
      <c r="AH90" s="1004">
        <f>AH89*'Profit &amp; Loss Ecommerce'!$D$82</f>
        <v>80203.936764000013</v>
      </c>
      <c r="AI90" s="1004">
        <f>AI89*'Profit &amp; Loss Ecommerce'!$D$82</f>
        <v>69341.769253399994</v>
      </c>
      <c r="AJ90" s="1004">
        <f>AJ89*'Profit &amp; Loss Ecommerce'!$D$82</f>
        <v>51735.457452000002</v>
      </c>
      <c r="AK90" s="1004">
        <f>AK89*'Profit &amp; Loss Ecommerce'!$D$82</f>
        <v>70545.551864000008</v>
      </c>
      <c r="AL90" s="1004">
        <f>AL89*'Profit &amp; Loss Ecommerce'!$D$82</f>
        <v>144312.46198047997</v>
      </c>
      <c r="AM90" s="1004">
        <f>AM89*'Profit &amp; Loss Ecommerce'!$D$82</f>
        <v>149501.8848766</v>
      </c>
      <c r="AN90" s="169"/>
      <c r="AO90" s="169"/>
      <c r="AP90" s="169"/>
      <c r="AQ90" s="169"/>
      <c r="AR90" s="169"/>
      <c r="AS90" s="169"/>
      <c r="AT90" s="169"/>
      <c r="AU90" s="169"/>
      <c r="AV90" s="169"/>
      <c r="AW90" s="169"/>
      <c r="AX90" s="169"/>
      <c r="AY90" s="169"/>
      <c r="AZ90" s="169"/>
      <c r="BA90" s="169"/>
      <c r="BB90" s="169"/>
      <c r="BC90" s="169"/>
      <c r="BD90" s="169"/>
      <c r="BE90" s="169"/>
      <c r="BF90" s="169"/>
      <c r="BG90" s="169"/>
      <c r="BH90" s="169"/>
      <c r="BI90" s="169"/>
      <c r="BJ90" s="169"/>
      <c r="BK90" s="169"/>
      <c r="BL90" s="169"/>
      <c r="BM90" s="169"/>
      <c r="BN90" s="169"/>
      <c r="BO90" s="169"/>
      <c r="BP90" s="169"/>
      <c r="BQ90" s="169"/>
      <c r="BR90" s="169"/>
      <c r="BS90" s="169"/>
      <c r="BT90" s="169"/>
    </row>
    <row r="91" spans="2:72" s="143" customFormat="1">
      <c r="B91" s="1012" t="s">
        <v>180</v>
      </c>
      <c r="D91" s="1005">
        <f>D89+D90</f>
        <v>20786.400000000001</v>
      </c>
      <c r="E91" s="1005">
        <f>E89+E90</f>
        <v>48162.960000000006</v>
      </c>
      <c r="F91" s="1005">
        <f t="shared" ref="F91:AM91" si="50">F89+F90</f>
        <v>14336.400000000005</v>
      </c>
      <c r="G91" s="1005">
        <f t="shared" si="50"/>
        <v>27465.359999999993</v>
      </c>
      <c r="H91" s="1005">
        <f t="shared" si="50"/>
        <v>23383.200000000008</v>
      </c>
      <c r="I91" s="1005">
        <f t="shared" si="50"/>
        <v>31983.719999999998</v>
      </c>
      <c r="J91" s="1005">
        <f t="shared" si="50"/>
        <v>32840.880000000005</v>
      </c>
      <c r="K91" s="1005">
        <f t="shared" si="50"/>
        <v>35727.222000000009</v>
      </c>
      <c r="L91" s="1005">
        <f t="shared" si="50"/>
        <v>31442.279999999988</v>
      </c>
      <c r="M91" s="1005">
        <f t="shared" si="50"/>
        <v>27812.040000000005</v>
      </c>
      <c r="N91" s="1005">
        <f t="shared" si="50"/>
        <v>62822.241600000001</v>
      </c>
      <c r="O91" s="1053">
        <f t="shared" si="50"/>
        <v>71284.08600000001</v>
      </c>
      <c r="P91" s="1005">
        <f t="shared" si="50"/>
        <v>39044.474399999999</v>
      </c>
      <c r="Q91" s="1004">
        <f t="shared" si="50"/>
        <v>75221.386800000007</v>
      </c>
      <c r="R91" s="1004">
        <f t="shared" si="50"/>
        <v>159907.54199999996</v>
      </c>
      <c r="S91" s="1004">
        <f t="shared" si="50"/>
        <v>170063.14800000004</v>
      </c>
      <c r="T91" s="1004">
        <f t="shared" si="50"/>
        <v>173822.24040000004</v>
      </c>
      <c r="U91" s="1004">
        <f t="shared" si="50"/>
        <v>161692.04279999994</v>
      </c>
      <c r="V91" s="1004">
        <f t="shared" si="50"/>
        <v>172419.63479999997</v>
      </c>
      <c r="W91" s="1004">
        <f t="shared" si="50"/>
        <v>171428.90484000003</v>
      </c>
      <c r="X91" s="1004">
        <f t="shared" si="50"/>
        <v>179571.27479999998</v>
      </c>
      <c r="Y91" s="1004">
        <f t="shared" si="50"/>
        <v>194111.61240000004</v>
      </c>
      <c r="Z91" s="1004">
        <f t="shared" si="50"/>
        <v>222598.31039999996</v>
      </c>
      <c r="AA91" s="1053">
        <f t="shared" si="50"/>
        <v>267791.83175999997</v>
      </c>
      <c r="AB91" s="1005">
        <f t="shared" si="50"/>
        <v>215760.20479200006</v>
      </c>
      <c r="AC91" s="1004">
        <f t="shared" si="50"/>
        <v>212157.65558400002</v>
      </c>
      <c r="AD91" s="1004">
        <f t="shared" si="50"/>
        <v>392311.76563200005</v>
      </c>
      <c r="AE91" s="1004">
        <f t="shared" si="50"/>
        <v>331629.02174400003</v>
      </c>
      <c r="AF91" s="1004">
        <f t="shared" si="50"/>
        <v>303141.17239200009</v>
      </c>
      <c r="AG91" s="1004">
        <f t="shared" si="50"/>
        <v>459010.59827999998</v>
      </c>
      <c r="AH91" s="1004">
        <f t="shared" si="50"/>
        <v>481223.62058400002</v>
      </c>
      <c r="AI91" s="1004">
        <f t="shared" si="50"/>
        <v>416050.61552039994</v>
      </c>
      <c r="AJ91" s="1004">
        <f t="shared" si="50"/>
        <v>310412.74471200001</v>
      </c>
      <c r="AK91" s="1004">
        <f t="shared" si="50"/>
        <v>423273.31118399999</v>
      </c>
      <c r="AL91" s="1004">
        <f t="shared" si="50"/>
        <v>865874.77188287978</v>
      </c>
      <c r="AM91" s="1004">
        <f t="shared" si="50"/>
        <v>897011.30925960001</v>
      </c>
      <c r="AN91" s="169"/>
      <c r="AO91" s="169"/>
      <c r="AP91" s="169"/>
      <c r="AQ91" s="169"/>
      <c r="AR91" s="169"/>
      <c r="AS91" s="169"/>
      <c r="AT91" s="169"/>
      <c r="AU91" s="169"/>
      <c r="AV91" s="169"/>
      <c r="AW91" s="169"/>
      <c r="AX91" s="169"/>
      <c r="AY91" s="169"/>
      <c r="AZ91" s="169"/>
      <c r="BA91" s="169"/>
      <c r="BB91" s="169"/>
      <c r="BC91" s="169"/>
      <c r="BD91" s="169"/>
      <c r="BE91" s="169"/>
      <c r="BF91" s="169"/>
      <c r="BG91" s="169"/>
      <c r="BH91" s="169"/>
      <c r="BI91" s="169"/>
      <c r="BJ91" s="169"/>
      <c r="BK91" s="169"/>
      <c r="BL91" s="169"/>
      <c r="BM91" s="169"/>
      <c r="BN91" s="169"/>
      <c r="BO91" s="169"/>
      <c r="BP91" s="169"/>
      <c r="BQ91" s="169"/>
      <c r="BR91" s="169"/>
      <c r="BS91" s="169"/>
      <c r="BT91" s="169"/>
    </row>
    <row r="92" spans="2:72" s="143" customFormat="1">
      <c r="B92" s="1021" t="s">
        <v>181</v>
      </c>
      <c r="D92" s="1006">
        <f>C91</f>
        <v>0</v>
      </c>
      <c r="E92" s="1006">
        <f t="shared" ref="E92:AM92" si="51">D91</f>
        <v>20786.400000000001</v>
      </c>
      <c r="F92" s="1006">
        <f t="shared" si="51"/>
        <v>48162.960000000006</v>
      </c>
      <c r="G92" s="1006">
        <f t="shared" si="51"/>
        <v>14336.400000000005</v>
      </c>
      <c r="H92" s="1006">
        <f t="shared" si="51"/>
        <v>27465.359999999993</v>
      </c>
      <c r="I92" s="1006">
        <f t="shared" si="51"/>
        <v>23383.200000000008</v>
      </c>
      <c r="J92" s="1006">
        <f t="shared" si="51"/>
        <v>31983.719999999998</v>
      </c>
      <c r="K92" s="1006">
        <f t="shared" si="51"/>
        <v>32840.880000000005</v>
      </c>
      <c r="L92" s="1006">
        <f t="shared" si="51"/>
        <v>35727.222000000009</v>
      </c>
      <c r="M92" s="1006">
        <f t="shared" si="51"/>
        <v>31442.279999999988</v>
      </c>
      <c r="N92" s="1006">
        <f t="shared" si="51"/>
        <v>27812.040000000005</v>
      </c>
      <c r="O92" s="1054">
        <f t="shared" si="51"/>
        <v>62822.241600000001</v>
      </c>
      <c r="P92" s="1006">
        <f t="shared" si="51"/>
        <v>71284.08600000001</v>
      </c>
      <c r="Q92" s="996">
        <f t="shared" si="51"/>
        <v>39044.474399999999</v>
      </c>
      <c r="R92" s="996">
        <f t="shared" si="51"/>
        <v>75221.386800000007</v>
      </c>
      <c r="S92" s="996">
        <f t="shared" si="51"/>
        <v>159907.54199999996</v>
      </c>
      <c r="T92" s="996">
        <f t="shared" si="51"/>
        <v>170063.14800000004</v>
      </c>
      <c r="U92" s="996">
        <f t="shared" si="51"/>
        <v>173822.24040000004</v>
      </c>
      <c r="V92" s="996">
        <f t="shared" si="51"/>
        <v>161692.04279999994</v>
      </c>
      <c r="W92" s="996">
        <f t="shared" si="51"/>
        <v>172419.63479999997</v>
      </c>
      <c r="X92" s="996">
        <f t="shared" si="51"/>
        <v>171428.90484000003</v>
      </c>
      <c r="Y92" s="996">
        <f t="shared" si="51"/>
        <v>179571.27479999998</v>
      </c>
      <c r="Z92" s="996">
        <f t="shared" si="51"/>
        <v>194111.61240000004</v>
      </c>
      <c r="AA92" s="1054">
        <f t="shared" si="51"/>
        <v>222598.31039999996</v>
      </c>
      <c r="AB92" s="1006">
        <f t="shared" si="51"/>
        <v>267791.83175999997</v>
      </c>
      <c r="AC92" s="996">
        <f t="shared" si="51"/>
        <v>215760.20479200006</v>
      </c>
      <c r="AD92" s="996">
        <f t="shared" si="51"/>
        <v>212157.65558400002</v>
      </c>
      <c r="AE92" s="996">
        <f t="shared" si="51"/>
        <v>392311.76563200005</v>
      </c>
      <c r="AF92" s="996">
        <f t="shared" si="51"/>
        <v>331629.02174400003</v>
      </c>
      <c r="AG92" s="996">
        <f t="shared" si="51"/>
        <v>303141.17239200009</v>
      </c>
      <c r="AH92" s="996">
        <f t="shared" si="51"/>
        <v>459010.59827999998</v>
      </c>
      <c r="AI92" s="996">
        <f t="shared" si="51"/>
        <v>481223.62058400002</v>
      </c>
      <c r="AJ92" s="996">
        <f t="shared" si="51"/>
        <v>416050.61552039994</v>
      </c>
      <c r="AK92" s="996">
        <f t="shared" si="51"/>
        <v>310412.74471200001</v>
      </c>
      <c r="AL92" s="996">
        <f t="shared" si="51"/>
        <v>423273.31118399999</v>
      </c>
      <c r="AM92" s="996">
        <f t="shared" si="51"/>
        <v>865874.77188287978</v>
      </c>
      <c r="AN92" s="169"/>
      <c r="AO92" s="169"/>
      <c r="AP92" s="169"/>
      <c r="AQ92" s="169"/>
      <c r="AR92" s="169"/>
      <c r="AS92" s="169"/>
      <c r="AT92" s="169"/>
      <c r="AU92" s="169"/>
      <c r="AV92" s="169"/>
      <c r="AW92" s="169"/>
      <c r="AX92" s="169"/>
      <c r="AY92" s="169"/>
      <c r="AZ92" s="169"/>
      <c r="BA92" s="169"/>
      <c r="BB92" s="169"/>
      <c r="BC92" s="169"/>
      <c r="BD92" s="169"/>
      <c r="BE92" s="169"/>
      <c r="BF92" s="169"/>
      <c r="BG92" s="169"/>
      <c r="BH92" s="169"/>
      <c r="BI92" s="169"/>
      <c r="BJ92" s="169"/>
      <c r="BK92" s="169"/>
      <c r="BL92" s="169"/>
      <c r="BM92" s="169"/>
      <c r="BN92" s="169"/>
      <c r="BO92" s="169"/>
      <c r="BP92" s="169"/>
      <c r="BQ92" s="169"/>
      <c r="BR92" s="169"/>
      <c r="BS92" s="169"/>
      <c r="BT92" s="169"/>
    </row>
    <row r="93" spans="2:72" s="143" customFormat="1" ht="16.2" thickBot="1">
      <c r="B93" s="1014" t="s">
        <v>221</v>
      </c>
      <c r="D93" s="1005">
        <f>D91-D92</f>
        <v>20786.400000000001</v>
      </c>
      <c r="E93" s="1005">
        <f t="shared" ref="E93:J93" si="52">E91-E92</f>
        <v>27376.560000000005</v>
      </c>
      <c r="F93" s="1005">
        <f t="shared" si="52"/>
        <v>-33826.559999999998</v>
      </c>
      <c r="G93" s="1005">
        <f t="shared" si="52"/>
        <v>13128.959999999988</v>
      </c>
      <c r="H93" s="1005">
        <f t="shared" si="52"/>
        <v>-4082.1599999999853</v>
      </c>
      <c r="I93" s="1005">
        <f t="shared" si="52"/>
        <v>8600.5199999999895</v>
      </c>
      <c r="J93" s="1005">
        <f t="shared" si="52"/>
        <v>857.16000000000713</v>
      </c>
      <c r="K93" s="1005">
        <f t="shared" ref="K93" si="53">K91-K92</f>
        <v>2886.3420000000042</v>
      </c>
      <c r="L93" s="1005">
        <f t="shared" ref="L93" si="54">L91-L92</f>
        <v>-4284.9420000000209</v>
      </c>
      <c r="M93" s="1005">
        <f t="shared" ref="M93" si="55">M91-M92</f>
        <v>-3630.2399999999834</v>
      </c>
      <c r="N93" s="1005">
        <f t="shared" ref="N93" si="56">N91-N92</f>
        <v>35010.2016</v>
      </c>
      <c r="O93" s="1053">
        <f t="shared" ref="O93" si="57">O91-O92</f>
        <v>8461.844400000009</v>
      </c>
      <c r="P93" s="1005">
        <f t="shared" ref="P93" si="58">P91-P92</f>
        <v>-32239.611600000011</v>
      </c>
      <c r="Q93" s="1004">
        <f t="shared" ref="Q93" si="59">Q91-Q92</f>
        <v>36176.912400000008</v>
      </c>
      <c r="R93" s="1004">
        <f t="shared" ref="R93" si="60">R91-R92</f>
        <v>84686.15519999995</v>
      </c>
      <c r="S93" s="1004">
        <f t="shared" ref="S93" si="61">S91-S92</f>
        <v>10155.606000000087</v>
      </c>
      <c r="T93" s="1004">
        <f t="shared" ref="T93" si="62">T91-T92</f>
        <v>3759.0923999999941</v>
      </c>
      <c r="U93" s="1004">
        <f t="shared" ref="U93" si="63">U91-U92</f>
        <v>-12130.197600000101</v>
      </c>
      <c r="V93" s="1004">
        <f t="shared" ref="V93" si="64">V91-V92</f>
        <v>10727.592000000033</v>
      </c>
      <c r="W93" s="1004">
        <f t="shared" ref="W93" si="65">W91-W92</f>
        <v>-990.72995999993873</v>
      </c>
      <c r="X93" s="1004">
        <f t="shared" ref="X93" si="66">X91-X92</f>
        <v>8142.3699599999527</v>
      </c>
      <c r="Y93" s="1004">
        <f t="shared" ref="Y93" si="67">Y91-Y92</f>
        <v>14540.337600000057</v>
      </c>
      <c r="Z93" s="1004">
        <f t="shared" ref="Z93" si="68">Z91-Z92</f>
        <v>28486.697999999917</v>
      </c>
      <c r="AA93" s="1053">
        <f t="shared" ref="AA93" si="69">AA91-AA92</f>
        <v>45193.521360000013</v>
      </c>
      <c r="AB93" s="1005">
        <f t="shared" ref="AB93" si="70">AB91-AB92</f>
        <v>-52031.62696799991</v>
      </c>
      <c r="AC93" s="1004">
        <f t="shared" ref="AC93" si="71">AC91-AC92</f>
        <v>-3602.5492080000404</v>
      </c>
      <c r="AD93" s="1004">
        <f t="shared" ref="AD93" si="72">AD91-AD92</f>
        <v>180154.11004800003</v>
      </c>
      <c r="AE93" s="1004">
        <f t="shared" ref="AE93" si="73">AE91-AE92</f>
        <v>-60682.743888000026</v>
      </c>
      <c r="AF93" s="1004">
        <f t="shared" ref="AF93" si="74">AF91-AF92</f>
        <v>-28487.849351999932</v>
      </c>
      <c r="AG93" s="1004">
        <f t="shared" ref="AG93" si="75">AG91-AG92</f>
        <v>155869.42588799988</v>
      </c>
      <c r="AH93" s="1004">
        <f t="shared" ref="AH93" si="76">AH91-AH92</f>
        <v>22213.022304000042</v>
      </c>
      <c r="AI93" s="1004">
        <f t="shared" ref="AI93" si="77">AI91-AI92</f>
        <v>-65173.005063600081</v>
      </c>
      <c r="AJ93" s="1004">
        <f t="shared" ref="AJ93" si="78">AJ91-AJ92</f>
        <v>-105637.87080839992</v>
      </c>
      <c r="AK93" s="1004">
        <f t="shared" ref="AK93" si="79">AK91-AK92</f>
        <v>112860.56647199998</v>
      </c>
      <c r="AL93" s="1004">
        <f t="shared" ref="AL93" si="80">AL91-AL92</f>
        <v>442601.46069887979</v>
      </c>
      <c r="AM93" s="1004">
        <f t="shared" ref="AM93" si="81">AM91-AM92</f>
        <v>31136.537376720225</v>
      </c>
      <c r="AN93" s="169"/>
      <c r="AO93" s="169"/>
      <c r="AP93" s="169"/>
      <c r="AQ93" s="169"/>
      <c r="AR93" s="169"/>
      <c r="AS93" s="169"/>
      <c r="AT93" s="169"/>
      <c r="AU93" s="169"/>
      <c r="AV93" s="169"/>
      <c r="AW93" s="169"/>
      <c r="AX93" s="169"/>
      <c r="AY93" s="169"/>
      <c r="AZ93" s="169"/>
      <c r="BA93" s="169"/>
      <c r="BB93" s="169"/>
      <c r="BC93" s="169"/>
      <c r="BD93" s="169"/>
      <c r="BE93" s="169"/>
      <c r="BF93" s="169"/>
      <c r="BG93" s="169"/>
      <c r="BH93" s="169"/>
      <c r="BI93" s="169"/>
      <c r="BJ93" s="169"/>
      <c r="BK93" s="169"/>
      <c r="BL93" s="169"/>
      <c r="BM93" s="169"/>
      <c r="BN93" s="169"/>
      <c r="BO93" s="169"/>
      <c r="BP93" s="169"/>
      <c r="BQ93" s="169"/>
      <c r="BR93" s="169"/>
      <c r="BS93" s="169"/>
      <c r="BT93" s="169"/>
    </row>
    <row r="94" spans="2:72" s="143" customFormat="1" ht="16.8" thickTop="1" thickBot="1">
      <c r="B94" s="166"/>
      <c r="D94" s="160"/>
      <c r="E94" s="160"/>
      <c r="F94" s="160"/>
      <c r="G94" s="160"/>
      <c r="H94" s="160"/>
      <c r="I94" s="160"/>
      <c r="J94" s="160"/>
      <c r="K94" s="160"/>
      <c r="L94" s="160"/>
      <c r="M94" s="160"/>
      <c r="N94" s="160"/>
      <c r="O94" s="1042"/>
      <c r="P94" s="160"/>
      <c r="R94" s="169"/>
      <c r="S94" s="169"/>
      <c r="T94" s="169"/>
      <c r="U94" s="169"/>
      <c r="V94" s="169"/>
      <c r="W94" s="169"/>
      <c r="X94" s="169"/>
      <c r="Y94" s="169"/>
      <c r="Z94" s="169"/>
      <c r="AA94" s="1050"/>
      <c r="AB94" s="172"/>
      <c r="AN94" s="169"/>
      <c r="AO94" s="169"/>
      <c r="AP94" s="169"/>
      <c r="AQ94" s="169"/>
      <c r="AR94" s="169"/>
      <c r="AS94" s="169"/>
      <c r="AT94" s="169"/>
      <c r="AU94" s="169"/>
      <c r="AV94" s="169"/>
      <c r="AW94" s="169"/>
      <c r="AX94" s="169"/>
      <c r="AY94" s="169"/>
      <c r="AZ94" s="169"/>
      <c r="BA94" s="169"/>
      <c r="BB94" s="169"/>
      <c r="BC94" s="169"/>
      <c r="BD94" s="169"/>
      <c r="BE94" s="169"/>
      <c r="BF94" s="169"/>
      <c r="BG94" s="169"/>
      <c r="BH94" s="169"/>
      <c r="BI94" s="169"/>
      <c r="BJ94" s="169"/>
      <c r="BK94" s="169"/>
      <c r="BL94" s="169"/>
      <c r="BM94" s="169"/>
      <c r="BN94" s="169"/>
      <c r="BO94" s="169"/>
      <c r="BP94" s="169"/>
      <c r="BQ94" s="169"/>
      <c r="BR94" s="169"/>
      <c r="BS94" s="169"/>
      <c r="BT94" s="169"/>
    </row>
    <row r="95" spans="2:72" s="143" customFormat="1" ht="16.2" thickTop="1">
      <c r="B95" s="1011" t="s">
        <v>116</v>
      </c>
      <c r="D95" s="160"/>
      <c r="E95" s="160"/>
      <c r="F95" s="160"/>
      <c r="G95" s="160"/>
      <c r="H95" s="160"/>
      <c r="I95" s="160"/>
      <c r="J95" s="160"/>
      <c r="K95" s="160"/>
      <c r="L95" s="160"/>
      <c r="M95" s="160"/>
      <c r="N95" s="160"/>
      <c r="O95" s="1042"/>
      <c r="P95" s="172"/>
      <c r="Q95" s="169"/>
      <c r="R95" s="169"/>
      <c r="S95" s="169"/>
      <c r="T95" s="169"/>
      <c r="U95" s="169"/>
      <c r="V95" s="169"/>
      <c r="W95" s="169"/>
      <c r="X95" s="169"/>
      <c r="Y95" s="169"/>
      <c r="Z95" s="169"/>
      <c r="AA95" s="1050"/>
      <c r="AB95" s="172"/>
      <c r="AN95" s="169"/>
      <c r="AO95" s="169"/>
      <c r="AP95" s="169"/>
      <c r="AQ95" s="169"/>
      <c r="AR95" s="169"/>
      <c r="AS95" s="169"/>
      <c r="AT95" s="169"/>
      <c r="AU95" s="169"/>
      <c r="AV95" s="169"/>
      <c r="AW95" s="169"/>
      <c r="AX95" s="169"/>
      <c r="AY95" s="169"/>
      <c r="AZ95" s="169"/>
      <c r="BA95" s="169"/>
      <c r="BB95" s="169"/>
      <c r="BC95" s="169"/>
      <c r="BD95" s="169"/>
      <c r="BE95" s="169"/>
      <c r="BF95" s="169"/>
      <c r="BG95" s="169"/>
      <c r="BH95" s="169"/>
      <c r="BI95" s="169"/>
      <c r="BJ95" s="169"/>
      <c r="BK95" s="169"/>
      <c r="BL95" s="169"/>
      <c r="BM95" s="169"/>
      <c r="BN95" s="169"/>
      <c r="BO95" s="169"/>
      <c r="BP95" s="169"/>
      <c r="BQ95" s="169"/>
      <c r="BR95" s="169"/>
      <c r="BS95" s="169"/>
      <c r="BT95" s="169"/>
    </row>
    <row r="96" spans="2:72" s="143" customFormat="1">
      <c r="B96" s="1012" t="s">
        <v>117</v>
      </c>
      <c r="D96" s="160"/>
      <c r="E96" s="160"/>
      <c r="F96" s="160"/>
      <c r="G96" s="160"/>
      <c r="H96" s="160"/>
      <c r="I96" s="160"/>
      <c r="J96" s="160"/>
      <c r="K96" s="160"/>
      <c r="L96" s="160"/>
      <c r="M96" s="160"/>
      <c r="N96" s="160"/>
      <c r="O96" s="1042"/>
      <c r="P96" s="172"/>
      <c r="Q96" s="169"/>
      <c r="R96" s="169"/>
      <c r="S96" s="169"/>
      <c r="T96" s="169"/>
      <c r="U96" s="169"/>
      <c r="V96" s="169"/>
      <c r="W96" s="169"/>
      <c r="X96" s="169"/>
      <c r="Y96" s="169"/>
      <c r="Z96" s="169"/>
      <c r="AA96" s="1050"/>
      <c r="AB96" s="172"/>
      <c r="AN96" s="169"/>
      <c r="AO96" s="169"/>
      <c r="AP96" s="169"/>
      <c r="AQ96" s="169"/>
      <c r="AR96" s="169"/>
      <c r="AS96" s="169"/>
      <c r="AT96" s="169"/>
      <c r="AU96" s="169"/>
      <c r="AV96" s="169"/>
      <c r="AW96" s="169"/>
      <c r="AX96" s="169"/>
      <c r="AY96" s="169"/>
      <c r="AZ96" s="169"/>
      <c r="BA96" s="169"/>
      <c r="BB96" s="169"/>
      <c r="BC96" s="169"/>
      <c r="BD96" s="169"/>
      <c r="BE96" s="169"/>
      <c r="BF96" s="169"/>
      <c r="BG96" s="169"/>
      <c r="BH96" s="169"/>
      <c r="BI96" s="169"/>
      <c r="BJ96" s="169"/>
      <c r="BK96" s="169"/>
      <c r="BL96" s="169"/>
      <c r="BM96" s="169"/>
      <c r="BN96" s="169"/>
      <c r="BO96" s="169"/>
      <c r="BP96" s="169"/>
      <c r="BQ96" s="169"/>
      <c r="BR96" s="169"/>
      <c r="BS96" s="169"/>
      <c r="BT96" s="169"/>
    </row>
    <row r="97" spans="2:72" s="143" customFormat="1">
      <c r="B97" s="1017" t="s">
        <v>188</v>
      </c>
      <c r="D97" s="1005">
        <f>-'Consolidated Profit and Loss'!D61</f>
        <v>2500</v>
      </c>
      <c r="E97" s="1005">
        <f>-'Consolidated Profit and Loss'!E61</f>
        <v>2500</v>
      </c>
      <c r="F97" s="1005">
        <f>-'Consolidated Profit and Loss'!F61</f>
        <v>2500</v>
      </c>
      <c r="G97" s="1005">
        <f>-'Consolidated Profit and Loss'!G61</f>
        <v>2500</v>
      </c>
      <c r="H97" s="1005">
        <f>-'Consolidated Profit and Loss'!H61</f>
        <v>2500</v>
      </c>
      <c r="I97" s="1005">
        <f>-'Consolidated Profit and Loss'!I61</f>
        <v>2500</v>
      </c>
      <c r="J97" s="1005">
        <f>-'Consolidated Profit and Loss'!J61</f>
        <v>2500</v>
      </c>
      <c r="K97" s="1005">
        <f>-'Consolidated Profit and Loss'!K61</f>
        <v>2500</v>
      </c>
      <c r="L97" s="1005">
        <f>-'Consolidated Profit and Loss'!L61</f>
        <v>2500</v>
      </c>
      <c r="M97" s="1005">
        <f>-'Consolidated Profit and Loss'!M61</f>
        <v>2500</v>
      </c>
      <c r="N97" s="1005">
        <f>-'Consolidated Profit and Loss'!N61</f>
        <v>2500</v>
      </c>
      <c r="O97" s="1053">
        <f>-'Consolidated Profit and Loss'!O61</f>
        <v>2500</v>
      </c>
      <c r="P97" s="1004">
        <f>-'Consolidated Profit and Loss'!P61</f>
        <v>2500</v>
      </c>
      <c r="Q97" s="1004">
        <f>-'Consolidated Profit and Loss'!Q61</f>
        <v>2500</v>
      </c>
      <c r="R97" s="1004">
        <f>-'Consolidated Profit and Loss'!R61</f>
        <v>2500</v>
      </c>
      <c r="S97" s="1004">
        <f>-'Consolidated Profit and Loss'!S61</f>
        <v>2500</v>
      </c>
      <c r="T97" s="1004">
        <f>-'Consolidated Profit and Loss'!T61</f>
        <v>2500</v>
      </c>
      <c r="U97" s="1004">
        <f>-'Consolidated Profit and Loss'!U61</f>
        <v>2500</v>
      </c>
      <c r="V97" s="1004">
        <f>-'Consolidated Profit and Loss'!V61</f>
        <v>2500</v>
      </c>
      <c r="W97" s="1004">
        <f>-'Consolidated Profit and Loss'!W61</f>
        <v>2500</v>
      </c>
      <c r="X97" s="1004">
        <f>-'Consolidated Profit and Loss'!X61</f>
        <v>2500</v>
      </c>
      <c r="Y97" s="1004">
        <f>-'Consolidated Profit and Loss'!Y61</f>
        <v>2500</v>
      </c>
      <c r="Z97" s="1004">
        <f>-'Consolidated Profit and Loss'!Z61</f>
        <v>2500</v>
      </c>
      <c r="AA97" s="1053">
        <f>-'Consolidated Profit and Loss'!AA61</f>
        <v>2500</v>
      </c>
      <c r="AB97" s="1004">
        <f>-'Consolidated Profit and Loss'!AB61</f>
        <v>2775</v>
      </c>
      <c r="AC97" s="1004">
        <f>-'Consolidated Profit and Loss'!AC61</f>
        <v>2775</v>
      </c>
      <c r="AD97" s="1004">
        <f>-'Consolidated Profit and Loss'!AD61</f>
        <v>2775</v>
      </c>
      <c r="AE97" s="1004">
        <f>-'Consolidated Profit and Loss'!AE61</f>
        <v>2775</v>
      </c>
      <c r="AF97" s="1004">
        <f>-'Consolidated Profit and Loss'!AF61</f>
        <v>2775</v>
      </c>
      <c r="AG97" s="1004">
        <f>-'Consolidated Profit and Loss'!AG61</f>
        <v>2775</v>
      </c>
      <c r="AH97" s="1004">
        <f>-'Consolidated Profit and Loss'!AH61</f>
        <v>2775</v>
      </c>
      <c r="AI97" s="1004">
        <f>-'Consolidated Profit and Loss'!AI61</f>
        <v>2775</v>
      </c>
      <c r="AJ97" s="1004">
        <f>-'Consolidated Profit and Loss'!AJ61</f>
        <v>2775</v>
      </c>
      <c r="AK97" s="1004">
        <f>-'Consolidated Profit and Loss'!AK61</f>
        <v>2775</v>
      </c>
      <c r="AL97" s="1004">
        <f>-'Consolidated Profit and Loss'!AL61</f>
        <v>2775</v>
      </c>
      <c r="AM97" s="1004">
        <f>-'Consolidated Profit and Loss'!AM61</f>
        <v>2775</v>
      </c>
      <c r="AN97" s="169"/>
      <c r="AO97" s="169"/>
      <c r="AP97" s="169"/>
      <c r="AQ97" s="169"/>
      <c r="AR97" s="169"/>
      <c r="AS97" s="169"/>
      <c r="AT97" s="169"/>
      <c r="AU97" s="169"/>
      <c r="AV97" s="169"/>
      <c r="AW97" s="169"/>
      <c r="AX97" s="169"/>
      <c r="AY97" s="169"/>
      <c r="AZ97" s="169"/>
      <c r="BA97" s="169"/>
      <c r="BB97" s="169"/>
      <c r="BC97" s="169"/>
      <c r="BD97" s="169"/>
      <c r="BE97" s="169"/>
      <c r="BF97" s="169"/>
      <c r="BG97" s="169"/>
      <c r="BH97" s="169"/>
      <c r="BI97" s="169"/>
      <c r="BJ97" s="169"/>
      <c r="BK97" s="169"/>
      <c r="BL97" s="169"/>
      <c r="BM97" s="169"/>
      <c r="BN97" s="169"/>
      <c r="BO97" s="169"/>
      <c r="BP97" s="169"/>
      <c r="BQ97" s="169"/>
      <c r="BR97" s="169"/>
      <c r="BS97" s="169"/>
      <c r="BT97" s="169"/>
    </row>
    <row r="98" spans="2:72" s="143" customFormat="1">
      <c r="B98" s="1017" t="s">
        <v>189</v>
      </c>
      <c r="D98" s="1005">
        <f>SUM(D97:F97)</f>
        <v>7500</v>
      </c>
      <c r="E98" s="1005"/>
      <c r="F98" s="1005"/>
      <c r="G98" s="1005">
        <f>SUM(G97:I97)</f>
        <v>7500</v>
      </c>
      <c r="H98" s="1005"/>
      <c r="I98" s="1005"/>
      <c r="J98" s="1005">
        <f>SUM(J97:L97)</f>
        <v>7500</v>
      </c>
      <c r="K98" s="1005"/>
      <c r="L98" s="1005"/>
      <c r="M98" s="1005">
        <f>SUM(M97:O97)</f>
        <v>7500</v>
      </c>
      <c r="N98" s="1005"/>
      <c r="O98" s="1053"/>
      <c r="P98" s="1005">
        <f>SUM(P97:R97)</f>
        <v>7500</v>
      </c>
      <c r="Q98" s="1004"/>
      <c r="R98" s="1004"/>
      <c r="S98" s="1004">
        <f>SUM(S97:U97)</f>
        <v>7500</v>
      </c>
      <c r="T98" s="1004"/>
      <c r="U98" s="1004"/>
      <c r="V98" s="1004">
        <f>SUM(V97:X97)</f>
        <v>7500</v>
      </c>
      <c r="W98" s="1004"/>
      <c r="X98" s="1004"/>
      <c r="Y98" s="1004">
        <f>SUM(Y97:AA97)</f>
        <v>7500</v>
      </c>
      <c r="Z98" s="1004"/>
      <c r="AA98" s="1053"/>
      <c r="AB98" s="1005">
        <f>SUM(AB97:AD97)</f>
        <v>8325</v>
      </c>
      <c r="AC98" s="1004"/>
      <c r="AD98" s="1004"/>
      <c r="AE98" s="1004">
        <f>SUM(AE97:AG97)</f>
        <v>8325</v>
      </c>
      <c r="AF98" s="1004"/>
      <c r="AG98" s="1004"/>
      <c r="AH98" s="1004">
        <f>SUM(AH97:AJ97)</f>
        <v>8325</v>
      </c>
      <c r="AI98" s="1004"/>
      <c r="AJ98" s="1004"/>
      <c r="AK98" s="1004">
        <f>SUM(AK97:AM97)</f>
        <v>8325</v>
      </c>
      <c r="AL98" s="1004"/>
      <c r="AM98" s="1004"/>
      <c r="AN98" s="169"/>
      <c r="AO98" s="169"/>
      <c r="AP98" s="169"/>
      <c r="AQ98" s="169"/>
      <c r="AR98" s="169"/>
      <c r="AS98" s="169"/>
      <c r="AT98" s="169"/>
      <c r="AU98" s="169"/>
      <c r="AV98" s="169"/>
      <c r="AW98" s="169"/>
      <c r="AX98" s="169"/>
      <c r="AY98" s="169"/>
      <c r="AZ98" s="169"/>
      <c r="BA98" s="169"/>
      <c r="BB98" s="169"/>
      <c r="BC98" s="169"/>
      <c r="BD98" s="169"/>
      <c r="BE98" s="169"/>
      <c r="BF98" s="169"/>
      <c r="BG98" s="169"/>
      <c r="BH98" s="169"/>
      <c r="BI98" s="169"/>
      <c r="BJ98" s="169"/>
      <c r="BK98" s="169"/>
      <c r="BL98" s="169"/>
      <c r="BM98" s="169"/>
      <c r="BN98" s="169"/>
      <c r="BO98" s="169"/>
      <c r="BP98" s="169"/>
      <c r="BQ98" s="169"/>
      <c r="BR98" s="169"/>
      <c r="BS98" s="169"/>
      <c r="BT98" s="169"/>
    </row>
    <row r="99" spans="2:72" s="143" customFormat="1">
      <c r="B99" s="1017" t="s">
        <v>217</v>
      </c>
      <c r="D99" s="1005">
        <f>D98-D97</f>
        <v>5000</v>
      </c>
      <c r="E99" s="1005">
        <f t="shared" ref="E99:AM99" si="82">E98-E97</f>
        <v>-2500</v>
      </c>
      <c r="F99" s="1005">
        <f t="shared" si="82"/>
        <v>-2500</v>
      </c>
      <c r="G99" s="1005">
        <f t="shared" si="82"/>
        <v>5000</v>
      </c>
      <c r="H99" s="1005">
        <f t="shared" si="82"/>
        <v>-2500</v>
      </c>
      <c r="I99" s="1005">
        <f t="shared" si="82"/>
        <v>-2500</v>
      </c>
      <c r="J99" s="1005">
        <f t="shared" si="82"/>
        <v>5000</v>
      </c>
      <c r="K99" s="1005">
        <f t="shared" si="82"/>
        <v>-2500</v>
      </c>
      <c r="L99" s="1005">
        <f t="shared" si="82"/>
        <v>-2500</v>
      </c>
      <c r="M99" s="1005">
        <f t="shared" si="82"/>
        <v>5000</v>
      </c>
      <c r="N99" s="1005">
        <f t="shared" si="82"/>
        <v>-2500</v>
      </c>
      <c r="O99" s="1053">
        <f t="shared" si="82"/>
        <v>-2500</v>
      </c>
      <c r="P99" s="1005">
        <f t="shared" si="82"/>
        <v>5000</v>
      </c>
      <c r="Q99" s="1004">
        <f t="shared" si="82"/>
        <v>-2500</v>
      </c>
      <c r="R99" s="1004">
        <f t="shared" si="82"/>
        <v>-2500</v>
      </c>
      <c r="S99" s="1004">
        <f t="shared" si="82"/>
        <v>5000</v>
      </c>
      <c r="T99" s="1004">
        <f t="shared" si="82"/>
        <v>-2500</v>
      </c>
      <c r="U99" s="1004">
        <f t="shared" si="82"/>
        <v>-2500</v>
      </c>
      <c r="V99" s="1004">
        <f t="shared" si="82"/>
        <v>5000</v>
      </c>
      <c r="W99" s="1004">
        <f t="shared" si="82"/>
        <v>-2500</v>
      </c>
      <c r="X99" s="1004">
        <f t="shared" si="82"/>
        <v>-2500</v>
      </c>
      <c r="Y99" s="1004">
        <f t="shared" si="82"/>
        <v>5000</v>
      </c>
      <c r="Z99" s="1004">
        <f t="shared" si="82"/>
        <v>-2500</v>
      </c>
      <c r="AA99" s="1053">
        <f t="shared" si="82"/>
        <v>-2500</v>
      </c>
      <c r="AB99" s="1005">
        <f t="shared" si="82"/>
        <v>5550</v>
      </c>
      <c r="AC99" s="1004">
        <f t="shared" si="82"/>
        <v>-2775</v>
      </c>
      <c r="AD99" s="1004">
        <f t="shared" si="82"/>
        <v>-2775</v>
      </c>
      <c r="AE99" s="1004">
        <f t="shared" si="82"/>
        <v>5550</v>
      </c>
      <c r="AF99" s="1004">
        <f t="shared" si="82"/>
        <v>-2775</v>
      </c>
      <c r="AG99" s="1004">
        <f t="shared" si="82"/>
        <v>-2775</v>
      </c>
      <c r="AH99" s="1004">
        <f t="shared" si="82"/>
        <v>5550</v>
      </c>
      <c r="AI99" s="1004">
        <f t="shared" si="82"/>
        <v>-2775</v>
      </c>
      <c r="AJ99" s="1004">
        <f t="shared" si="82"/>
        <v>-2775</v>
      </c>
      <c r="AK99" s="1004">
        <f t="shared" si="82"/>
        <v>5550</v>
      </c>
      <c r="AL99" s="1004">
        <f t="shared" si="82"/>
        <v>-2775</v>
      </c>
      <c r="AM99" s="1004">
        <f t="shared" si="82"/>
        <v>-2775</v>
      </c>
      <c r="AN99" s="169"/>
      <c r="AO99" s="169"/>
      <c r="AP99" s="169"/>
      <c r="AQ99" s="169"/>
      <c r="AR99" s="169"/>
      <c r="AS99" s="169"/>
      <c r="AT99" s="169"/>
      <c r="AU99" s="169"/>
      <c r="AV99" s="169"/>
      <c r="AW99" s="169"/>
      <c r="AX99" s="169"/>
      <c r="AY99" s="169"/>
      <c r="AZ99" s="169"/>
      <c r="BA99" s="169"/>
      <c r="BB99" s="169"/>
      <c r="BC99" s="169"/>
      <c r="BD99" s="169"/>
      <c r="BE99" s="169"/>
      <c r="BF99" s="169"/>
      <c r="BG99" s="169"/>
      <c r="BH99" s="169"/>
      <c r="BI99" s="169"/>
      <c r="BJ99" s="169"/>
      <c r="BK99" s="169"/>
      <c r="BL99" s="169"/>
      <c r="BM99" s="169"/>
      <c r="BN99" s="169"/>
      <c r="BO99" s="169"/>
      <c r="BP99" s="169"/>
      <c r="BQ99" s="169"/>
      <c r="BR99" s="169"/>
      <c r="BS99" s="169"/>
      <c r="BT99" s="169"/>
    </row>
    <row r="100" spans="2:72" s="143" customFormat="1">
      <c r="B100" s="1018" t="s">
        <v>118</v>
      </c>
      <c r="D100" s="1006"/>
      <c r="E100" s="1006"/>
      <c r="F100" s="1006"/>
      <c r="G100" s="1006"/>
      <c r="H100" s="1006"/>
      <c r="I100" s="1006"/>
      <c r="J100" s="1006"/>
      <c r="K100" s="1006"/>
      <c r="L100" s="1006"/>
      <c r="M100" s="1006"/>
      <c r="N100" s="1006"/>
      <c r="O100" s="1054"/>
      <c r="P100" s="1006"/>
      <c r="Q100" s="996"/>
      <c r="R100" s="996"/>
      <c r="S100" s="996"/>
      <c r="T100" s="996"/>
      <c r="U100" s="996"/>
      <c r="V100" s="996"/>
      <c r="W100" s="996"/>
      <c r="X100" s="996"/>
      <c r="Y100" s="996"/>
      <c r="Z100" s="996"/>
      <c r="AA100" s="1054"/>
      <c r="AB100" s="1006"/>
      <c r="AC100" s="996"/>
      <c r="AD100" s="996"/>
      <c r="AE100" s="996"/>
      <c r="AF100" s="996"/>
      <c r="AG100" s="996"/>
      <c r="AH100" s="996"/>
      <c r="AI100" s="996"/>
      <c r="AJ100" s="996"/>
      <c r="AK100" s="996"/>
      <c r="AL100" s="996"/>
      <c r="AM100" s="996"/>
      <c r="AN100" s="169"/>
      <c r="AO100" s="169"/>
      <c r="AP100" s="169"/>
      <c r="AQ100" s="169"/>
      <c r="AR100" s="169"/>
      <c r="AS100" s="169"/>
      <c r="AT100" s="169"/>
      <c r="AU100" s="169"/>
      <c r="AV100" s="169"/>
      <c r="AW100" s="169"/>
      <c r="AX100" s="169"/>
      <c r="AY100" s="169"/>
      <c r="AZ100" s="169"/>
      <c r="BA100" s="169"/>
      <c r="BB100" s="169"/>
      <c r="BC100" s="169"/>
      <c r="BD100" s="169"/>
      <c r="BE100" s="169"/>
      <c r="BF100" s="169"/>
      <c r="BG100" s="169"/>
      <c r="BH100" s="169"/>
      <c r="BI100" s="169"/>
      <c r="BJ100" s="169"/>
      <c r="BK100" s="169"/>
      <c r="BL100" s="169"/>
      <c r="BM100" s="169"/>
      <c r="BN100" s="169"/>
      <c r="BO100" s="169"/>
      <c r="BP100" s="169"/>
      <c r="BQ100" s="169"/>
      <c r="BR100" s="169"/>
      <c r="BS100" s="169"/>
      <c r="BT100" s="169"/>
    </row>
    <row r="101" spans="2:72" s="143" customFormat="1">
      <c r="B101" s="1017" t="s">
        <v>190</v>
      </c>
      <c r="D101" s="1005">
        <f>-'Consolidated Profit and Loss'!D63</f>
        <v>1508.3333333333333</v>
      </c>
      <c r="E101" s="1005">
        <f>-'Consolidated Profit and Loss'!E63</f>
        <v>1508.3333333333333</v>
      </c>
      <c r="F101" s="1005">
        <f>-'Consolidated Profit and Loss'!F63</f>
        <v>1508.3333333333333</v>
      </c>
      <c r="G101" s="1005">
        <f>-'Consolidated Profit and Loss'!G63</f>
        <v>1508.3333333333333</v>
      </c>
      <c r="H101" s="1005">
        <f>-'Consolidated Profit and Loss'!H63</f>
        <v>1508.3333333333333</v>
      </c>
      <c r="I101" s="1005">
        <f>-'Consolidated Profit and Loss'!I63</f>
        <v>1508.3333333333333</v>
      </c>
      <c r="J101" s="1005">
        <f>-'Consolidated Profit and Loss'!J63</f>
        <v>1508.3333333333333</v>
      </c>
      <c r="K101" s="1005">
        <f>-'Consolidated Profit and Loss'!K63</f>
        <v>1508.3333333333333</v>
      </c>
      <c r="L101" s="1005">
        <f>-'Consolidated Profit and Loss'!L63</f>
        <v>1508.3333333333333</v>
      </c>
      <c r="M101" s="1005">
        <f>-'Consolidated Profit and Loss'!M63</f>
        <v>1508.3333333333333</v>
      </c>
      <c r="N101" s="1005">
        <f>-'Consolidated Profit and Loss'!N63</f>
        <v>1508.3333333333333</v>
      </c>
      <c r="O101" s="1053">
        <f>-'Consolidated Profit and Loss'!O63</f>
        <v>1508.3333333333333</v>
      </c>
      <c r="P101" s="1004">
        <f>-'Consolidated Profit and Loss'!P63</f>
        <v>1808.3333333333333</v>
      </c>
      <c r="Q101" s="1004">
        <f>-'Consolidated Profit and Loss'!Q63</f>
        <v>1808.3333333333333</v>
      </c>
      <c r="R101" s="1004">
        <f>-'Consolidated Profit and Loss'!R63</f>
        <v>1808.3333333333333</v>
      </c>
      <c r="S101" s="1004">
        <f>-'Consolidated Profit and Loss'!S63</f>
        <v>1808.3333333333333</v>
      </c>
      <c r="T101" s="1004">
        <f>-'Consolidated Profit and Loss'!T63</f>
        <v>1808.3333333333333</v>
      </c>
      <c r="U101" s="1004">
        <f>-'Consolidated Profit and Loss'!U63</f>
        <v>1808.3333333333333</v>
      </c>
      <c r="V101" s="1004">
        <f>-'Consolidated Profit and Loss'!V63</f>
        <v>1808.3333333333333</v>
      </c>
      <c r="W101" s="1004">
        <f>-'Consolidated Profit and Loss'!W63</f>
        <v>1808.3333333333333</v>
      </c>
      <c r="X101" s="1004">
        <f>-'Consolidated Profit and Loss'!X63</f>
        <v>1808.3333333333333</v>
      </c>
      <c r="Y101" s="1004">
        <f>-'Consolidated Profit and Loss'!Y63</f>
        <v>1808.3333333333333</v>
      </c>
      <c r="Z101" s="1004">
        <f>-'Consolidated Profit and Loss'!Z63</f>
        <v>1808.3333333333333</v>
      </c>
      <c r="AA101" s="1053">
        <f>-'Consolidated Profit and Loss'!AA63</f>
        <v>1808.3333333333333</v>
      </c>
      <c r="AB101" s="1004">
        <f>-'Consolidated Profit and Loss'!AB63</f>
        <v>2230</v>
      </c>
      <c r="AC101" s="1004">
        <f>-'Consolidated Profit and Loss'!AC63</f>
        <v>2230</v>
      </c>
      <c r="AD101" s="1004">
        <f>-'Consolidated Profit and Loss'!AD63</f>
        <v>2230</v>
      </c>
      <c r="AE101" s="1004">
        <f>-'Consolidated Profit and Loss'!AE63</f>
        <v>2230</v>
      </c>
      <c r="AF101" s="1004">
        <f>-'Consolidated Profit and Loss'!AF63</f>
        <v>2230</v>
      </c>
      <c r="AG101" s="1004">
        <f>-'Consolidated Profit and Loss'!AG63</f>
        <v>2230</v>
      </c>
      <c r="AH101" s="1004">
        <f>-'Consolidated Profit and Loss'!AH63</f>
        <v>2230</v>
      </c>
      <c r="AI101" s="1004">
        <f>-'Consolidated Profit and Loss'!AI63</f>
        <v>2230</v>
      </c>
      <c r="AJ101" s="1004">
        <f>-'Consolidated Profit and Loss'!AJ63</f>
        <v>2230</v>
      </c>
      <c r="AK101" s="1004">
        <f>-'Consolidated Profit and Loss'!AK63</f>
        <v>2230</v>
      </c>
      <c r="AL101" s="1004">
        <f>-'Consolidated Profit and Loss'!AL63</f>
        <v>2230</v>
      </c>
      <c r="AM101" s="1004">
        <f>-'Consolidated Profit and Loss'!AM63</f>
        <v>2230</v>
      </c>
      <c r="AN101" s="169"/>
      <c r="AO101" s="169"/>
      <c r="AP101" s="169"/>
      <c r="AQ101" s="169"/>
      <c r="AR101" s="169"/>
      <c r="AS101" s="169"/>
      <c r="AT101" s="169"/>
      <c r="AU101" s="169"/>
      <c r="AV101" s="169"/>
      <c r="AW101" s="169"/>
      <c r="AX101" s="169"/>
      <c r="AY101" s="169"/>
      <c r="AZ101" s="169"/>
      <c r="BA101" s="169"/>
      <c r="BB101" s="169"/>
      <c r="BC101" s="169"/>
      <c r="BD101" s="169"/>
      <c r="BE101" s="169"/>
      <c r="BF101" s="169"/>
      <c r="BG101" s="169"/>
      <c r="BH101" s="169"/>
      <c r="BI101" s="169"/>
      <c r="BJ101" s="169"/>
      <c r="BK101" s="169"/>
      <c r="BL101" s="169"/>
      <c r="BM101" s="169"/>
      <c r="BN101" s="169"/>
      <c r="BO101" s="169"/>
      <c r="BP101" s="169"/>
      <c r="BQ101" s="169"/>
      <c r="BR101" s="169"/>
      <c r="BS101" s="169"/>
      <c r="BT101" s="169"/>
    </row>
    <row r="102" spans="2:72" s="143" customFormat="1">
      <c r="B102" s="1017" t="s">
        <v>191</v>
      </c>
      <c r="D102" s="1005"/>
      <c r="E102" s="1005"/>
      <c r="F102" s="1005">
        <f>SUM(D101:F101)</f>
        <v>4525</v>
      </c>
      <c r="G102" s="1005"/>
      <c r="H102" s="1005"/>
      <c r="I102" s="1005">
        <f>SUM(G101:I101)</f>
        <v>4525</v>
      </c>
      <c r="J102" s="1005"/>
      <c r="K102" s="1005"/>
      <c r="L102" s="1005">
        <f>SUM(J101:L101)</f>
        <v>4525</v>
      </c>
      <c r="M102" s="1005"/>
      <c r="N102" s="1005"/>
      <c r="O102" s="1053">
        <f>SUM(M101:O101)</f>
        <v>4525</v>
      </c>
      <c r="P102" s="1005"/>
      <c r="Q102" s="1004"/>
      <c r="R102" s="1004">
        <f>SUM(P101:R101)</f>
        <v>5425</v>
      </c>
      <c r="S102" s="1004"/>
      <c r="T102" s="1004"/>
      <c r="U102" s="1004">
        <f>SUM(S101:U101)</f>
        <v>5425</v>
      </c>
      <c r="V102" s="1004"/>
      <c r="W102" s="1004"/>
      <c r="X102" s="1004">
        <f>SUM(V101:X101)</f>
        <v>5425</v>
      </c>
      <c r="Y102" s="1004"/>
      <c r="Z102" s="1004"/>
      <c r="AA102" s="1053">
        <f>SUM(Y101:AA101)</f>
        <v>5425</v>
      </c>
      <c r="AB102" s="1005"/>
      <c r="AC102" s="1004"/>
      <c r="AD102" s="1004">
        <f>SUM(AB101:AD101)</f>
        <v>6690</v>
      </c>
      <c r="AE102" s="1004"/>
      <c r="AF102" s="1004"/>
      <c r="AG102" s="1004">
        <f>SUM(AE101:AG101)</f>
        <v>6690</v>
      </c>
      <c r="AH102" s="1004"/>
      <c r="AI102" s="1004"/>
      <c r="AJ102" s="1004">
        <f>SUM(AH101:AJ101)</f>
        <v>6690</v>
      </c>
      <c r="AK102" s="1004"/>
      <c r="AL102" s="1004"/>
      <c r="AM102" s="1004">
        <f>SUM(AK101:AM101)</f>
        <v>6690</v>
      </c>
      <c r="AN102" s="169"/>
      <c r="AO102" s="169"/>
      <c r="AP102" s="169"/>
      <c r="AQ102" s="169"/>
      <c r="AR102" s="169"/>
      <c r="AS102" s="169"/>
      <c r="AT102" s="169"/>
      <c r="AU102" s="169"/>
      <c r="AV102" s="169"/>
      <c r="AW102" s="169"/>
      <c r="AX102" s="169"/>
      <c r="AY102" s="169"/>
      <c r="AZ102" s="169"/>
      <c r="BA102" s="169"/>
      <c r="BB102" s="169"/>
      <c r="BC102" s="169"/>
      <c r="BD102" s="169"/>
      <c r="BE102" s="169"/>
      <c r="BF102" s="169"/>
      <c r="BG102" s="169"/>
      <c r="BH102" s="169"/>
      <c r="BI102" s="169"/>
      <c r="BJ102" s="169"/>
      <c r="BK102" s="169"/>
      <c r="BL102" s="169"/>
      <c r="BM102" s="169"/>
      <c r="BN102" s="169"/>
      <c r="BO102" s="169"/>
      <c r="BP102" s="169"/>
      <c r="BQ102" s="169"/>
      <c r="BR102" s="169"/>
      <c r="BS102" s="169"/>
      <c r="BT102" s="169"/>
    </row>
    <row r="103" spans="2:72" s="143" customFormat="1">
      <c r="B103" s="1017" t="s">
        <v>218</v>
      </c>
      <c r="D103" s="1005">
        <f>D101-D102</f>
        <v>1508.3333333333333</v>
      </c>
      <c r="E103" s="1005">
        <f t="shared" ref="E103:AM103" si="83">E101-E102</f>
        <v>1508.3333333333333</v>
      </c>
      <c r="F103" s="1005">
        <f t="shared" si="83"/>
        <v>-3016.666666666667</v>
      </c>
      <c r="G103" s="1005">
        <f t="shared" si="83"/>
        <v>1508.3333333333333</v>
      </c>
      <c r="H103" s="1005">
        <f t="shared" si="83"/>
        <v>1508.3333333333333</v>
      </c>
      <c r="I103" s="1005">
        <f t="shared" si="83"/>
        <v>-3016.666666666667</v>
      </c>
      <c r="J103" s="1005">
        <f t="shared" si="83"/>
        <v>1508.3333333333333</v>
      </c>
      <c r="K103" s="1005">
        <f t="shared" si="83"/>
        <v>1508.3333333333333</v>
      </c>
      <c r="L103" s="1005">
        <f t="shared" si="83"/>
        <v>-3016.666666666667</v>
      </c>
      <c r="M103" s="1005">
        <f t="shared" si="83"/>
        <v>1508.3333333333333</v>
      </c>
      <c r="N103" s="1005">
        <f t="shared" si="83"/>
        <v>1508.3333333333333</v>
      </c>
      <c r="O103" s="1053">
        <f t="shared" si="83"/>
        <v>-3016.666666666667</v>
      </c>
      <c r="P103" s="1005">
        <f t="shared" si="83"/>
        <v>1808.3333333333333</v>
      </c>
      <c r="Q103" s="1004">
        <f t="shared" si="83"/>
        <v>1808.3333333333333</v>
      </c>
      <c r="R103" s="1004">
        <f t="shared" si="83"/>
        <v>-3616.666666666667</v>
      </c>
      <c r="S103" s="1004">
        <f t="shared" si="83"/>
        <v>1808.3333333333333</v>
      </c>
      <c r="T103" s="1004">
        <f t="shared" si="83"/>
        <v>1808.3333333333333</v>
      </c>
      <c r="U103" s="1004">
        <f t="shared" si="83"/>
        <v>-3616.666666666667</v>
      </c>
      <c r="V103" s="1004">
        <f t="shared" si="83"/>
        <v>1808.3333333333333</v>
      </c>
      <c r="W103" s="1004">
        <f t="shared" si="83"/>
        <v>1808.3333333333333</v>
      </c>
      <c r="X103" s="1004">
        <f t="shared" si="83"/>
        <v>-3616.666666666667</v>
      </c>
      <c r="Y103" s="1004">
        <f t="shared" si="83"/>
        <v>1808.3333333333333</v>
      </c>
      <c r="Z103" s="1004">
        <f t="shared" si="83"/>
        <v>1808.3333333333333</v>
      </c>
      <c r="AA103" s="1053">
        <f t="shared" si="83"/>
        <v>-3616.666666666667</v>
      </c>
      <c r="AB103" s="1005">
        <f t="shared" si="83"/>
        <v>2230</v>
      </c>
      <c r="AC103" s="1004">
        <f t="shared" si="83"/>
        <v>2230</v>
      </c>
      <c r="AD103" s="1004">
        <f t="shared" si="83"/>
        <v>-4460</v>
      </c>
      <c r="AE103" s="1004">
        <f t="shared" si="83"/>
        <v>2230</v>
      </c>
      <c r="AF103" s="1004">
        <f t="shared" si="83"/>
        <v>2230</v>
      </c>
      <c r="AG103" s="1004">
        <f t="shared" si="83"/>
        <v>-4460</v>
      </c>
      <c r="AH103" s="1004">
        <f t="shared" si="83"/>
        <v>2230</v>
      </c>
      <c r="AI103" s="1004">
        <f t="shared" si="83"/>
        <v>2230</v>
      </c>
      <c r="AJ103" s="1004">
        <f t="shared" si="83"/>
        <v>-4460</v>
      </c>
      <c r="AK103" s="1004">
        <f t="shared" si="83"/>
        <v>2230</v>
      </c>
      <c r="AL103" s="1004">
        <f t="shared" si="83"/>
        <v>2230</v>
      </c>
      <c r="AM103" s="1004">
        <f t="shared" si="83"/>
        <v>-4460</v>
      </c>
      <c r="AN103" s="169"/>
      <c r="AO103" s="169"/>
      <c r="AP103" s="169"/>
      <c r="AQ103" s="169"/>
      <c r="AR103" s="169"/>
      <c r="AS103" s="169"/>
      <c r="AT103" s="169"/>
      <c r="AU103" s="169"/>
      <c r="AV103" s="169"/>
      <c r="AW103" s="169"/>
      <c r="AX103" s="169"/>
      <c r="AY103" s="169"/>
      <c r="AZ103" s="169"/>
      <c r="BA103" s="169"/>
      <c r="BB103" s="169"/>
      <c r="BC103" s="169"/>
      <c r="BD103" s="169"/>
      <c r="BE103" s="169"/>
      <c r="BF103" s="169"/>
      <c r="BG103" s="169"/>
      <c r="BH103" s="169"/>
      <c r="BI103" s="169"/>
      <c r="BJ103" s="169"/>
      <c r="BK103" s="169"/>
      <c r="BL103" s="169"/>
      <c r="BM103" s="169"/>
      <c r="BN103" s="169"/>
      <c r="BO103" s="169"/>
      <c r="BP103" s="169"/>
      <c r="BQ103" s="169"/>
      <c r="BR103" s="169"/>
      <c r="BS103" s="169"/>
      <c r="BT103" s="169"/>
    </row>
    <row r="104" spans="2:72" s="143" customFormat="1">
      <c r="B104" s="1019" t="s">
        <v>192</v>
      </c>
      <c r="D104" s="1005">
        <f>-('Consolidated Profit and Loss'!D69-'Consolidated Profit and Loss'!D60-'Consolidated Profit and Loss'!D61-'Consolidated Profit and Loss'!D63)</f>
        <v>1979.1666666666667</v>
      </c>
      <c r="E104" s="1005">
        <f>-('Consolidated Profit and Loss'!E69-'Consolidated Profit and Loss'!E60-'Consolidated Profit and Loss'!E61-'Consolidated Profit and Loss'!E63)</f>
        <v>1979.1666666666667</v>
      </c>
      <c r="F104" s="1005">
        <f>-('Consolidated Profit and Loss'!F69-'Consolidated Profit and Loss'!F60-'Consolidated Profit and Loss'!F61-'Consolidated Profit and Loss'!F63)</f>
        <v>1979.1666666666667</v>
      </c>
      <c r="G104" s="1005">
        <f>-('Consolidated Profit and Loss'!G69-'Consolidated Profit and Loss'!G60-'Consolidated Profit and Loss'!G61-'Consolidated Profit and Loss'!G63)</f>
        <v>1979.1666666666667</v>
      </c>
      <c r="H104" s="1005">
        <f>-('Consolidated Profit and Loss'!H69-'Consolidated Profit and Loss'!H60-'Consolidated Profit and Loss'!H61-'Consolidated Profit and Loss'!H63)</f>
        <v>1979.1666666666667</v>
      </c>
      <c r="I104" s="1005">
        <f>-('Consolidated Profit and Loss'!I69-'Consolidated Profit and Loss'!I60-'Consolidated Profit and Loss'!I61-'Consolidated Profit and Loss'!I63)</f>
        <v>1979.1666666666667</v>
      </c>
      <c r="J104" s="1005">
        <f>-('Consolidated Profit and Loss'!J69-'Consolidated Profit and Loss'!J60-'Consolidated Profit and Loss'!J61-'Consolidated Profit and Loss'!J63)</f>
        <v>1979.1666666666667</v>
      </c>
      <c r="K104" s="1005">
        <f>-('Consolidated Profit and Loss'!K69-'Consolidated Profit and Loss'!K60-'Consolidated Profit and Loss'!K61-'Consolidated Profit and Loss'!K63)</f>
        <v>1979.1666666666667</v>
      </c>
      <c r="L104" s="1005">
        <f>-('Consolidated Profit and Loss'!L69-'Consolidated Profit and Loss'!L60-'Consolidated Profit and Loss'!L61-'Consolidated Profit and Loss'!L63)</f>
        <v>1979.1666666666667</v>
      </c>
      <c r="M104" s="1005">
        <f>-('Consolidated Profit and Loss'!M69-'Consolidated Profit and Loss'!M60-'Consolidated Profit and Loss'!M61-'Consolidated Profit and Loss'!M63)</f>
        <v>1979.1666666666667</v>
      </c>
      <c r="N104" s="1005">
        <f>-('Consolidated Profit and Loss'!N69-'Consolidated Profit and Loss'!N60-'Consolidated Profit and Loss'!N61-'Consolidated Profit and Loss'!N63)</f>
        <v>1979.1666666666667</v>
      </c>
      <c r="O104" s="1053">
        <f>-('Consolidated Profit and Loss'!O69-'Consolidated Profit and Loss'!O60-'Consolidated Profit and Loss'!O61-'Consolidated Profit and Loss'!O63)</f>
        <v>1979.1666666666667</v>
      </c>
      <c r="P104" s="1004">
        <f>-('Consolidated Profit and Loss'!P69-'Consolidated Profit and Loss'!P60-'Consolidated Profit and Loss'!P61-'Consolidated Profit and Loss'!P63)</f>
        <v>1562.5000000000061</v>
      </c>
      <c r="Q104" s="1004">
        <f>-('Consolidated Profit and Loss'!Q69-'Consolidated Profit and Loss'!Q60-'Consolidated Profit and Loss'!Q61-'Consolidated Profit and Loss'!Q63)</f>
        <v>1562.5000000000061</v>
      </c>
      <c r="R104" s="1004">
        <f>-('Consolidated Profit and Loss'!R69-'Consolidated Profit and Loss'!R60-'Consolidated Profit and Loss'!R61-'Consolidated Profit and Loss'!R63)</f>
        <v>1562.5000000000061</v>
      </c>
      <c r="S104" s="1004">
        <f>-('Consolidated Profit and Loss'!S69-'Consolidated Profit and Loss'!S60-'Consolidated Profit and Loss'!S61-'Consolidated Profit and Loss'!S63)</f>
        <v>1562.5000000000061</v>
      </c>
      <c r="T104" s="1004">
        <f>-('Consolidated Profit and Loss'!T69-'Consolidated Profit and Loss'!T60-'Consolidated Profit and Loss'!T61-'Consolidated Profit and Loss'!T63)</f>
        <v>1562.5000000000061</v>
      </c>
      <c r="U104" s="1004">
        <f>-('Consolidated Profit and Loss'!U69-'Consolidated Profit and Loss'!U60-'Consolidated Profit and Loss'!U61-'Consolidated Profit and Loss'!U63)</f>
        <v>1562.5000000000061</v>
      </c>
      <c r="V104" s="1004">
        <f>-('Consolidated Profit and Loss'!V69-'Consolidated Profit and Loss'!V60-'Consolidated Profit and Loss'!V61-'Consolidated Profit and Loss'!V63)</f>
        <v>1562.5000000000061</v>
      </c>
      <c r="W104" s="1004">
        <f>-('Consolidated Profit and Loss'!W69-'Consolidated Profit and Loss'!W60-'Consolidated Profit and Loss'!W61-'Consolidated Profit and Loss'!W63)</f>
        <v>1562.5000000000061</v>
      </c>
      <c r="X104" s="1004">
        <f>-('Consolidated Profit and Loss'!X69-'Consolidated Profit and Loss'!X60-'Consolidated Profit and Loss'!X61-'Consolidated Profit and Loss'!X63)</f>
        <v>1562.5000000000061</v>
      </c>
      <c r="Y104" s="1004">
        <f>-('Consolidated Profit and Loss'!Y69-'Consolidated Profit and Loss'!Y60-'Consolidated Profit and Loss'!Y61-'Consolidated Profit and Loss'!Y63)</f>
        <v>1562.5000000000061</v>
      </c>
      <c r="Z104" s="1004">
        <f>-('Consolidated Profit and Loss'!Z69-'Consolidated Profit and Loss'!Z60-'Consolidated Profit and Loss'!Z61-'Consolidated Profit and Loss'!Z63)</f>
        <v>1562.5000000000061</v>
      </c>
      <c r="AA104" s="1053">
        <f>-('Consolidated Profit and Loss'!AA69-'Consolidated Profit and Loss'!AA60-'Consolidated Profit and Loss'!AA61-'Consolidated Profit and Loss'!AA63)</f>
        <v>1562.5000000000061</v>
      </c>
      <c r="AB104" s="1004">
        <f>-('Consolidated Profit and Loss'!AB69-'Consolidated Profit and Loss'!AB60-'Consolidated Profit and Loss'!AB61-'Consolidated Profit and Loss'!AB63)</f>
        <v>2220.8333333333285</v>
      </c>
      <c r="AC104" s="1004">
        <f>-('Consolidated Profit and Loss'!AC69-'Consolidated Profit and Loss'!AC60-'Consolidated Profit and Loss'!AC61-'Consolidated Profit and Loss'!AC63)</f>
        <v>2220.8333333333285</v>
      </c>
      <c r="AD104" s="1004">
        <f>-('Consolidated Profit and Loss'!AD69-'Consolidated Profit and Loss'!AD60-'Consolidated Profit and Loss'!AD61-'Consolidated Profit and Loss'!AD63)</f>
        <v>2220.8333333333285</v>
      </c>
      <c r="AE104" s="1004">
        <f>-('Consolidated Profit and Loss'!AE69-'Consolidated Profit and Loss'!AE60-'Consolidated Profit and Loss'!AE61-'Consolidated Profit and Loss'!AE63)</f>
        <v>2220.8333333333285</v>
      </c>
      <c r="AF104" s="1004">
        <f>-('Consolidated Profit and Loss'!AF69-'Consolidated Profit and Loss'!AF60-'Consolidated Profit and Loss'!AF61-'Consolidated Profit and Loss'!AF63)</f>
        <v>2220.8333333333285</v>
      </c>
      <c r="AG104" s="1004">
        <f>-('Consolidated Profit and Loss'!AG69-'Consolidated Profit and Loss'!AG60-'Consolidated Profit and Loss'!AG61-'Consolidated Profit and Loss'!AG63)</f>
        <v>2220.8333333333285</v>
      </c>
      <c r="AH104" s="1004">
        <f>-('Consolidated Profit and Loss'!AH69-'Consolidated Profit and Loss'!AH60-'Consolidated Profit and Loss'!AH61-'Consolidated Profit and Loss'!AH63)</f>
        <v>2220.8333333333285</v>
      </c>
      <c r="AI104" s="1004">
        <f>-('Consolidated Profit and Loss'!AI69-'Consolidated Profit and Loss'!AI60-'Consolidated Profit and Loss'!AI61-'Consolidated Profit and Loss'!AI63)</f>
        <v>2220.8333333333285</v>
      </c>
      <c r="AJ104" s="1004">
        <f>-('Consolidated Profit and Loss'!AJ69-'Consolidated Profit and Loss'!AJ60-'Consolidated Profit and Loss'!AJ61-'Consolidated Profit and Loss'!AJ63)</f>
        <v>2220.8333333333285</v>
      </c>
      <c r="AK104" s="1004">
        <f>-('Consolidated Profit and Loss'!AK69-'Consolidated Profit and Loss'!AK60-'Consolidated Profit and Loss'!AK61-'Consolidated Profit and Loss'!AK63)</f>
        <v>2220.8333333333285</v>
      </c>
      <c r="AL104" s="1004">
        <f>-('Consolidated Profit and Loss'!AL69-'Consolidated Profit and Loss'!AL60-'Consolidated Profit and Loss'!AL61-'Consolidated Profit and Loss'!AL63)</f>
        <v>2220.8333333333285</v>
      </c>
      <c r="AM104" s="1004">
        <f>-('Consolidated Profit and Loss'!AM69-'Consolidated Profit and Loss'!AM60-'Consolidated Profit and Loss'!AM61-'Consolidated Profit and Loss'!AM63)</f>
        <v>2220.8333333333285</v>
      </c>
      <c r="AN104" s="169"/>
      <c r="AO104" s="169"/>
      <c r="AP104" s="169"/>
      <c r="AQ104" s="169"/>
      <c r="AR104" s="169"/>
      <c r="AS104" s="169"/>
      <c r="AT104" s="169"/>
      <c r="AU104" s="169"/>
      <c r="AV104" s="169"/>
      <c r="AW104" s="169"/>
      <c r="AX104" s="169"/>
      <c r="AY104" s="169"/>
      <c r="AZ104" s="169"/>
      <c r="BA104" s="169"/>
      <c r="BB104" s="169"/>
      <c r="BC104" s="169"/>
      <c r="BD104" s="169"/>
      <c r="BE104" s="169"/>
      <c r="BF104" s="169"/>
      <c r="BG104" s="169"/>
      <c r="BH104" s="169"/>
      <c r="BI104" s="169"/>
      <c r="BJ104" s="169"/>
      <c r="BK104" s="169"/>
      <c r="BL104" s="169"/>
      <c r="BM104" s="169"/>
      <c r="BN104" s="169"/>
      <c r="BO104" s="169"/>
      <c r="BP104" s="169"/>
      <c r="BQ104" s="169"/>
      <c r="BR104" s="169"/>
      <c r="BS104" s="169"/>
      <c r="BT104" s="169"/>
    </row>
    <row r="105" spans="2:72" s="143" customFormat="1" ht="16.2" thickBot="1">
      <c r="B105" s="1014" t="s">
        <v>193</v>
      </c>
      <c r="D105" s="1005">
        <f>D98+D102+D104</f>
        <v>9479.1666666666661</v>
      </c>
      <c r="E105" s="1005">
        <f t="shared" ref="E105:AM105" si="84">E98+E102+E104</f>
        <v>1979.1666666666667</v>
      </c>
      <c r="F105" s="1005">
        <f t="shared" si="84"/>
        <v>6504.166666666667</v>
      </c>
      <c r="G105" s="1005">
        <f t="shared" si="84"/>
        <v>9479.1666666666661</v>
      </c>
      <c r="H105" s="1005">
        <f t="shared" si="84"/>
        <v>1979.1666666666667</v>
      </c>
      <c r="I105" s="1005">
        <f t="shared" si="84"/>
        <v>6504.166666666667</v>
      </c>
      <c r="J105" s="1005">
        <f t="shared" si="84"/>
        <v>9479.1666666666661</v>
      </c>
      <c r="K105" s="1005">
        <f t="shared" si="84"/>
        <v>1979.1666666666667</v>
      </c>
      <c r="L105" s="1005">
        <f t="shared" si="84"/>
        <v>6504.166666666667</v>
      </c>
      <c r="M105" s="1005">
        <f t="shared" si="84"/>
        <v>9479.1666666666661</v>
      </c>
      <c r="N105" s="1005">
        <f t="shared" si="84"/>
        <v>1979.1666666666667</v>
      </c>
      <c r="O105" s="1053">
        <f t="shared" si="84"/>
        <v>6504.166666666667</v>
      </c>
      <c r="P105" s="1005">
        <f t="shared" si="84"/>
        <v>9062.5000000000055</v>
      </c>
      <c r="Q105" s="1004">
        <f t="shared" si="84"/>
        <v>1562.5000000000061</v>
      </c>
      <c r="R105" s="1004">
        <f t="shared" si="84"/>
        <v>6987.5000000000064</v>
      </c>
      <c r="S105" s="1004">
        <f t="shared" si="84"/>
        <v>9062.5000000000055</v>
      </c>
      <c r="T105" s="1004">
        <f t="shared" si="84"/>
        <v>1562.5000000000061</v>
      </c>
      <c r="U105" s="1004">
        <f t="shared" si="84"/>
        <v>6987.5000000000064</v>
      </c>
      <c r="V105" s="1004">
        <f t="shared" si="84"/>
        <v>9062.5000000000055</v>
      </c>
      <c r="W105" s="1004">
        <f t="shared" si="84"/>
        <v>1562.5000000000061</v>
      </c>
      <c r="X105" s="1004">
        <f t="shared" si="84"/>
        <v>6987.5000000000064</v>
      </c>
      <c r="Y105" s="1004">
        <f t="shared" si="84"/>
        <v>9062.5000000000055</v>
      </c>
      <c r="Z105" s="1004">
        <f t="shared" si="84"/>
        <v>1562.5000000000061</v>
      </c>
      <c r="AA105" s="1053">
        <f t="shared" si="84"/>
        <v>6987.5000000000064</v>
      </c>
      <c r="AB105" s="1005">
        <f t="shared" si="84"/>
        <v>10545.833333333328</v>
      </c>
      <c r="AC105" s="1004">
        <f t="shared" si="84"/>
        <v>2220.8333333333285</v>
      </c>
      <c r="AD105" s="1004">
        <f t="shared" si="84"/>
        <v>8910.8333333333285</v>
      </c>
      <c r="AE105" s="1004">
        <f t="shared" si="84"/>
        <v>10545.833333333328</v>
      </c>
      <c r="AF105" s="1004">
        <f t="shared" si="84"/>
        <v>2220.8333333333285</v>
      </c>
      <c r="AG105" s="1004">
        <f t="shared" si="84"/>
        <v>8910.8333333333285</v>
      </c>
      <c r="AH105" s="1004">
        <f t="shared" si="84"/>
        <v>10545.833333333328</v>
      </c>
      <c r="AI105" s="1004">
        <f t="shared" si="84"/>
        <v>2220.8333333333285</v>
      </c>
      <c r="AJ105" s="1004">
        <f t="shared" si="84"/>
        <v>8910.8333333333285</v>
      </c>
      <c r="AK105" s="1004">
        <f t="shared" si="84"/>
        <v>10545.833333333328</v>
      </c>
      <c r="AL105" s="1004">
        <f t="shared" si="84"/>
        <v>2220.8333333333285</v>
      </c>
      <c r="AM105" s="1004">
        <f t="shared" si="84"/>
        <v>8910.8333333333285</v>
      </c>
      <c r="AN105" s="169"/>
      <c r="AO105" s="169"/>
      <c r="AP105" s="169"/>
      <c r="AQ105" s="169"/>
      <c r="AR105" s="169"/>
      <c r="AS105" s="169"/>
      <c r="AT105" s="169"/>
      <c r="AU105" s="169"/>
      <c r="AV105" s="169"/>
      <c r="AW105" s="169"/>
      <c r="AX105" s="169"/>
      <c r="AY105" s="169"/>
      <c r="AZ105" s="169"/>
      <c r="BA105" s="169"/>
      <c r="BB105" s="169"/>
      <c r="BC105" s="169"/>
      <c r="BD105" s="169"/>
      <c r="BE105" s="169"/>
      <c r="BF105" s="169"/>
      <c r="BG105" s="169"/>
      <c r="BH105" s="169"/>
      <c r="BI105" s="169"/>
      <c r="BJ105" s="169"/>
      <c r="BK105" s="169"/>
      <c r="BL105" s="169"/>
      <c r="BM105" s="169"/>
      <c r="BN105" s="169"/>
      <c r="BO105" s="169"/>
      <c r="BP105" s="169"/>
      <c r="BQ105" s="169"/>
      <c r="BR105" s="169"/>
      <c r="BS105" s="169"/>
      <c r="BT105" s="169"/>
    </row>
    <row r="106" spans="2:72" s="143" customFormat="1" ht="16.8" thickTop="1" thickBot="1">
      <c r="B106" s="166"/>
      <c r="D106" s="160"/>
      <c r="E106" s="160"/>
      <c r="F106" s="160"/>
      <c r="G106" s="160"/>
      <c r="H106" s="160"/>
      <c r="I106" s="160"/>
      <c r="J106" s="160"/>
      <c r="K106" s="160"/>
      <c r="L106" s="160"/>
      <c r="M106" s="160"/>
      <c r="N106" s="160"/>
      <c r="O106" s="1042"/>
      <c r="P106" s="172"/>
      <c r="Q106" s="169"/>
      <c r="R106" s="169"/>
      <c r="S106" s="169"/>
      <c r="T106" s="169"/>
      <c r="U106" s="169"/>
      <c r="V106" s="169"/>
      <c r="W106" s="169"/>
      <c r="X106" s="169"/>
      <c r="Y106" s="169"/>
      <c r="Z106" s="169"/>
      <c r="AA106" s="1050"/>
      <c r="AB106" s="172"/>
      <c r="AN106" s="169"/>
      <c r="AO106" s="169"/>
      <c r="AP106" s="169"/>
      <c r="AQ106" s="169"/>
      <c r="AR106" s="169"/>
      <c r="AS106" s="169"/>
      <c r="AT106" s="169"/>
      <c r="AU106" s="169"/>
      <c r="AV106" s="169"/>
      <c r="AW106" s="169"/>
      <c r="AX106" s="169"/>
      <c r="AY106" s="169"/>
      <c r="AZ106" s="169"/>
      <c r="BA106" s="169"/>
      <c r="BB106" s="169"/>
      <c r="BC106" s="169"/>
      <c r="BD106" s="169"/>
      <c r="BE106" s="169"/>
      <c r="BF106" s="169"/>
      <c r="BG106" s="169"/>
      <c r="BH106" s="169"/>
      <c r="BI106" s="169"/>
      <c r="BJ106" s="169"/>
      <c r="BK106" s="169"/>
      <c r="BL106" s="169"/>
      <c r="BM106" s="169"/>
      <c r="BN106" s="169"/>
      <c r="BO106" s="169"/>
      <c r="BP106" s="169"/>
      <c r="BQ106" s="169"/>
      <c r="BR106" s="169"/>
      <c r="BS106" s="169"/>
      <c r="BT106" s="169"/>
    </row>
    <row r="107" spans="2:72" s="143" customFormat="1" ht="16.2" thickTop="1">
      <c r="B107" s="1011" t="s">
        <v>50</v>
      </c>
      <c r="D107" s="160"/>
      <c r="E107" s="160"/>
      <c r="F107" s="160"/>
      <c r="G107" s="160"/>
      <c r="H107" s="160"/>
      <c r="I107" s="160"/>
      <c r="J107" s="160"/>
      <c r="K107" s="160"/>
      <c r="L107" s="160"/>
      <c r="M107" s="160"/>
      <c r="N107" s="160"/>
      <c r="O107" s="1042"/>
      <c r="P107" s="172"/>
      <c r="Q107" s="169"/>
      <c r="R107" s="169"/>
      <c r="S107" s="169"/>
      <c r="T107" s="169"/>
      <c r="U107" s="169"/>
      <c r="V107" s="169"/>
      <c r="W107" s="169"/>
      <c r="X107" s="169"/>
      <c r="Y107" s="169"/>
      <c r="Z107" s="169"/>
      <c r="AA107" s="1050"/>
      <c r="AB107" s="172"/>
      <c r="AN107" s="169"/>
      <c r="AO107" s="169"/>
      <c r="AP107" s="169"/>
      <c r="AQ107" s="169"/>
      <c r="AR107" s="169"/>
      <c r="AS107" s="169"/>
      <c r="AT107" s="169"/>
      <c r="AU107" s="169"/>
      <c r="AV107" s="169"/>
      <c r="AW107" s="169"/>
      <c r="AX107" s="169"/>
      <c r="AY107" s="169"/>
      <c r="AZ107" s="169"/>
      <c r="BA107" s="169"/>
      <c r="BB107" s="169"/>
      <c r="BC107" s="169"/>
      <c r="BD107" s="169"/>
      <c r="BE107" s="169"/>
      <c r="BF107" s="169"/>
      <c r="BG107" s="169"/>
      <c r="BH107" s="169"/>
      <c r="BI107" s="169"/>
      <c r="BJ107" s="169"/>
      <c r="BK107" s="169"/>
      <c r="BL107" s="169"/>
      <c r="BM107" s="169"/>
      <c r="BN107" s="169"/>
      <c r="BO107" s="169"/>
      <c r="BP107" s="169"/>
      <c r="BQ107" s="169"/>
      <c r="BR107" s="169"/>
      <c r="BS107" s="169"/>
      <c r="BT107" s="169"/>
    </row>
    <row r="108" spans="2:72" s="143" customFormat="1">
      <c r="B108" s="1012" t="s">
        <v>120</v>
      </c>
      <c r="D108" s="1005">
        <f>D78*'Profit &amp; Loss Ecommerce'!$D$82</f>
        <v>5154.4000000000005</v>
      </c>
      <c r="E108" s="1005">
        <f>E78*'Profit &amp; Loss Ecommerce'!$D$82</f>
        <v>5911.6</v>
      </c>
      <c r="F108" s="1005">
        <f>F78*'Profit &amp; Loss Ecommerce'!$D$82</f>
        <v>7254</v>
      </c>
      <c r="G108" s="1005">
        <f>G78*'Profit &amp; Loss Ecommerce'!$D$82</f>
        <v>7632.8</v>
      </c>
      <c r="H108" s="1005">
        <f>H78*'Profit &amp; Loss Ecommerce'!$D$82</f>
        <v>8950</v>
      </c>
      <c r="I108" s="1005">
        <f>I78*'Profit &amp; Loss Ecommerce'!$D$82</f>
        <v>9895.6</v>
      </c>
      <c r="J108" s="1005">
        <f>J78*'Profit &amp; Loss Ecommerce'!$D$82</f>
        <v>11048.400000000001</v>
      </c>
      <c r="K108" s="1005">
        <f>K78*'Profit &amp; Loss Ecommerce'!$D$82</f>
        <v>11345.900000000001</v>
      </c>
      <c r="L108" s="1005">
        <f>L78*'Profit &amp; Loss Ecommerce'!$D$82</f>
        <v>11967.6</v>
      </c>
      <c r="M108" s="1005">
        <f>M78*'Profit &amp; Loss Ecommerce'!$D$82</f>
        <v>12910</v>
      </c>
      <c r="N108" s="1005">
        <f>N78*'Profit &amp; Loss Ecommerce'!$D$82</f>
        <v>14022.120000000003</v>
      </c>
      <c r="O108" s="1053">
        <f>O78*'Profit &amp; Loss Ecommerce'!$D$82</f>
        <v>15352.400000000001</v>
      </c>
      <c r="P108" s="1005">
        <f>P78*'Profit &amp; Loss Ecommerce'!$D$82</f>
        <v>20711.36</v>
      </c>
      <c r="Q108" s="1004">
        <f>Q78*'Profit &amp; Loss Ecommerce'!$D$82</f>
        <v>26034.78</v>
      </c>
      <c r="R108" s="1004">
        <f>R78*'Profit &amp; Loss Ecommerce'!$D$82</f>
        <v>33263.800000000003</v>
      </c>
      <c r="S108" s="1004">
        <f>S78*'Profit &amp; Loss Ecommerce'!$D$82</f>
        <v>39728.020000000004</v>
      </c>
      <c r="T108" s="1004">
        <f>T78*'Profit &amp; Loss Ecommerce'!$D$82</f>
        <v>42879.040000000008</v>
      </c>
      <c r="U108" s="1004">
        <f>U78*'Profit &amp; Loss Ecommerce'!$D$82</f>
        <v>46342.66</v>
      </c>
      <c r="V108" s="1004">
        <f>V78*'Profit &amp; Loss Ecommerce'!$D$82</f>
        <v>49661.08</v>
      </c>
      <c r="W108" s="1004">
        <f>W78*'Profit &amp; Loss Ecommerce'!$D$82</f>
        <v>49847.68</v>
      </c>
      <c r="X108" s="1004">
        <f>X78*'Profit &amp; Loss Ecommerce'!$D$82</f>
        <v>55458.280000000006</v>
      </c>
      <c r="Y108" s="1004">
        <f>Y78*'Profit &amp; Loss Ecommerce'!$D$82</f>
        <v>59726.3</v>
      </c>
      <c r="Z108" s="1004">
        <f>Z78*'Profit &amp; Loss Ecommerce'!$D$82</f>
        <v>64318.720000000001</v>
      </c>
      <c r="AA108" s="1053">
        <f>AA78*'Profit &amp; Loss Ecommerce'!$D$82</f>
        <v>63981.26</v>
      </c>
      <c r="AB108" s="1005">
        <f>AB78*'Profit &amp; Loss Ecommerce'!$D$82</f>
        <v>74376.612000000008</v>
      </c>
      <c r="AC108" s="1004">
        <f>AC78*'Profit &amp; Loss Ecommerce'!$D$82</f>
        <v>81769.294400000013</v>
      </c>
      <c r="AD108" s="1004">
        <f>AD78*'Profit &amp; Loss Ecommerce'!$D$82</f>
        <v>94042.606400000004</v>
      </c>
      <c r="AE108" s="1004">
        <f>AE78*'Profit &amp; Loss Ecommerce'!$D$82</f>
        <v>98242.712000000014</v>
      </c>
      <c r="AF108" s="1004">
        <f>AF78*'Profit &amp; Loss Ecommerce'!$D$82</f>
        <v>108337.01160000003</v>
      </c>
      <c r="AG108" s="1004">
        <f>AG78*'Profit &amp; Loss Ecommerce'!$D$82</f>
        <v>124137.1292</v>
      </c>
      <c r="AH108" s="1004">
        <f>AH78*'Profit &amp; Loss Ecommerce'!$D$82</f>
        <v>135379.49128000002</v>
      </c>
      <c r="AI108" s="1004">
        <f>AI78*'Profit &amp; Loss Ecommerce'!$D$82</f>
        <v>140609.20480000001</v>
      </c>
      <c r="AJ108" s="1004">
        <f>AJ78*'Profit &amp; Loss Ecommerce'!$D$82</f>
        <v>144654.98120000001</v>
      </c>
      <c r="AK108" s="1004">
        <f>AK78*'Profit &amp; Loss Ecommerce'!$D$82</f>
        <v>159309.7304</v>
      </c>
      <c r="AL108" s="1004">
        <f>AL78*'Profit &amp; Loss Ecommerce'!$D$82</f>
        <v>169745.042728</v>
      </c>
      <c r="AM108" s="1004">
        <f>AM78*'Profit &amp; Loss Ecommerce'!$D$82</f>
        <v>180051.12075999999</v>
      </c>
      <c r="AN108" s="169"/>
      <c r="AO108" s="169"/>
      <c r="AP108" s="169"/>
      <c r="AQ108" s="169"/>
      <c r="AR108" s="169"/>
      <c r="AS108" s="169"/>
      <c r="AT108" s="169"/>
      <c r="AU108" s="169"/>
      <c r="AV108" s="169"/>
      <c r="AW108" s="169"/>
      <c r="AX108" s="169"/>
      <c r="AY108" s="169"/>
      <c r="AZ108" s="169"/>
      <c r="BA108" s="169"/>
      <c r="BB108" s="169"/>
      <c r="BC108" s="169"/>
      <c r="BD108" s="169"/>
      <c r="BE108" s="169"/>
      <c r="BF108" s="169"/>
      <c r="BG108" s="169"/>
      <c r="BH108" s="169"/>
      <c r="BI108" s="169"/>
      <c r="BJ108" s="169"/>
      <c r="BK108" s="169"/>
      <c r="BL108" s="169"/>
      <c r="BM108" s="169"/>
      <c r="BN108" s="169"/>
      <c r="BO108" s="169"/>
      <c r="BP108" s="169"/>
      <c r="BQ108" s="169"/>
      <c r="BR108" s="169"/>
      <c r="BS108" s="169"/>
      <c r="BT108" s="169"/>
    </row>
    <row r="109" spans="2:72" s="143" customFormat="1">
      <c r="B109" s="1012" t="s">
        <v>160</v>
      </c>
      <c r="D109" s="1005">
        <f t="shared" ref="D109:AM109" si="85">D90</f>
        <v>3464.4</v>
      </c>
      <c r="E109" s="1005">
        <f t="shared" si="85"/>
        <v>8027.1600000000008</v>
      </c>
      <c r="F109" s="1005">
        <f t="shared" si="85"/>
        <v>2389.400000000001</v>
      </c>
      <c r="G109" s="1005">
        <f t="shared" si="85"/>
        <v>4577.5599999999995</v>
      </c>
      <c r="H109" s="1005">
        <f t="shared" si="85"/>
        <v>3897.2000000000016</v>
      </c>
      <c r="I109" s="1005">
        <f t="shared" si="85"/>
        <v>5330.62</v>
      </c>
      <c r="J109" s="1005">
        <f t="shared" si="85"/>
        <v>5473.4800000000005</v>
      </c>
      <c r="K109" s="1005">
        <f t="shared" si="85"/>
        <v>5954.5370000000012</v>
      </c>
      <c r="L109" s="1005">
        <f t="shared" si="85"/>
        <v>5240.3799999999983</v>
      </c>
      <c r="M109" s="1005">
        <f t="shared" si="85"/>
        <v>4635.3400000000011</v>
      </c>
      <c r="N109" s="1005">
        <f t="shared" si="85"/>
        <v>10470.373600000001</v>
      </c>
      <c r="O109" s="1053">
        <f t="shared" si="85"/>
        <v>11880.681000000004</v>
      </c>
      <c r="P109" s="1005">
        <f t="shared" si="85"/>
        <v>6507.4124000000002</v>
      </c>
      <c r="Q109" s="1004">
        <f t="shared" si="85"/>
        <v>12536.897800000001</v>
      </c>
      <c r="R109" s="1004">
        <f t="shared" si="85"/>
        <v>26651.256999999998</v>
      </c>
      <c r="S109" s="1004">
        <f t="shared" si="85"/>
        <v>28343.858000000007</v>
      </c>
      <c r="T109" s="1004">
        <f t="shared" si="85"/>
        <v>28970.373400000008</v>
      </c>
      <c r="U109" s="1004">
        <f t="shared" si="85"/>
        <v>26948.67379999999</v>
      </c>
      <c r="V109" s="1004">
        <f t="shared" si="85"/>
        <v>28736.605799999998</v>
      </c>
      <c r="W109" s="1004">
        <f t="shared" si="85"/>
        <v>28571.484140000004</v>
      </c>
      <c r="X109" s="1004">
        <f t="shared" si="85"/>
        <v>29928.5458</v>
      </c>
      <c r="Y109" s="1004">
        <f t="shared" si="85"/>
        <v>32351.935400000006</v>
      </c>
      <c r="Z109" s="1004">
        <f t="shared" si="85"/>
        <v>37099.718399999998</v>
      </c>
      <c r="AA109" s="1053">
        <f t="shared" si="85"/>
        <v>44631.971959999995</v>
      </c>
      <c r="AB109" s="1005">
        <f t="shared" si="85"/>
        <v>35960.034132000015</v>
      </c>
      <c r="AC109" s="1004">
        <f t="shared" si="85"/>
        <v>35359.609264000006</v>
      </c>
      <c r="AD109" s="1004">
        <f t="shared" si="85"/>
        <v>65385.294272000006</v>
      </c>
      <c r="AE109" s="1004">
        <f t="shared" si="85"/>
        <v>55271.503624000004</v>
      </c>
      <c r="AF109" s="1004">
        <f t="shared" si="85"/>
        <v>50523.528732000013</v>
      </c>
      <c r="AG109" s="1004">
        <f t="shared" si="85"/>
        <v>76501.766380000001</v>
      </c>
      <c r="AH109" s="1004">
        <f t="shared" si="85"/>
        <v>80203.936764000013</v>
      </c>
      <c r="AI109" s="1004">
        <f t="shared" si="85"/>
        <v>69341.769253399994</v>
      </c>
      <c r="AJ109" s="1004">
        <f t="shared" si="85"/>
        <v>51735.457452000002</v>
      </c>
      <c r="AK109" s="1004">
        <f t="shared" si="85"/>
        <v>70545.551864000008</v>
      </c>
      <c r="AL109" s="1004">
        <f t="shared" si="85"/>
        <v>144312.46198047997</v>
      </c>
      <c r="AM109" s="1004">
        <f t="shared" si="85"/>
        <v>149501.8848766</v>
      </c>
      <c r="AN109" s="169"/>
      <c r="AO109" s="169"/>
      <c r="AP109" s="169"/>
      <c r="AQ109" s="169"/>
      <c r="AR109" s="169"/>
      <c r="AS109" s="169"/>
      <c r="AT109" s="169"/>
      <c r="AU109" s="169"/>
      <c r="AV109" s="169"/>
      <c r="AW109" s="169"/>
      <c r="AX109" s="169"/>
      <c r="AY109" s="169"/>
      <c r="AZ109" s="169"/>
      <c r="BA109" s="169"/>
      <c r="BB109" s="169"/>
      <c r="BC109" s="169"/>
      <c r="BD109" s="169"/>
      <c r="BE109" s="169"/>
      <c r="BF109" s="169"/>
      <c r="BG109" s="169"/>
      <c r="BH109" s="169"/>
      <c r="BI109" s="169"/>
      <c r="BJ109" s="169"/>
      <c r="BK109" s="169"/>
      <c r="BL109" s="169"/>
      <c r="BM109" s="169"/>
      <c r="BN109" s="169"/>
      <c r="BO109" s="169"/>
      <c r="BP109" s="169"/>
      <c r="BQ109" s="169"/>
      <c r="BR109" s="169"/>
      <c r="BS109" s="169"/>
      <c r="BT109" s="169"/>
    </row>
    <row r="110" spans="2:72" s="143" customFormat="1">
      <c r="B110" s="1012" t="s">
        <v>161</v>
      </c>
      <c r="D110" s="1005">
        <f>D140</f>
        <v>9960</v>
      </c>
      <c r="E110" s="1005">
        <f t="shared" ref="E110:R110" si="86">E140</f>
        <v>0</v>
      </c>
      <c r="F110" s="1005">
        <f t="shared" si="86"/>
        <v>0</v>
      </c>
      <c r="G110" s="1005">
        <f t="shared" si="86"/>
        <v>0</v>
      </c>
      <c r="H110" s="1005">
        <f t="shared" si="86"/>
        <v>0</v>
      </c>
      <c r="I110" s="1005">
        <f t="shared" si="86"/>
        <v>0</v>
      </c>
      <c r="J110" s="1005">
        <f t="shared" si="86"/>
        <v>0</v>
      </c>
      <c r="K110" s="1005">
        <f t="shared" si="86"/>
        <v>0</v>
      </c>
      <c r="L110" s="1005">
        <f t="shared" si="86"/>
        <v>0</v>
      </c>
      <c r="M110" s="1005">
        <f t="shared" si="86"/>
        <v>0</v>
      </c>
      <c r="N110" s="1005">
        <f t="shared" si="86"/>
        <v>0</v>
      </c>
      <c r="O110" s="1053">
        <f t="shared" si="86"/>
        <v>0</v>
      </c>
      <c r="P110" s="1005">
        <f t="shared" si="86"/>
        <v>8876</v>
      </c>
      <c r="Q110" s="1004">
        <f t="shared" si="86"/>
        <v>0</v>
      </c>
      <c r="R110" s="1004">
        <f t="shared" si="86"/>
        <v>0</v>
      </c>
      <c r="S110" s="1004">
        <f t="shared" ref="S110:AM110" si="87">S140</f>
        <v>0</v>
      </c>
      <c r="T110" s="1004">
        <f t="shared" si="87"/>
        <v>0</v>
      </c>
      <c r="U110" s="1004">
        <f t="shared" si="87"/>
        <v>0</v>
      </c>
      <c r="V110" s="1004">
        <f t="shared" si="87"/>
        <v>0</v>
      </c>
      <c r="W110" s="1004">
        <f t="shared" si="87"/>
        <v>0</v>
      </c>
      <c r="X110" s="1004">
        <f t="shared" si="87"/>
        <v>0</v>
      </c>
      <c r="Y110" s="1004">
        <f t="shared" si="87"/>
        <v>0</v>
      </c>
      <c r="Z110" s="1004">
        <f t="shared" si="87"/>
        <v>0</v>
      </c>
      <c r="AA110" s="1053">
        <f t="shared" si="87"/>
        <v>0</v>
      </c>
      <c r="AB110" s="1005">
        <f t="shared" si="87"/>
        <v>96800</v>
      </c>
      <c r="AC110" s="1004">
        <f t="shared" si="87"/>
        <v>0</v>
      </c>
      <c r="AD110" s="1004">
        <f t="shared" si="87"/>
        <v>0</v>
      </c>
      <c r="AE110" s="1004">
        <f t="shared" si="87"/>
        <v>0</v>
      </c>
      <c r="AF110" s="1004">
        <f t="shared" si="87"/>
        <v>0</v>
      </c>
      <c r="AG110" s="1004">
        <f t="shared" si="87"/>
        <v>0</v>
      </c>
      <c r="AH110" s="1004">
        <f t="shared" si="87"/>
        <v>0</v>
      </c>
      <c r="AI110" s="1004">
        <f t="shared" si="87"/>
        <v>0</v>
      </c>
      <c r="AJ110" s="1004">
        <f t="shared" si="87"/>
        <v>0</v>
      </c>
      <c r="AK110" s="1004">
        <f t="shared" si="87"/>
        <v>0</v>
      </c>
      <c r="AL110" s="1004">
        <f t="shared" si="87"/>
        <v>0</v>
      </c>
      <c r="AM110" s="1004">
        <f t="shared" si="87"/>
        <v>0</v>
      </c>
      <c r="AN110" s="169"/>
      <c r="AO110" s="169"/>
      <c r="AP110" s="169"/>
      <c r="AQ110" s="169"/>
      <c r="AR110" s="169"/>
      <c r="AS110" s="169"/>
      <c r="AT110" s="169"/>
      <c r="AU110" s="169"/>
      <c r="AV110" s="169"/>
      <c r="AW110" s="169"/>
      <c r="AX110" s="169"/>
      <c r="AY110" s="169"/>
      <c r="AZ110" s="169"/>
      <c r="BA110" s="169"/>
      <c r="BB110" s="169"/>
      <c r="BC110" s="169"/>
      <c r="BD110" s="169"/>
      <c r="BE110" s="169"/>
      <c r="BF110" s="169"/>
      <c r="BG110" s="169"/>
      <c r="BH110" s="169"/>
      <c r="BI110" s="169"/>
      <c r="BJ110" s="169"/>
      <c r="BK110" s="169"/>
      <c r="BL110" s="169"/>
      <c r="BM110" s="169"/>
      <c r="BN110" s="169"/>
      <c r="BO110" s="169"/>
      <c r="BP110" s="169"/>
      <c r="BQ110" s="169"/>
      <c r="BR110" s="169"/>
      <c r="BS110" s="169"/>
      <c r="BT110" s="169"/>
    </row>
    <row r="111" spans="2:72" s="143" customFormat="1">
      <c r="B111" s="1012" t="s">
        <v>131</v>
      </c>
      <c r="D111" s="1005">
        <f>D108-D109-D110</f>
        <v>-8270</v>
      </c>
      <c r="E111" s="1005">
        <f t="shared" ref="E111:R111" si="88">E108-E109-E110</f>
        <v>-2115.5600000000004</v>
      </c>
      <c r="F111" s="1005">
        <f t="shared" si="88"/>
        <v>4864.5999999999985</v>
      </c>
      <c r="G111" s="1005">
        <f t="shared" si="88"/>
        <v>3055.2400000000007</v>
      </c>
      <c r="H111" s="1005">
        <f t="shared" si="88"/>
        <v>5052.7999999999984</v>
      </c>
      <c r="I111" s="1005">
        <f t="shared" si="88"/>
        <v>4564.9800000000005</v>
      </c>
      <c r="J111" s="1005">
        <f t="shared" si="88"/>
        <v>5574.920000000001</v>
      </c>
      <c r="K111" s="1005">
        <f t="shared" si="88"/>
        <v>5391.3630000000003</v>
      </c>
      <c r="L111" s="1005">
        <f t="shared" si="88"/>
        <v>6727.2200000000021</v>
      </c>
      <c r="M111" s="1005">
        <f t="shared" si="88"/>
        <v>8274.66</v>
      </c>
      <c r="N111" s="1005">
        <f t="shared" si="88"/>
        <v>3551.7464000000018</v>
      </c>
      <c r="O111" s="1053">
        <f t="shared" si="88"/>
        <v>3471.7189999999973</v>
      </c>
      <c r="P111" s="1005">
        <f t="shared" si="88"/>
        <v>5327.9475999999995</v>
      </c>
      <c r="Q111" s="1004">
        <f t="shared" si="88"/>
        <v>13497.882199999998</v>
      </c>
      <c r="R111" s="1004">
        <f t="shared" si="88"/>
        <v>6612.5430000000051</v>
      </c>
      <c r="S111" s="1004">
        <f t="shared" ref="S111" si="89">S108-S109-S110</f>
        <v>11384.161999999997</v>
      </c>
      <c r="T111" s="1004">
        <f t="shared" ref="T111" si="90">T108-T109-T110</f>
        <v>13908.6666</v>
      </c>
      <c r="U111" s="1004">
        <f t="shared" ref="U111" si="91">U108-U109-U110</f>
        <v>19393.986200000014</v>
      </c>
      <c r="V111" s="1004">
        <f t="shared" ref="V111" si="92">V108-V109-V110</f>
        <v>20924.474200000004</v>
      </c>
      <c r="W111" s="1004">
        <f t="shared" ref="W111" si="93">W108-W109-W110</f>
        <v>21276.195859999996</v>
      </c>
      <c r="X111" s="1004">
        <f t="shared" ref="X111" si="94">X108-X109-X110</f>
        <v>25529.734200000006</v>
      </c>
      <c r="Y111" s="1004">
        <f t="shared" ref="Y111" si="95">Y108-Y109-Y110</f>
        <v>27374.364599999997</v>
      </c>
      <c r="Z111" s="1004">
        <f t="shared" ref="Z111" si="96">Z108-Z109-Z110</f>
        <v>27219.001600000003</v>
      </c>
      <c r="AA111" s="1053">
        <f t="shared" ref="AA111" si="97">AA108-AA109-AA110</f>
        <v>19349.288040000007</v>
      </c>
      <c r="AB111" s="1005">
        <f t="shared" ref="AB111" si="98">AB108-AB109-AB110</f>
        <v>-58383.422132000007</v>
      </c>
      <c r="AC111" s="1004">
        <f t="shared" ref="AC111" si="99">AC108-AC109-AC110</f>
        <v>46409.685136000007</v>
      </c>
      <c r="AD111" s="1004">
        <f t="shared" ref="AD111" si="100">AD108-AD109-AD110</f>
        <v>28657.312127999998</v>
      </c>
      <c r="AE111" s="1004">
        <f t="shared" ref="AE111" si="101">AE108-AE109-AE110</f>
        <v>42971.20837600001</v>
      </c>
      <c r="AF111" s="1004">
        <f t="shared" ref="AF111" si="102">AF108-AF109-AF110</f>
        <v>57813.482868000014</v>
      </c>
      <c r="AG111" s="1004">
        <f t="shared" ref="AG111" si="103">AG108-AG109-AG110</f>
        <v>47635.362819999995</v>
      </c>
      <c r="AH111" s="1004">
        <f t="shared" ref="AH111" si="104">AH108-AH109-AH110</f>
        <v>55175.554516000004</v>
      </c>
      <c r="AI111" s="1004">
        <f t="shared" ref="AI111" si="105">AI108-AI109-AI110</f>
        <v>71267.435546600012</v>
      </c>
      <c r="AJ111" s="1004">
        <f t="shared" ref="AJ111" si="106">AJ108-AJ109-AJ110</f>
        <v>92919.523748000007</v>
      </c>
      <c r="AK111" s="1004">
        <f t="shared" ref="AK111" si="107">AK108-AK109-AK110</f>
        <v>88764.178535999992</v>
      </c>
      <c r="AL111" s="1004">
        <f t="shared" ref="AL111" si="108">AL108-AL109-AL110</f>
        <v>25432.580747520027</v>
      </c>
      <c r="AM111" s="1004">
        <f t="shared" ref="AM111" si="109">AM108-AM109-AM110</f>
        <v>30549.23588339999</v>
      </c>
      <c r="AN111" s="169"/>
      <c r="AO111" s="169"/>
      <c r="AP111" s="169"/>
      <c r="AQ111" s="169"/>
      <c r="AR111" s="169"/>
      <c r="AS111" s="169"/>
      <c r="AT111" s="169"/>
      <c r="AU111" s="169"/>
      <c r="AV111" s="169"/>
      <c r="AW111" s="169"/>
      <c r="AX111" s="169"/>
      <c r="AY111" s="169"/>
      <c r="AZ111" s="169"/>
      <c r="BA111" s="169"/>
      <c r="BB111" s="169"/>
      <c r="BC111" s="169"/>
      <c r="BD111" s="169"/>
      <c r="BE111" s="169"/>
      <c r="BF111" s="169"/>
      <c r="BG111" s="169"/>
      <c r="BH111" s="169"/>
      <c r="BI111" s="169"/>
      <c r="BJ111" s="169"/>
      <c r="BK111" s="169"/>
      <c r="BL111" s="169"/>
      <c r="BM111" s="169"/>
      <c r="BN111" s="169"/>
      <c r="BO111" s="169"/>
      <c r="BP111" s="169"/>
      <c r="BQ111" s="169"/>
      <c r="BR111" s="169"/>
      <c r="BS111" s="169"/>
      <c r="BT111" s="169"/>
    </row>
    <row r="112" spans="2:72" s="143" customFormat="1">
      <c r="B112" s="1012" t="s">
        <v>194</v>
      </c>
      <c r="D112" s="1005"/>
      <c r="E112" s="1005"/>
      <c r="F112" s="1005">
        <f>SUM(D108:F108)-SUM(D109:F109)</f>
        <v>4439.0399999999972</v>
      </c>
      <c r="G112" s="1005"/>
      <c r="H112" s="1005"/>
      <c r="I112" s="1005">
        <f>SUM(G108:I108)-SUM(G109:I109)</f>
        <v>12673.02</v>
      </c>
      <c r="J112" s="1005"/>
      <c r="K112" s="1005"/>
      <c r="L112" s="1005">
        <f>SUM(J108:L108)-SUM(J109:L109)</f>
        <v>17693.503000000001</v>
      </c>
      <c r="M112" s="1005"/>
      <c r="N112" s="1005"/>
      <c r="O112" s="1053">
        <f>SUM(M108:O108)-SUM(M109:O109)</f>
        <v>15298.125399999997</v>
      </c>
      <c r="P112" s="1005"/>
      <c r="Q112" s="1004"/>
      <c r="R112" s="1004">
        <f>SUM(P108:R108)-SUM(P109:R109)</f>
        <v>34314.372800000005</v>
      </c>
      <c r="S112" s="1004"/>
      <c r="T112" s="1004"/>
      <c r="U112" s="1004">
        <f>SUM(S108:U108)-SUM(S109:U109)</f>
        <v>44686.814800000007</v>
      </c>
      <c r="V112" s="1004"/>
      <c r="W112" s="1004"/>
      <c r="X112" s="1004">
        <f>SUM(V108:X108)-SUM(V109:X109)</f>
        <v>67730.40426000001</v>
      </c>
      <c r="Y112" s="1004"/>
      <c r="Z112" s="1004"/>
      <c r="AA112" s="1053">
        <f>SUM(Y108:AA108)-SUM(Y109:AA109)</f>
        <v>73942.654240000003</v>
      </c>
      <c r="AB112" s="1005"/>
      <c r="AC112" s="1004"/>
      <c r="AD112" s="1004">
        <f>SUM(AB108:AD108)-SUM(AB109:AD109)</f>
        <v>113483.575132</v>
      </c>
      <c r="AE112" s="1004"/>
      <c r="AF112" s="1004"/>
      <c r="AG112" s="1004">
        <f>SUM(AE108:AG108)-SUM(AE109:AG109)</f>
        <v>148420.05406399997</v>
      </c>
      <c r="AH112" s="1004"/>
      <c r="AI112" s="1004"/>
      <c r="AJ112" s="1004">
        <f>SUM(AH108:AJ108)-SUM(AH109:AJ109)</f>
        <v>219362.51381060004</v>
      </c>
      <c r="AK112" s="1004"/>
      <c r="AL112" s="1004"/>
      <c r="AM112" s="1004">
        <f>SUM(AK108:AM108)-SUM(AK109:AM109)</f>
        <v>144745.99516691995</v>
      </c>
      <c r="AN112" s="169"/>
      <c r="AO112" s="169"/>
      <c r="AP112" s="169"/>
      <c r="AQ112" s="169"/>
      <c r="AR112" s="169"/>
      <c r="AS112" s="169"/>
      <c r="AT112" s="169"/>
      <c r="AU112" s="169"/>
      <c r="AV112" s="169"/>
      <c r="AW112" s="169"/>
      <c r="AX112" s="169"/>
      <c r="AY112" s="169"/>
      <c r="AZ112" s="169"/>
      <c r="BA112" s="169"/>
      <c r="BB112" s="169"/>
      <c r="BC112" s="169"/>
      <c r="BD112" s="169"/>
      <c r="BE112" s="169"/>
      <c r="BF112" s="169"/>
      <c r="BG112" s="169"/>
      <c r="BH112" s="169"/>
      <c r="BI112" s="169"/>
      <c r="BJ112" s="169"/>
      <c r="BK112" s="169"/>
      <c r="BL112" s="169"/>
      <c r="BM112" s="169"/>
      <c r="BN112" s="169"/>
      <c r="BO112" s="169"/>
      <c r="BP112" s="169"/>
      <c r="BQ112" s="169"/>
      <c r="BR112" s="169"/>
      <c r="BS112" s="169"/>
      <c r="BT112" s="169"/>
    </row>
    <row r="113" spans="2:72" s="143" customFormat="1">
      <c r="B113" s="1012" t="s">
        <v>195</v>
      </c>
      <c r="D113" s="1005"/>
      <c r="E113" s="1005"/>
      <c r="F113" s="1005">
        <f>-SUM(D110:F110)</f>
        <v>-9960</v>
      </c>
      <c r="G113" s="1005"/>
      <c r="H113" s="1005"/>
      <c r="I113" s="1005">
        <f>-SUM(G110:I110)</f>
        <v>0</v>
      </c>
      <c r="J113" s="1005"/>
      <c r="K113" s="1005"/>
      <c r="L113" s="1005">
        <f>-SUM(J110:L110)</f>
        <v>0</v>
      </c>
      <c r="M113" s="1005"/>
      <c r="N113" s="1005"/>
      <c r="O113" s="1053">
        <f>-SUM(M110:O110)</f>
        <v>0</v>
      </c>
      <c r="P113" s="1005"/>
      <c r="Q113" s="1004"/>
      <c r="R113" s="1004">
        <f>-SUM(P110:R110)</f>
        <v>-8876</v>
      </c>
      <c r="S113" s="1004"/>
      <c r="T113" s="1004"/>
      <c r="U113" s="1004">
        <f>-SUM(S110:U110)</f>
        <v>0</v>
      </c>
      <c r="V113" s="1004"/>
      <c r="W113" s="1004"/>
      <c r="X113" s="1004">
        <f>-SUM(V110:X110)</f>
        <v>0</v>
      </c>
      <c r="Y113" s="1004"/>
      <c r="Z113" s="1004"/>
      <c r="AA113" s="1053">
        <f>-SUM(Y110:AA110)</f>
        <v>0</v>
      </c>
      <c r="AB113" s="1005"/>
      <c r="AC113" s="1004"/>
      <c r="AD113" s="1004">
        <f>-SUM(AB110:AD110)</f>
        <v>-96800</v>
      </c>
      <c r="AE113" s="1004"/>
      <c r="AF113" s="1004"/>
      <c r="AG113" s="1004">
        <f>-SUM(AE110:AG110)</f>
        <v>0</v>
      </c>
      <c r="AH113" s="1004"/>
      <c r="AI113" s="1004"/>
      <c r="AJ113" s="1004">
        <f>-SUM(AH110:AJ110)</f>
        <v>0</v>
      </c>
      <c r="AK113" s="1004"/>
      <c r="AL113" s="1004"/>
      <c r="AM113" s="1004">
        <f>-SUM(AK110:AM110)</f>
        <v>0</v>
      </c>
      <c r="AN113" s="169"/>
      <c r="AO113" s="169"/>
      <c r="AP113" s="169"/>
      <c r="AQ113" s="169"/>
      <c r="AR113" s="169"/>
      <c r="AS113" s="169"/>
      <c r="AT113" s="169"/>
      <c r="AU113" s="169"/>
      <c r="AV113" s="169"/>
      <c r="AW113" s="169"/>
      <c r="AX113" s="169"/>
      <c r="AY113" s="169"/>
      <c r="AZ113" s="169"/>
      <c r="BA113" s="169"/>
      <c r="BB113" s="169"/>
      <c r="BC113" s="169"/>
      <c r="BD113" s="169"/>
      <c r="BE113" s="169"/>
      <c r="BF113" s="169"/>
      <c r="BG113" s="169"/>
      <c r="BH113" s="169"/>
      <c r="BI113" s="169"/>
      <c r="BJ113" s="169"/>
      <c r="BK113" s="169"/>
      <c r="BL113" s="169"/>
      <c r="BM113" s="169"/>
      <c r="BN113" s="169"/>
      <c r="BO113" s="169"/>
      <c r="BP113" s="169"/>
      <c r="BQ113" s="169"/>
      <c r="BR113" s="169"/>
      <c r="BS113" s="169"/>
      <c r="BT113" s="169"/>
    </row>
    <row r="114" spans="2:72" s="143" customFormat="1">
      <c r="B114" s="1012" t="s">
        <v>196</v>
      </c>
      <c r="D114" s="1005">
        <f>D112+D113</f>
        <v>0</v>
      </c>
      <c r="E114" s="1005">
        <f t="shared" ref="E114:F114" si="110">E112+E113</f>
        <v>0</v>
      </c>
      <c r="F114" s="1005">
        <f t="shared" si="110"/>
        <v>-5520.9600000000028</v>
      </c>
      <c r="G114" s="1005">
        <f>G112+G113</f>
        <v>0</v>
      </c>
      <c r="H114" s="1005">
        <f t="shared" ref="H114" si="111">H112+H113</f>
        <v>0</v>
      </c>
      <c r="I114" s="1005">
        <f t="shared" ref="I114" si="112">I112+I113</f>
        <v>12673.02</v>
      </c>
      <c r="J114" s="1005">
        <f t="shared" ref="J114" si="113">J112+J113</f>
        <v>0</v>
      </c>
      <c r="K114" s="1005">
        <f t="shared" ref="K114" si="114">K112+K113</f>
        <v>0</v>
      </c>
      <c r="L114" s="1005">
        <f t="shared" ref="L114" si="115">L112+L113</f>
        <v>17693.503000000001</v>
      </c>
      <c r="M114" s="1005">
        <f t="shared" ref="M114" si="116">M112+M113</f>
        <v>0</v>
      </c>
      <c r="N114" s="1005">
        <f t="shared" ref="N114" si="117">N112+N113</f>
        <v>0</v>
      </c>
      <c r="O114" s="1053">
        <f t="shared" ref="O114" si="118">O112+O113</f>
        <v>15298.125399999997</v>
      </c>
      <c r="P114" s="1005">
        <f t="shared" ref="P114" si="119">P112+P113</f>
        <v>0</v>
      </c>
      <c r="Q114" s="1004">
        <f t="shared" ref="Q114" si="120">Q112+Q113</f>
        <v>0</v>
      </c>
      <c r="R114" s="1004">
        <f t="shared" ref="R114" si="121">R112+R113</f>
        <v>25438.372800000005</v>
      </c>
      <c r="S114" s="1004">
        <f t="shared" ref="S114" si="122">S112+S113</f>
        <v>0</v>
      </c>
      <c r="T114" s="1004">
        <f t="shared" ref="T114" si="123">T112+T113</f>
        <v>0</v>
      </c>
      <c r="U114" s="1004">
        <f t="shared" ref="U114" si="124">U112+U113</f>
        <v>44686.814800000007</v>
      </c>
      <c r="V114" s="1004">
        <f t="shared" ref="V114" si="125">V112+V113</f>
        <v>0</v>
      </c>
      <c r="W114" s="1004">
        <f t="shared" ref="W114" si="126">W112+W113</f>
        <v>0</v>
      </c>
      <c r="X114" s="1004">
        <f t="shared" ref="X114" si="127">X112+X113</f>
        <v>67730.40426000001</v>
      </c>
      <c r="Y114" s="1004">
        <f t="shared" ref="Y114" si="128">Y112+Y113</f>
        <v>0</v>
      </c>
      <c r="Z114" s="1004">
        <f t="shared" ref="Z114" si="129">Z112+Z113</f>
        <v>0</v>
      </c>
      <c r="AA114" s="1053">
        <f t="shared" ref="AA114" si="130">AA112+AA113</f>
        <v>73942.654240000003</v>
      </c>
      <c r="AB114" s="1005">
        <f t="shared" ref="AB114" si="131">AB112+AB113</f>
        <v>0</v>
      </c>
      <c r="AC114" s="1004">
        <f t="shared" ref="AC114" si="132">AC112+AC113</f>
        <v>0</v>
      </c>
      <c r="AD114" s="1004">
        <f t="shared" ref="AD114" si="133">AD112+AD113</f>
        <v>16683.575131999998</v>
      </c>
      <c r="AE114" s="1004">
        <f t="shared" ref="AE114" si="134">AE112+AE113</f>
        <v>0</v>
      </c>
      <c r="AF114" s="1004">
        <f t="shared" ref="AF114" si="135">AF112+AF113</f>
        <v>0</v>
      </c>
      <c r="AG114" s="1004">
        <f t="shared" ref="AG114" si="136">AG112+AG113</f>
        <v>148420.05406399997</v>
      </c>
      <c r="AH114" s="1004">
        <f t="shared" ref="AH114" si="137">AH112+AH113</f>
        <v>0</v>
      </c>
      <c r="AI114" s="1004">
        <f t="shared" ref="AI114" si="138">AI112+AI113</f>
        <v>0</v>
      </c>
      <c r="AJ114" s="1004">
        <f t="shared" ref="AJ114" si="139">AJ112+AJ113</f>
        <v>219362.51381060004</v>
      </c>
      <c r="AK114" s="1004">
        <f t="shared" ref="AK114" si="140">AK112+AK113</f>
        <v>0</v>
      </c>
      <c r="AL114" s="1004">
        <f t="shared" ref="AL114" si="141">AL112+AL113</f>
        <v>0</v>
      </c>
      <c r="AM114" s="1004">
        <f t="shared" ref="AM114" si="142">AM112+AM113</f>
        <v>144745.99516691995</v>
      </c>
      <c r="AN114" s="169"/>
      <c r="AO114" s="169"/>
      <c r="AP114" s="169"/>
      <c r="AQ114" s="169"/>
      <c r="AR114" s="169"/>
      <c r="AS114" s="169"/>
      <c r="AT114" s="169"/>
      <c r="AU114" s="169"/>
      <c r="AV114" s="169"/>
      <c r="AW114" s="169"/>
      <c r="AX114" s="169"/>
      <c r="AY114" s="169"/>
      <c r="AZ114" s="169"/>
      <c r="BA114" s="169"/>
      <c r="BB114" s="169"/>
      <c r="BC114" s="169"/>
      <c r="BD114" s="169"/>
      <c r="BE114" s="169"/>
      <c r="BF114" s="169"/>
      <c r="BG114" s="169"/>
      <c r="BH114" s="169"/>
      <c r="BI114" s="169"/>
      <c r="BJ114" s="169"/>
      <c r="BK114" s="169"/>
      <c r="BL114" s="169"/>
      <c r="BM114" s="169"/>
      <c r="BN114" s="169"/>
      <c r="BO114" s="169"/>
      <c r="BP114" s="169"/>
      <c r="BQ114" s="169"/>
      <c r="BR114" s="169"/>
      <c r="BS114" s="169"/>
      <c r="BT114" s="169"/>
    </row>
    <row r="115" spans="2:72" s="143" customFormat="1">
      <c r="B115" s="1012" t="s">
        <v>219</v>
      </c>
      <c r="D115" s="1005">
        <f>(D108-D109)-D112</f>
        <v>1690.0000000000005</v>
      </c>
      <c r="E115" s="1005">
        <f t="shared" ref="E115:AM115" si="143">(E108-E109)-E112</f>
        <v>-2115.5600000000004</v>
      </c>
      <c r="F115" s="1005">
        <f t="shared" si="143"/>
        <v>425.56000000000131</v>
      </c>
      <c r="G115" s="1005">
        <f t="shared" si="143"/>
        <v>3055.2400000000007</v>
      </c>
      <c r="H115" s="1005">
        <f t="shared" si="143"/>
        <v>5052.7999999999984</v>
      </c>
      <c r="I115" s="1005">
        <f t="shared" si="143"/>
        <v>-8108.04</v>
      </c>
      <c r="J115" s="1005">
        <f t="shared" si="143"/>
        <v>5574.920000000001</v>
      </c>
      <c r="K115" s="1005">
        <f t="shared" si="143"/>
        <v>5391.3630000000003</v>
      </c>
      <c r="L115" s="1005">
        <f t="shared" si="143"/>
        <v>-10966.282999999999</v>
      </c>
      <c r="M115" s="1005">
        <f t="shared" si="143"/>
        <v>8274.66</v>
      </c>
      <c r="N115" s="1005">
        <f t="shared" si="143"/>
        <v>3551.7464000000018</v>
      </c>
      <c r="O115" s="1053">
        <f t="shared" si="143"/>
        <v>-11826.4064</v>
      </c>
      <c r="P115" s="1005">
        <f t="shared" si="143"/>
        <v>14203.9476</v>
      </c>
      <c r="Q115" s="1004">
        <f t="shared" si="143"/>
        <v>13497.882199999998</v>
      </c>
      <c r="R115" s="1004">
        <f t="shared" si="143"/>
        <v>-27701.8298</v>
      </c>
      <c r="S115" s="1004">
        <f t="shared" si="143"/>
        <v>11384.161999999997</v>
      </c>
      <c r="T115" s="1004">
        <f t="shared" si="143"/>
        <v>13908.6666</v>
      </c>
      <c r="U115" s="1004">
        <f t="shared" si="143"/>
        <v>-25292.828599999993</v>
      </c>
      <c r="V115" s="1004">
        <f t="shared" si="143"/>
        <v>20924.474200000004</v>
      </c>
      <c r="W115" s="1004">
        <f t="shared" si="143"/>
        <v>21276.195859999996</v>
      </c>
      <c r="X115" s="1004">
        <f t="shared" si="143"/>
        <v>-42200.670060000004</v>
      </c>
      <c r="Y115" s="1004">
        <f t="shared" si="143"/>
        <v>27374.364599999997</v>
      </c>
      <c r="Z115" s="1004">
        <f t="shared" si="143"/>
        <v>27219.001600000003</v>
      </c>
      <c r="AA115" s="1053">
        <f t="shared" si="143"/>
        <v>-54593.366199999997</v>
      </c>
      <c r="AB115" s="1005">
        <f t="shared" si="143"/>
        <v>38416.577867999993</v>
      </c>
      <c r="AC115" s="1004">
        <f t="shared" si="143"/>
        <v>46409.685136000007</v>
      </c>
      <c r="AD115" s="1004">
        <f t="shared" si="143"/>
        <v>-84826.263004000008</v>
      </c>
      <c r="AE115" s="1004">
        <f t="shared" si="143"/>
        <v>42971.20837600001</v>
      </c>
      <c r="AF115" s="1004">
        <f t="shared" si="143"/>
        <v>57813.482868000014</v>
      </c>
      <c r="AG115" s="1004">
        <f t="shared" si="143"/>
        <v>-100784.69124399997</v>
      </c>
      <c r="AH115" s="1004">
        <f t="shared" si="143"/>
        <v>55175.554516000004</v>
      </c>
      <c r="AI115" s="1004">
        <f t="shared" si="143"/>
        <v>71267.435546600012</v>
      </c>
      <c r="AJ115" s="1004">
        <f t="shared" si="143"/>
        <v>-126442.99006260003</v>
      </c>
      <c r="AK115" s="1004">
        <f t="shared" si="143"/>
        <v>88764.178535999992</v>
      </c>
      <c r="AL115" s="1004">
        <f t="shared" si="143"/>
        <v>25432.580747520027</v>
      </c>
      <c r="AM115" s="1004">
        <f t="shared" si="143"/>
        <v>-114196.75928351996</v>
      </c>
      <c r="AN115" s="169"/>
      <c r="AO115" s="169"/>
      <c r="AP115" s="169"/>
      <c r="AQ115" s="169"/>
      <c r="AR115" s="169"/>
      <c r="AS115" s="169"/>
      <c r="AT115" s="169"/>
      <c r="AU115" s="169"/>
      <c r="AV115" s="169"/>
      <c r="AW115" s="169"/>
      <c r="AX115" s="169"/>
      <c r="AY115" s="169"/>
      <c r="AZ115" s="169"/>
      <c r="BA115" s="169"/>
      <c r="BB115" s="169"/>
      <c r="BC115" s="169"/>
      <c r="BD115" s="169"/>
      <c r="BE115" s="169"/>
      <c r="BF115" s="169"/>
      <c r="BG115" s="169"/>
      <c r="BH115" s="169"/>
      <c r="BI115" s="169"/>
      <c r="BJ115" s="169"/>
      <c r="BK115" s="169"/>
      <c r="BL115" s="169"/>
      <c r="BM115" s="169"/>
      <c r="BN115" s="169"/>
      <c r="BO115" s="169"/>
      <c r="BP115" s="169"/>
      <c r="BQ115" s="169"/>
      <c r="BR115" s="169"/>
      <c r="BS115" s="169"/>
      <c r="BT115" s="169"/>
    </row>
    <row r="116" spans="2:72" s="143" customFormat="1" ht="16.2" thickBot="1">
      <c r="B116" s="1014" t="s">
        <v>220</v>
      </c>
      <c r="D116" s="1005">
        <f>-D110-D113</f>
        <v>-9960</v>
      </c>
      <c r="E116" s="1005">
        <f t="shared" ref="E116:AM116" si="144">-E110-E113</f>
        <v>0</v>
      </c>
      <c r="F116" s="1005">
        <f t="shared" si="144"/>
        <v>9960</v>
      </c>
      <c r="G116" s="1005">
        <f t="shared" si="144"/>
        <v>0</v>
      </c>
      <c r="H116" s="1005">
        <f t="shared" si="144"/>
        <v>0</v>
      </c>
      <c r="I116" s="1005">
        <f t="shared" si="144"/>
        <v>0</v>
      </c>
      <c r="J116" s="1005">
        <f t="shared" si="144"/>
        <v>0</v>
      </c>
      <c r="K116" s="1005">
        <f t="shared" si="144"/>
        <v>0</v>
      </c>
      <c r="L116" s="1005">
        <f t="shared" si="144"/>
        <v>0</v>
      </c>
      <c r="M116" s="1005">
        <f t="shared" si="144"/>
        <v>0</v>
      </c>
      <c r="N116" s="1005">
        <f t="shared" si="144"/>
        <v>0</v>
      </c>
      <c r="O116" s="1053">
        <f t="shared" si="144"/>
        <v>0</v>
      </c>
      <c r="P116" s="1005">
        <f t="shared" si="144"/>
        <v>-8876</v>
      </c>
      <c r="Q116" s="1004">
        <f t="shared" si="144"/>
        <v>0</v>
      </c>
      <c r="R116" s="1004">
        <f t="shared" si="144"/>
        <v>8876</v>
      </c>
      <c r="S116" s="1004">
        <f t="shared" si="144"/>
        <v>0</v>
      </c>
      <c r="T116" s="1004">
        <f t="shared" si="144"/>
        <v>0</v>
      </c>
      <c r="U116" s="1004">
        <f t="shared" si="144"/>
        <v>0</v>
      </c>
      <c r="V116" s="1004">
        <f t="shared" si="144"/>
        <v>0</v>
      </c>
      <c r="W116" s="1004">
        <f t="shared" si="144"/>
        <v>0</v>
      </c>
      <c r="X116" s="1004">
        <f t="shared" si="144"/>
        <v>0</v>
      </c>
      <c r="Y116" s="1004">
        <f t="shared" si="144"/>
        <v>0</v>
      </c>
      <c r="Z116" s="1004">
        <f t="shared" si="144"/>
        <v>0</v>
      </c>
      <c r="AA116" s="1053">
        <f t="shared" si="144"/>
        <v>0</v>
      </c>
      <c r="AB116" s="1005">
        <f t="shared" si="144"/>
        <v>-96800</v>
      </c>
      <c r="AC116" s="1004">
        <f t="shared" si="144"/>
        <v>0</v>
      </c>
      <c r="AD116" s="1004">
        <f t="shared" si="144"/>
        <v>96800</v>
      </c>
      <c r="AE116" s="1004">
        <f t="shared" si="144"/>
        <v>0</v>
      </c>
      <c r="AF116" s="1004">
        <f t="shared" si="144"/>
        <v>0</v>
      </c>
      <c r="AG116" s="1004">
        <f t="shared" si="144"/>
        <v>0</v>
      </c>
      <c r="AH116" s="1004">
        <f t="shared" si="144"/>
        <v>0</v>
      </c>
      <c r="AI116" s="1004">
        <f t="shared" si="144"/>
        <v>0</v>
      </c>
      <c r="AJ116" s="1004">
        <f t="shared" si="144"/>
        <v>0</v>
      </c>
      <c r="AK116" s="1004">
        <f t="shared" si="144"/>
        <v>0</v>
      </c>
      <c r="AL116" s="1004">
        <f t="shared" si="144"/>
        <v>0</v>
      </c>
      <c r="AM116" s="1004">
        <f t="shared" si="144"/>
        <v>0</v>
      </c>
      <c r="AN116" s="169"/>
      <c r="AO116" s="169"/>
      <c r="AP116" s="169"/>
      <c r="AQ116" s="169"/>
      <c r="AR116" s="169"/>
      <c r="AS116" s="169"/>
      <c r="AT116" s="169"/>
      <c r="AU116" s="169"/>
      <c r="AV116" s="169"/>
      <c r="AW116" s="169"/>
      <c r="AX116" s="169"/>
      <c r="AY116" s="169"/>
      <c r="AZ116" s="169"/>
      <c r="BA116" s="169"/>
      <c r="BB116" s="169"/>
      <c r="BC116" s="169"/>
      <c r="BD116" s="169"/>
      <c r="BE116" s="169"/>
      <c r="BF116" s="169"/>
      <c r="BG116" s="169"/>
      <c r="BH116" s="169"/>
      <c r="BI116" s="169"/>
      <c r="BJ116" s="169"/>
      <c r="BK116" s="169"/>
      <c r="BL116" s="169"/>
      <c r="BM116" s="169"/>
      <c r="BN116" s="169"/>
      <c r="BO116" s="169"/>
      <c r="BP116" s="169"/>
      <c r="BQ116" s="169"/>
      <c r="BR116" s="169"/>
      <c r="BS116" s="169"/>
      <c r="BT116" s="169"/>
    </row>
    <row r="117" spans="2:72" s="143" customFormat="1" ht="16.8" thickTop="1" thickBot="1">
      <c r="B117" s="166"/>
      <c r="D117" s="160"/>
      <c r="E117" s="160"/>
      <c r="F117" s="160"/>
      <c r="G117" s="160"/>
      <c r="H117" s="160"/>
      <c r="I117" s="160"/>
      <c r="J117" s="160"/>
      <c r="K117" s="160"/>
      <c r="L117" s="160"/>
      <c r="M117" s="160"/>
      <c r="N117" s="160"/>
      <c r="O117" s="1042"/>
      <c r="P117" s="172"/>
      <c r="Q117" s="169"/>
      <c r="R117" s="169"/>
      <c r="S117" s="169"/>
      <c r="T117" s="169"/>
      <c r="U117" s="169"/>
      <c r="V117" s="169"/>
      <c r="W117" s="169"/>
      <c r="X117" s="169"/>
      <c r="Y117" s="169"/>
      <c r="Z117" s="169"/>
      <c r="AA117" s="1050"/>
      <c r="AB117" s="172"/>
      <c r="AN117" s="169"/>
      <c r="AO117" s="169"/>
      <c r="AP117" s="169"/>
      <c r="AQ117" s="169"/>
      <c r="AR117" s="169"/>
      <c r="AS117" s="169"/>
      <c r="AT117" s="169"/>
      <c r="AU117" s="169"/>
      <c r="AV117" s="169"/>
      <c r="AW117" s="169"/>
      <c r="AX117" s="169"/>
      <c r="AY117" s="169"/>
      <c r="AZ117" s="169"/>
      <c r="BA117" s="169"/>
      <c r="BB117" s="169"/>
      <c r="BC117" s="169"/>
      <c r="BD117" s="169"/>
      <c r="BE117" s="169"/>
      <c r="BF117" s="169"/>
      <c r="BG117" s="169"/>
      <c r="BH117" s="169"/>
      <c r="BI117" s="169"/>
      <c r="BJ117" s="169"/>
      <c r="BK117" s="169"/>
      <c r="BL117" s="169"/>
      <c r="BM117" s="169"/>
      <c r="BN117" s="169"/>
      <c r="BO117" s="169"/>
      <c r="BP117" s="169"/>
      <c r="BQ117" s="169"/>
      <c r="BR117" s="169"/>
      <c r="BS117" s="169"/>
      <c r="BT117" s="169"/>
    </row>
    <row r="118" spans="2:72" s="143" customFormat="1" ht="16.2" thickTop="1">
      <c r="B118" s="1016" t="s">
        <v>4</v>
      </c>
      <c r="D118" s="160"/>
      <c r="E118" s="160"/>
      <c r="F118" s="160"/>
      <c r="G118" s="160"/>
      <c r="H118" s="160"/>
      <c r="I118" s="160"/>
      <c r="J118" s="160"/>
      <c r="K118" s="160"/>
      <c r="L118" s="160"/>
      <c r="M118" s="160"/>
      <c r="N118" s="160"/>
      <c r="O118" s="1042"/>
      <c r="P118" s="160"/>
      <c r="AA118" s="1042"/>
      <c r="AB118" s="160"/>
      <c r="AN118" s="169"/>
      <c r="AO118" s="169"/>
      <c r="AP118" s="169"/>
      <c r="AQ118" s="169"/>
      <c r="AR118" s="169"/>
      <c r="AS118" s="169"/>
      <c r="AT118" s="169"/>
      <c r="AU118" s="169"/>
      <c r="AV118" s="169"/>
      <c r="AW118" s="169"/>
      <c r="AX118" s="169"/>
      <c r="AY118" s="169"/>
      <c r="AZ118" s="169"/>
      <c r="BA118" s="169"/>
      <c r="BB118" s="169"/>
      <c r="BC118" s="169"/>
      <c r="BD118" s="169"/>
      <c r="BE118" s="169"/>
      <c r="BF118" s="169"/>
      <c r="BG118" s="169"/>
      <c r="BH118" s="169"/>
      <c r="BI118" s="169"/>
      <c r="BJ118" s="169"/>
      <c r="BK118" s="169"/>
      <c r="BL118" s="169"/>
      <c r="BM118" s="169"/>
      <c r="BN118" s="169"/>
      <c r="BO118" s="169"/>
      <c r="BP118" s="169"/>
      <c r="BQ118" s="169"/>
      <c r="BR118" s="169"/>
      <c r="BS118" s="169"/>
      <c r="BT118" s="169"/>
    </row>
    <row r="119" spans="2:72" s="143" customFormat="1">
      <c r="B119" s="1012" t="s">
        <v>197</v>
      </c>
      <c r="D119" s="1005">
        <f>'Profit &amp; Loss Ecommerce'!D214+'Profit &amp; Loss Store'!D250</f>
        <v>0</v>
      </c>
      <c r="E119" s="1005">
        <f>'Profit &amp; Loss Ecommerce'!E214+'Profit &amp; Loss Store'!E250</f>
        <v>0</v>
      </c>
      <c r="F119" s="1005">
        <f>'Profit &amp; Loss Ecommerce'!F214+'Profit &amp; Loss Store'!F250</f>
        <v>0</v>
      </c>
      <c r="G119" s="1005">
        <f>'Profit &amp; Loss Ecommerce'!G214+'Profit &amp; Loss Store'!G250</f>
        <v>0</v>
      </c>
      <c r="H119" s="1005">
        <f>'Profit &amp; Loss Ecommerce'!H214+'Profit &amp; Loss Store'!H250</f>
        <v>0</v>
      </c>
      <c r="I119" s="1005">
        <f>'Profit &amp; Loss Ecommerce'!I214+'Profit &amp; Loss Store'!I250</f>
        <v>0</v>
      </c>
      <c r="J119" s="1005">
        <f>'Profit &amp; Loss Ecommerce'!J214+'Profit &amp; Loss Store'!J250</f>
        <v>0</v>
      </c>
      <c r="K119" s="1005">
        <f>'Profit &amp; Loss Ecommerce'!K214+'Profit &amp; Loss Store'!K250</f>
        <v>0</v>
      </c>
      <c r="L119" s="1005">
        <f>'Profit &amp; Loss Ecommerce'!L214+'Profit &amp; Loss Store'!L250</f>
        <v>0</v>
      </c>
      <c r="M119" s="1005">
        <f>'Profit &amp; Loss Ecommerce'!M214+'Profit &amp; Loss Store'!M250</f>
        <v>0</v>
      </c>
      <c r="N119" s="1005">
        <f>'Profit &amp; Loss Ecommerce'!N214+'Profit &amp; Loss Store'!N250</f>
        <v>0</v>
      </c>
      <c r="O119" s="1053">
        <f>'Profit &amp; Loss Ecommerce'!O214+'Profit &amp; Loss Store'!O250</f>
        <v>0</v>
      </c>
      <c r="P119" s="1004">
        <f>'Profit &amp; Loss Ecommerce'!P214+'Profit &amp; Loss Store'!P250</f>
        <v>0</v>
      </c>
      <c r="Q119" s="1004">
        <f>'Profit &amp; Loss Ecommerce'!Q214+'Profit &amp; Loss Store'!Q250</f>
        <v>0</v>
      </c>
      <c r="R119" s="1004">
        <f>'Profit &amp; Loss Ecommerce'!R214+'Profit &amp; Loss Store'!R250</f>
        <v>0</v>
      </c>
      <c r="S119" s="1004">
        <f>'Profit &amp; Loss Ecommerce'!S214+'Profit &amp; Loss Store'!S250</f>
        <v>11251.170666130871</v>
      </c>
      <c r="T119" s="1004">
        <f>'Profit &amp; Loss Ecommerce'!T214+'Profit &amp; Loss Store'!T250</f>
        <v>17876.700266475633</v>
      </c>
      <c r="U119" s="1004">
        <f>'Profit &amp; Loss Ecommerce'!U214+'Profit &amp; Loss Store'!U250</f>
        <v>20276.610240317208</v>
      </c>
      <c r="V119" s="1004">
        <f>'Profit &amp; Loss Ecommerce'!V214+'Profit &amp; Loss Store'!V250</f>
        <v>22726.614820299779</v>
      </c>
      <c r="W119" s="1004">
        <f>'Profit &amp; Loss Ecommerce'!W214+'Profit &amp; Loss Store'!W250</f>
        <v>22191.795723532287</v>
      </c>
      <c r="X119" s="1004">
        <f>'Profit &amp; Loss Ecommerce'!X214+'Profit &amp; Loss Store'!X250</f>
        <v>26651.511867715762</v>
      </c>
      <c r="Y119" s="1004">
        <f>'Profit &amp; Loss Ecommerce'!Y214+'Profit &amp; Loss Store'!Y250</f>
        <v>29855.572621145831</v>
      </c>
      <c r="Z119" s="1004">
        <f>'Profit &amp; Loss Ecommerce'!Z214+'Profit &amp; Loss Store'!Z250</f>
        <v>33397.446302715194</v>
      </c>
      <c r="AA119" s="1053">
        <f>'Profit &amp; Loss Ecommerce'!AA214+'Profit &amp; Loss Store'!AA250</f>
        <v>33181.396606916103</v>
      </c>
      <c r="AB119" s="1004">
        <f>'Profit &amp; Loss Ecommerce'!AB214+'Profit &amp; Loss Store'!AB250</f>
        <v>9662.8701971761693</v>
      </c>
      <c r="AC119" s="1004">
        <f>'Profit &amp; Loss Ecommerce'!AC214+'Profit &amp; Loss Store'!AC250</f>
        <v>35009.419367527611</v>
      </c>
      <c r="AD119" s="1004">
        <f>'Profit &amp; Loss Ecommerce'!AD214+'Profit &amp; Loss Store'!AD250</f>
        <v>44148.390102609665</v>
      </c>
      <c r="AE119" s="1004">
        <f>'Profit &amp; Loss Ecommerce'!AE214+'Profit &amp; Loss Store'!AE250</f>
        <v>45568.594464337912</v>
      </c>
      <c r="AF119" s="1004">
        <f>'Profit &amp; Loss Ecommerce'!AF214+'Profit &amp; Loss Store'!AF250</f>
        <v>52185.540785240017</v>
      </c>
      <c r="AG119" s="1004">
        <f>'Profit &amp; Loss Ecommerce'!AG214+'Profit &amp; Loss Store'!AG250</f>
        <v>63974.647283458384</v>
      </c>
      <c r="AH119" s="1004">
        <f>'Profit &amp; Loss Ecommerce'!AH214+'Profit &amp; Loss Store'!AH250</f>
        <v>73287.114462752666</v>
      </c>
      <c r="AI119" s="1004">
        <f>'Profit &amp; Loss Ecommerce'!AI214+'Profit &amp; Loss Store'!AI250</f>
        <v>75969.755135752333</v>
      </c>
      <c r="AJ119" s="1004">
        <f>'Profit &amp; Loss Ecommerce'!AJ214+'Profit &amp; Loss Store'!AJ250</f>
        <v>73801.996122709286</v>
      </c>
      <c r="AK119" s="1004">
        <f>'Profit &amp; Loss Ecommerce'!AK214+'Profit &amp; Loss Store'!AK250</f>
        <v>83144.953719000448</v>
      </c>
      <c r="AL119" s="1004">
        <f>'Profit &amp; Loss Ecommerce'!AL214+'Profit &amp; Loss Store'!AL250</f>
        <v>98606.552155363664</v>
      </c>
      <c r="AM119" s="1004">
        <f>'Profit &amp; Loss Ecommerce'!AM214+'Profit &amp; Loss Store'!AM250</f>
        <v>110429.23045140032</v>
      </c>
      <c r="AN119" s="169"/>
      <c r="AO119" s="169"/>
      <c r="AP119" s="169"/>
      <c r="AQ119" s="169"/>
      <c r="AR119" s="169"/>
      <c r="AS119" s="169"/>
      <c r="AT119" s="169"/>
      <c r="AU119" s="169"/>
      <c r="AV119" s="169"/>
      <c r="AW119" s="169"/>
      <c r="AX119" s="169"/>
      <c r="AY119" s="169"/>
      <c r="AZ119" s="169"/>
      <c r="BA119" s="169"/>
      <c r="BB119" s="169"/>
      <c r="BC119" s="169"/>
      <c r="BD119" s="169"/>
      <c r="BE119" s="169"/>
      <c r="BF119" s="169"/>
      <c r="BG119" s="169"/>
      <c r="BH119" s="169"/>
      <c r="BI119" s="169"/>
      <c r="BJ119" s="169"/>
      <c r="BK119" s="169"/>
      <c r="BL119" s="169"/>
      <c r="BM119" s="169"/>
      <c r="BN119" s="169"/>
      <c r="BO119" s="169"/>
      <c r="BP119" s="169"/>
      <c r="BQ119" s="169"/>
      <c r="BR119" s="169"/>
      <c r="BS119" s="169"/>
      <c r="BT119" s="169"/>
    </row>
    <row r="120" spans="2:72" s="143" customFormat="1">
      <c r="B120" s="1012" t="s">
        <v>176</v>
      </c>
      <c r="C120" s="19"/>
      <c r="D120" s="1002"/>
      <c r="E120" s="1002"/>
      <c r="F120" s="1002"/>
      <c r="G120" s="1002"/>
      <c r="H120" s="1002"/>
      <c r="I120" s="1002"/>
      <c r="J120" s="1002"/>
      <c r="K120" s="1002"/>
      <c r="L120" s="1002"/>
      <c r="M120" s="1002"/>
      <c r="N120" s="1002"/>
      <c r="O120" s="1047"/>
      <c r="P120" s="1002">
        <f t="shared" ref="P120:AM120" ca="1" si="145">SUM(OFFSET(P119,0,-(11+IF(MOD(P8,12)=0,12,MOD(P8,12))),1,12))</f>
        <v>0</v>
      </c>
      <c r="Q120" s="999">
        <f t="shared" ca="1" si="145"/>
        <v>0</v>
      </c>
      <c r="R120" s="999">
        <f t="shared" ca="1" si="145"/>
        <v>0</v>
      </c>
      <c r="S120" s="999">
        <f t="shared" ca="1" si="145"/>
        <v>0</v>
      </c>
      <c r="T120" s="999">
        <f t="shared" ca="1" si="145"/>
        <v>0</v>
      </c>
      <c r="U120" s="999">
        <f t="shared" ca="1" si="145"/>
        <v>0</v>
      </c>
      <c r="V120" s="999">
        <f t="shared" ca="1" si="145"/>
        <v>0</v>
      </c>
      <c r="W120" s="999">
        <f t="shared" ca="1" si="145"/>
        <v>0</v>
      </c>
      <c r="X120" s="999">
        <f t="shared" ca="1" si="145"/>
        <v>0</v>
      </c>
      <c r="Y120" s="999">
        <f t="shared" ca="1" si="145"/>
        <v>0</v>
      </c>
      <c r="Z120" s="999">
        <f t="shared" ca="1" si="145"/>
        <v>0</v>
      </c>
      <c r="AA120" s="1047">
        <f t="shared" ca="1" si="145"/>
        <v>0</v>
      </c>
      <c r="AB120" s="1002">
        <f t="shared" ca="1" si="145"/>
        <v>217408.81911524865</v>
      </c>
      <c r="AC120" s="999">
        <f t="shared" ca="1" si="145"/>
        <v>217408.81911524865</v>
      </c>
      <c r="AD120" s="999">
        <f t="shared" ca="1" si="145"/>
        <v>217408.81911524865</v>
      </c>
      <c r="AE120" s="999">
        <f t="shared" ca="1" si="145"/>
        <v>217408.81911524865</v>
      </c>
      <c r="AF120" s="999">
        <f t="shared" ca="1" si="145"/>
        <v>217408.81911524865</v>
      </c>
      <c r="AG120" s="999">
        <f t="shared" ca="1" si="145"/>
        <v>217408.81911524865</v>
      </c>
      <c r="AH120" s="999">
        <f t="shared" ca="1" si="145"/>
        <v>217408.81911524865</v>
      </c>
      <c r="AI120" s="999">
        <f t="shared" ca="1" si="145"/>
        <v>217408.81911524865</v>
      </c>
      <c r="AJ120" s="999">
        <f t="shared" ca="1" si="145"/>
        <v>217408.81911524865</v>
      </c>
      <c r="AK120" s="999">
        <f t="shared" ca="1" si="145"/>
        <v>217408.81911524865</v>
      </c>
      <c r="AL120" s="999">
        <f t="shared" ca="1" si="145"/>
        <v>217408.81911524865</v>
      </c>
      <c r="AM120" s="999">
        <f t="shared" ca="1" si="145"/>
        <v>217408.81911524865</v>
      </c>
      <c r="AN120" s="169"/>
      <c r="AO120" s="169"/>
      <c r="AP120" s="169"/>
      <c r="AQ120" s="169"/>
      <c r="AR120" s="169"/>
      <c r="AS120" s="169"/>
      <c r="AT120" s="169"/>
      <c r="AU120" s="169"/>
      <c r="AV120" s="169"/>
      <c r="AW120" s="169"/>
      <c r="AX120" s="169"/>
      <c r="AY120" s="169"/>
      <c r="AZ120" s="169"/>
      <c r="BA120" s="169"/>
      <c r="BB120" s="169"/>
      <c r="BC120" s="169"/>
      <c r="BD120" s="169"/>
      <c r="BE120" s="169"/>
      <c r="BF120" s="169"/>
      <c r="BG120" s="169"/>
      <c r="BH120" s="169"/>
      <c r="BI120" s="169"/>
      <c r="BJ120" s="169"/>
      <c r="BK120" s="169"/>
      <c r="BL120" s="169"/>
      <c r="BM120" s="169"/>
      <c r="BN120" s="169"/>
      <c r="BO120" s="169"/>
      <c r="BP120" s="169"/>
      <c r="BQ120" s="169"/>
      <c r="BR120" s="169"/>
      <c r="BS120" s="169"/>
      <c r="BT120" s="169"/>
    </row>
    <row r="121" spans="2:72" s="143" customFormat="1">
      <c r="B121" s="1012" t="s">
        <v>123</v>
      </c>
      <c r="C121" s="19"/>
      <c r="D121" s="1002"/>
      <c r="E121" s="1002"/>
      <c r="F121" s="1002"/>
      <c r="G121" s="1002"/>
      <c r="H121" s="1002"/>
      <c r="I121" s="1002"/>
      <c r="J121" s="1002"/>
      <c r="K121" s="1002"/>
      <c r="L121" s="1002"/>
      <c r="M121" s="1002"/>
      <c r="N121" s="1002"/>
      <c r="O121" s="1047"/>
      <c r="P121" s="1002">
        <f t="shared" ref="P121:AM121" si="146">IF(IF(MOD(P8,12)=0,12,MOD(P8,12))=9,P120,0)</f>
        <v>0</v>
      </c>
      <c r="Q121" s="999">
        <f t="shared" si="146"/>
        <v>0</v>
      </c>
      <c r="R121" s="999">
        <f t="shared" si="146"/>
        <v>0</v>
      </c>
      <c r="S121" s="999">
        <f t="shared" si="146"/>
        <v>0</v>
      </c>
      <c r="T121" s="999">
        <f t="shared" si="146"/>
        <v>0</v>
      </c>
      <c r="U121" s="999">
        <f t="shared" si="146"/>
        <v>0</v>
      </c>
      <c r="V121" s="999">
        <f t="shared" si="146"/>
        <v>0</v>
      </c>
      <c r="W121" s="999">
        <f t="shared" si="146"/>
        <v>0</v>
      </c>
      <c r="X121" s="999">
        <f t="shared" ca="1" si="146"/>
        <v>0</v>
      </c>
      <c r="Y121" s="999">
        <f t="shared" si="146"/>
        <v>0</v>
      </c>
      <c r="Z121" s="999">
        <f t="shared" si="146"/>
        <v>0</v>
      </c>
      <c r="AA121" s="1047">
        <f t="shared" si="146"/>
        <v>0</v>
      </c>
      <c r="AB121" s="1002">
        <f t="shared" si="146"/>
        <v>0</v>
      </c>
      <c r="AC121" s="999">
        <f t="shared" si="146"/>
        <v>0</v>
      </c>
      <c r="AD121" s="999">
        <f t="shared" si="146"/>
        <v>0</v>
      </c>
      <c r="AE121" s="999">
        <f t="shared" si="146"/>
        <v>0</v>
      </c>
      <c r="AF121" s="999">
        <f t="shared" si="146"/>
        <v>0</v>
      </c>
      <c r="AG121" s="999">
        <f t="shared" si="146"/>
        <v>0</v>
      </c>
      <c r="AH121" s="999">
        <f t="shared" si="146"/>
        <v>0</v>
      </c>
      <c r="AI121" s="999">
        <f t="shared" si="146"/>
        <v>0</v>
      </c>
      <c r="AJ121" s="999">
        <f t="shared" ca="1" si="146"/>
        <v>217408.81911524865</v>
      </c>
      <c r="AK121" s="999">
        <f t="shared" si="146"/>
        <v>0</v>
      </c>
      <c r="AL121" s="999">
        <f t="shared" si="146"/>
        <v>0</v>
      </c>
      <c r="AM121" s="999">
        <f t="shared" si="146"/>
        <v>0</v>
      </c>
      <c r="AN121" s="169"/>
      <c r="AO121" s="169"/>
      <c r="AP121" s="169"/>
      <c r="AQ121" s="169"/>
      <c r="AR121" s="169"/>
      <c r="AS121" s="169"/>
      <c r="AT121" s="169"/>
      <c r="AU121" s="169"/>
      <c r="AV121" s="169"/>
      <c r="AW121" s="169"/>
      <c r="AX121" s="169"/>
      <c r="AY121" s="169"/>
      <c r="AZ121" s="169"/>
      <c r="BA121" s="169"/>
      <c r="BB121" s="169"/>
      <c r="BC121" s="169"/>
      <c r="BD121" s="169"/>
      <c r="BE121" s="169"/>
      <c r="BF121" s="169"/>
      <c r="BG121" s="169"/>
      <c r="BH121" s="169"/>
      <c r="BI121" s="169"/>
      <c r="BJ121" s="169"/>
      <c r="BK121" s="169"/>
      <c r="BL121" s="169"/>
      <c r="BM121" s="169"/>
      <c r="BN121" s="169"/>
      <c r="BO121" s="169"/>
      <c r="BP121" s="169"/>
      <c r="BQ121" s="169"/>
      <c r="BR121" s="169"/>
      <c r="BS121" s="169"/>
      <c r="BT121" s="169"/>
    </row>
    <row r="122" spans="2:72" s="143" customFormat="1" ht="16.2" thickBot="1">
      <c r="B122" s="1014" t="s">
        <v>257</v>
      </c>
      <c r="C122" s="19"/>
      <c r="D122" s="1002">
        <f>D119-D121</f>
        <v>0</v>
      </c>
      <c r="E122" s="1002">
        <f t="shared" ref="E122:AM122" si="147">E119-E121</f>
        <v>0</v>
      </c>
      <c r="F122" s="1002">
        <f t="shared" si="147"/>
        <v>0</v>
      </c>
      <c r="G122" s="1002">
        <f t="shared" si="147"/>
        <v>0</v>
      </c>
      <c r="H122" s="1002">
        <f t="shared" si="147"/>
        <v>0</v>
      </c>
      <c r="I122" s="1002">
        <f t="shared" si="147"/>
        <v>0</v>
      </c>
      <c r="J122" s="1002">
        <f t="shared" si="147"/>
        <v>0</v>
      </c>
      <c r="K122" s="1002">
        <f t="shared" si="147"/>
        <v>0</v>
      </c>
      <c r="L122" s="1002">
        <f t="shared" si="147"/>
        <v>0</v>
      </c>
      <c r="M122" s="1002">
        <f t="shared" si="147"/>
        <v>0</v>
      </c>
      <c r="N122" s="1002">
        <f t="shared" si="147"/>
        <v>0</v>
      </c>
      <c r="O122" s="1047">
        <f t="shared" si="147"/>
        <v>0</v>
      </c>
      <c r="P122" s="1002">
        <f t="shared" si="147"/>
        <v>0</v>
      </c>
      <c r="Q122" s="999">
        <f t="shared" si="147"/>
        <v>0</v>
      </c>
      <c r="R122" s="999">
        <f t="shared" si="147"/>
        <v>0</v>
      </c>
      <c r="S122" s="999">
        <f t="shared" si="147"/>
        <v>11251.170666130871</v>
      </c>
      <c r="T122" s="999">
        <f t="shared" si="147"/>
        <v>17876.700266475633</v>
      </c>
      <c r="U122" s="999">
        <f t="shared" si="147"/>
        <v>20276.610240317208</v>
      </c>
      <c r="V122" s="999">
        <f t="shared" si="147"/>
        <v>22726.614820299779</v>
      </c>
      <c r="W122" s="999">
        <f t="shared" si="147"/>
        <v>22191.795723532287</v>
      </c>
      <c r="X122" s="999">
        <f t="shared" ca="1" si="147"/>
        <v>26651.511867715762</v>
      </c>
      <c r="Y122" s="999">
        <f t="shared" si="147"/>
        <v>29855.572621145831</v>
      </c>
      <c r="Z122" s="999">
        <f t="shared" si="147"/>
        <v>33397.446302715194</v>
      </c>
      <c r="AA122" s="1047">
        <f t="shared" si="147"/>
        <v>33181.396606916103</v>
      </c>
      <c r="AB122" s="1002">
        <f t="shared" si="147"/>
        <v>9662.8701971761693</v>
      </c>
      <c r="AC122" s="999">
        <f t="shared" si="147"/>
        <v>35009.419367527611</v>
      </c>
      <c r="AD122" s="999">
        <f t="shared" si="147"/>
        <v>44148.390102609665</v>
      </c>
      <c r="AE122" s="999">
        <f t="shared" si="147"/>
        <v>45568.594464337912</v>
      </c>
      <c r="AF122" s="999">
        <f t="shared" si="147"/>
        <v>52185.540785240017</v>
      </c>
      <c r="AG122" s="999">
        <f t="shared" si="147"/>
        <v>63974.647283458384</v>
      </c>
      <c r="AH122" s="999">
        <f t="shared" si="147"/>
        <v>73287.114462752666</v>
      </c>
      <c r="AI122" s="999">
        <f t="shared" si="147"/>
        <v>75969.755135752333</v>
      </c>
      <c r="AJ122" s="999">
        <f t="shared" ca="1" si="147"/>
        <v>-143606.82299253938</v>
      </c>
      <c r="AK122" s="999">
        <f t="shared" si="147"/>
        <v>83144.953719000448</v>
      </c>
      <c r="AL122" s="999">
        <f t="shared" si="147"/>
        <v>98606.552155363664</v>
      </c>
      <c r="AM122" s="999">
        <f t="shared" si="147"/>
        <v>110429.23045140032</v>
      </c>
      <c r="AN122" s="169"/>
      <c r="AO122" s="169"/>
      <c r="AP122" s="169"/>
      <c r="AQ122" s="169"/>
      <c r="AR122" s="169"/>
      <c r="AS122" s="169"/>
      <c r="AT122" s="169"/>
      <c r="AU122" s="169"/>
      <c r="AV122" s="169"/>
      <c r="AW122" s="169"/>
      <c r="AX122" s="169"/>
      <c r="AY122" s="169"/>
      <c r="AZ122" s="169"/>
      <c r="BA122" s="169"/>
      <c r="BB122" s="169"/>
      <c r="BC122" s="169"/>
      <c r="BD122" s="169"/>
      <c r="BE122" s="169"/>
      <c r="BF122" s="169"/>
      <c r="BG122" s="169"/>
      <c r="BH122" s="169"/>
      <c r="BI122" s="169"/>
      <c r="BJ122" s="169"/>
      <c r="BK122" s="169"/>
      <c r="BL122" s="169"/>
      <c r="BM122" s="169"/>
      <c r="BN122" s="169"/>
      <c r="BO122" s="169"/>
      <c r="BP122" s="169"/>
      <c r="BQ122" s="169"/>
      <c r="BR122" s="169"/>
      <c r="BS122" s="169"/>
      <c r="BT122" s="169"/>
    </row>
    <row r="123" spans="2:72" s="143" customFormat="1" ht="16.8" thickTop="1" thickBot="1">
      <c r="B123" s="166"/>
      <c r="D123" s="160"/>
      <c r="E123" s="160"/>
      <c r="F123" s="160"/>
      <c r="G123" s="160"/>
      <c r="H123" s="160"/>
      <c r="I123" s="160"/>
      <c r="J123" s="160"/>
      <c r="K123" s="160"/>
      <c r="L123" s="160"/>
      <c r="M123" s="160"/>
      <c r="N123" s="160"/>
      <c r="O123" s="1042"/>
      <c r="P123" s="172"/>
      <c r="Q123" s="169"/>
      <c r="R123" s="169"/>
      <c r="S123" s="169"/>
      <c r="T123" s="169"/>
      <c r="U123" s="169"/>
      <c r="V123" s="169"/>
      <c r="W123" s="169"/>
      <c r="X123" s="169"/>
      <c r="Y123" s="169"/>
      <c r="Z123" s="169"/>
      <c r="AA123" s="1050"/>
      <c r="AB123" s="172"/>
      <c r="AN123" s="169"/>
      <c r="AO123" s="169"/>
      <c r="AP123" s="169"/>
      <c r="AQ123" s="169"/>
      <c r="AR123" s="169"/>
      <c r="AS123" s="169"/>
      <c r="AT123" s="169"/>
      <c r="AU123" s="169"/>
      <c r="AV123" s="169"/>
      <c r="AW123" s="169"/>
      <c r="AX123" s="169"/>
      <c r="AY123" s="169"/>
      <c r="AZ123" s="169"/>
      <c r="BA123" s="169"/>
      <c r="BB123" s="169"/>
      <c r="BC123" s="169"/>
      <c r="BD123" s="169"/>
      <c r="BE123" s="169"/>
      <c r="BF123" s="169"/>
      <c r="BG123" s="169"/>
      <c r="BH123" s="169"/>
      <c r="BI123" s="169"/>
      <c r="BJ123" s="169"/>
      <c r="BK123" s="169"/>
      <c r="BL123" s="169"/>
      <c r="BM123" s="169"/>
      <c r="BN123" s="169"/>
      <c r="BO123" s="169"/>
      <c r="BP123" s="169"/>
      <c r="BQ123" s="169"/>
      <c r="BR123" s="169"/>
      <c r="BS123" s="169"/>
      <c r="BT123" s="169"/>
    </row>
    <row r="124" spans="2:72" s="143" customFormat="1" ht="16.2" thickTop="1">
      <c r="B124" s="1011" t="s">
        <v>128</v>
      </c>
      <c r="D124" s="160"/>
      <c r="E124" s="160"/>
      <c r="F124" s="160"/>
      <c r="G124" s="160"/>
      <c r="H124" s="160"/>
      <c r="I124" s="160"/>
      <c r="J124" s="160"/>
      <c r="K124" s="160"/>
      <c r="L124" s="160"/>
      <c r="M124" s="160"/>
      <c r="N124" s="160"/>
      <c r="O124" s="1042"/>
      <c r="P124" s="172"/>
      <c r="Q124" s="169"/>
      <c r="R124" s="169"/>
      <c r="S124" s="169"/>
      <c r="T124" s="169"/>
      <c r="U124" s="169"/>
      <c r="V124" s="169"/>
      <c r="W124" s="169"/>
      <c r="X124" s="169"/>
      <c r="Y124" s="169"/>
      <c r="Z124" s="169"/>
      <c r="AA124" s="1050"/>
      <c r="AB124" s="172"/>
      <c r="AN124" s="169"/>
      <c r="AO124" s="169"/>
      <c r="AP124" s="169"/>
      <c r="AQ124" s="169"/>
      <c r="AR124" s="169"/>
      <c r="AS124" s="169"/>
      <c r="AT124" s="169"/>
      <c r="AU124" s="169"/>
      <c r="AV124" s="169"/>
      <c r="AW124" s="169"/>
      <c r="AX124" s="169"/>
      <c r="AY124" s="169"/>
      <c r="AZ124" s="169"/>
      <c r="BA124" s="169"/>
      <c r="BB124" s="169"/>
      <c r="BC124" s="169"/>
      <c r="BD124" s="169"/>
      <c r="BE124" s="169"/>
      <c r="BF124" s="169"/>
      <c r="BG124" s="169"/>
      <c r="BH124" s="169"/>
      <c r="BI124" s="169"/>
      <c r="BJ124" s="169"/>
      <c r="BK124" s="169"/>
      <c r="BL124" s="169"/>
      <c r="BM124" s="169"/>
      <c r="BN124" s="169"/>
      <c r="BO124" s="169"/>
      <c r="BP124" s="169"/>
      <c r="BQ124" s="169"/>
      <c r="BR124" s="169"/>
      <c r="BS124" s="169"/>
      <c r="BT124" s="169"/>
    </row>
    <row r="125" spans="2:72" s="175" customFormat="1">
      <c r="B125" s="1012" t="s">
        <v>421</v>
      </c>
      <c r="D125" s="1008">
        <v>0</v>
      </c>
      <c r="E125" s="1008"/>
      <c r="F125" s="1008"/>
      <c r="G125" s="1008"/>
      <c r="H125" s="1008"/>
      <c r="I125" s="1008"/>
      <c r="J125" s="1008"/>
      <c r="K125" s="1008"/>
      <c r="L125" s="1008"/>
      <c r="M125" s="1008"/>
      <c r="N125" s="1008"/>
      <c r="O125" s="1055"/>
      <c r="P125" s="1008"/>
      <c r="Q125" s="1007"/>
      <c r="R125" s="1007"/>
      <c r="S125" s="1007"/>
      <c r="T125" s="1007"/>
      <c r="U125" s="1007"/>
      <c r="V125" s="1007"/>
      <c r="W125" s="1007"/>
      <c r="X125" s="1007"/>
      <c r="Y125" s="1007"/>
      <c r="Z125" s="1007"/>
      <c r="AA125" s="1055"/>
      <c r="AB125" s="1009"/>
      <c r="AC125" s="1007"/>
      <c r="AD125" s="1007"/>
      <c r="AE125" s="1007"/>
      <c r="AF125" s="1007"/>
      <c r="AG125" s="1007"/>
      <c r="AH125" s="1007"/>
      <c r="AI125" s="1007"/>
      <c r="AJ125" s="1007"/>
      <c r="AK125" s="1007"/>
      <c r="AL125" s="1007"/>
      <c r="AM125" s="1007"/>
      <c r="AN125" s="170"/>
      <c r="AO125" s="170"/>
      <c r="AP125" s="170"/>
      <c r="AQ125" s="170"/>
      <c r="AR125" s="170"/>
      <c r="AS125" s="170"/>
      <c r="AT125" s="170"/>
      <c r="AU125" s="170"/>
      <c r="AV125" s="170"/>
      <c r="AW125" s="170"/>
      <c r="AX125" s="170"/>
      <c r="AY125" s="170"/>
      <c r="AZ125" s="170"/>
      <c r="BA125" s="170"/>
      <c r="BB125" s="170"/>
      <c r="BC125" s="170"/>
      <c r="BD125" s="170"/>
      <c r="BE125" s="170"/>
      <c r="BF125" s="170"/>
      <c r="BG125" s="170"/>
      <c r="BH125" s="170"/>
      <c r="BI125" s="170"/>
      <c r="BJ125" s="170"/>
      <c r="BK125" s="170"/>
      <c r="BL125" s="170"/>
      <c r="BM125" s="170"/>
      <c r="BN125" s="170"/>
      <c r="BO125" s="170"/>
      <c r="BP125" s="170"/>
      <c r="BQ125" s="170"/>
      <c r="BR125" s="170"/>
      <c r="BS125" s="170"/>
      <c r="BT125" s="170"/>
    </row>
    <row r="126" spans="2:72" s="143" customFormat="1">
      <c r="B126" s="1012" t="str" cm="1">
        <f t="array" ref="B126:B135">'Profit &amp; Loss Ecommerce'!B50:B59</f>
        <v xml:space="preserve">Computers </v>
      </c>
      <c r="C126" s="19"/>
      <c r="D126" s="995">
        <f>'Profit &amp; Loss Ecommerce'!G50+'Profit &amp; Loss Store'!G54</f>
        <v>9600</v>
      </c>
      <c r="E126" s="995"/>
      <c r="F126" s="995"/>
      <c r="G126" s="995"/>
      <c r="H126" s="995"/>
      <c r="I126" s="995"/>
      <c r="J126" s="995"/>
      <c r="K126" s="995"/>
      <c r="L126" s="995"/>
      <c r="M126" s="995"/>
      <c r="N126" s="995"/>
      <c r="O126" s="1043"/>
      <c r="P126" s="995">
        <f>'Profit &amp; Loss Ecommerce'!H50+'Profit &amp; Loss Store'!H54</f>
        <v>10400</v>
      </c>
      <c r="Q126" s="995"/>
      <c r="R126" s="995"/>
      <c r="S126" s="995"/>
      <c r="T126" s="995"/>
      <c r="U126" s="995"/>
      <c r="V126" s="995"/>
      <c r="W126" s="995"/>
      <c r="X126" s="995"/>
      <c r="Y126" s="995"/>
      <c r="Z126" s="995"/>
      <c r="AA126" s="1043"/>
      <c r="AB126" s="1010">
        <f>'Profit &amp; Loss Ecommerce'!I50+'Profit &amp; Loss Store'!I54</f>
        <v>21600</v>
      </c>
      <c r="AC126" s="995"/>
      <c r="AD126" s="995"/>
      <c r="AE126" s="995"/>
      <c r="AF126" s="995"/>
      <c r="AG126" s="995"/>
      <c r="AH126" s="995"/>
      <c r="AI126" s="995"/>
      <c r="AJ126" s="995"/>
      <c r="AK126" s="995"/>
      <c r="AL126" s="995"/>
      <c r="AM126" s="995"/>
      <c r="AN126" s="169"/>
      <c r="AO126" s="169"/>
      <c r="AP126" s="169"/>
      <c r="AQ126" s="169"/>
      <c r="AR126" s="169"/>
      <c r="AS126" s="169"/>
      <c r="AT126" s="169"/>
      <c r="AU126" s="169"/>
      <c r="AV126" s="169"/>
      <c r="AW126" s="169"/>
      <c r="AX126" s="169"/>
      <c r="AY126" s="169"/>
      <c r="AZ126" s="169"/>
      <c r="BA126" s="169"/>
      <c r="BB126" s="169"/>
      <c r="BC126" s="169"/>
      <c r="BD126" s="169"/>
      <c r="BE126" s="169"/>
      <c r="BF126" s="169"/>
      <c r="BG126" s="169"/>
      <c r="BH126" s="169"/>
      <c r="BI126" s="169"/>
      <c r="BJ126" s="169"/>
      <c r="BK126" s="169"/>
      <c r="BL126" s="169"/>
      <c r="BM126" s="169"/>
      <c r="BN126" s="169"/>
      <c r="BO126" s="169"/>
      <c r="BP126" s="169"/>
      <c r="BQ126" s="169"/>
      <c r="BR126" s="169"/>
      <c r="BS126" s="169"/>
      <c r="BT126" s="169"/>
    </row>
    <row r="127" spans="2:72" s="143" customFormat="1">
      <c r="B127" s="1012" t="str">
        <v>Camera</v>
      </c>
      <c r="C127" s="19"/>
      <c r="D127" s="995">
        <f>'Profit &amp; Loss Ecommerce'!G51+'Profit &amp; Loss Store'!G55</f>
        <v>1200</v>
      </c>
      <c r="E127" s="995"/>
      <c r="F127" s="995"/>
      <c r="G127" s="995"/>
      <c r="H127" s="995"/>
      <c r="I127" s="995"/>
      <c r="J127" s="995"/>
      <c r="K127" s="995"/>
      <c r="L127" s="995"/>
      <c r="M127" s="995"/>
      <c r="N127" s="995"/>
      <c r="O127" s="1043"/>
      <c r="P127" s="995">
        <f>'Profit &amp; Loss Ecommerce'!H51+'Profit &amp; Loss Store'!H55</f>
        <v>0</v>
      </c>
      <c r="Q127" s="995"/>
      <c r="R127" s="995"/>
      <c r="S127" s="995"/>
      <c r="T127" s="995"/>
      <c r="U127" s="995"/>
      <c r="V127" s="995"/>
      <c r="W127" s="995"/>
      <c r="X127" s="995"/>
      <c r="Y127" s="995"/>
      <c r="Z127" s="995"/>
      <c r="AA127" s="1043"/>
      <c r="AB127" s="1010">
        <f>'Profit &amp; Loss Ecommerce'!I51+'Profit &amp; Loss Store'!I55</f>
        <v>1200</v>
      </c>
      <c r="AC127" s="995"/>
      <c r="AD127" s="995"/>
      <c r="AE127" s="995"/>
      <c r="AF127" s="995"/>
      <c r="AG127" s="995"/>
      <c r="AH127" s="995"/>
      <c r="AI127" s="995"/>
      <c r="AJ127" s="995"/>
      <c r="AK127" s="995"/>
      <c r="AL127" s="995"/>
      <c r="AM127" s="995"/>
      <c r="AN127" s="169"/>
      <c r="AO127" s="169"/>
      <c r="AP127" s="169"/>
      <c r="AQ127" s="169"/>
      <c r="AR127" s="169"/>
      <c r="AS127" s="169"/>
      <c r="AT127" s="169"/>
      <c r="AU127" s="169"/>
      <c r="AV127" s="169"/>
      <c r="AW127" s="169"/>
      <c r="AX127" s="169"/>
      <c r="AY127" s="169"/>
      <c r="AZ127" s="169"/>
      <c r="BA127" s="169"/>
      <c r="BB127" s="169"/>
      <c r="BC127" s="169"/>
      <c r="BD127" s="169"/>
      <c r="BE127" s="169"/>
      <c r="BF127" s="169"/>
      <c r="BG127" s="169"/>
      <c r="BH127" s="169"/>
      <c r="BI127" s="169"/>
      <c r="BJ127" s="169"/>
      <c r="BK127" s="169"/>
      <c r="BL127" s="169"/>
      <c r="BM127" s="169"/>
      <c r="BN127" s="169"/>
      <c r="BO127" s="169"/>
      <c r="BP127" s="169"/>
      <c r="BQ127" s="169"/>
      <c r="BR127" s="169"/>
      <c r="BS127" s="169"/>
      <c r="BT127" s="169"/>
    </row>
    <row r="128" spans="2:72" s="143" customFormat="1">
      <c r="B128" s="1012" t="str">
        <v>Printer</v>
      </c>
      <c r="C128" s="19"/>
      <c r="D128" s="995">
        <f>'Profit &amp; Loss Ecommerce'!G52+'Profit &amp; Loss Store'!G56</f>
        <v>240</v>
      </c>
      <c r="E128" s="995"/>
      <c r="F128" s="995"/>
      <c r="G128" s="995"/>
      <c r="H128" s="995"/>
      <c r="I128" s="995"/>
      <c r="J128" s="995"/>
      <c r="K128" s="995"/>
      <c r="L128" s="995"/>
      <c r="M128" s="995"/>
      <c r="N128" s="995"/>
      <c r="O128" s="1043"/>
      <c r="P128" s="995">
        <f>'Profit &amp; Loss Ecommerce'!H52+'Profit &amp; Loss Store'!H56</f>
        <v>0</v>
      </c>
      <c r="Q128" s="995"/>
      <c r="R128" s="995"/>
      <c r="S128" s="995"/>
      <c r="T128" s="995"/>
      <c r="U128" s="995"/>
      <c r="V128" s="995"/>
      <c r="W128" s="995"/>
      <c r="X128" s="995"/>
      <c r="Y128" s="995"/>
      <c r="Z128" s="995"/>
      <c r="AA128" s="1043"/>
      <c r="AB128" s="1010">
        <f>'Profit &amp; Loss Ecommerce'!I52+'Profit &amp; Loss Store'!I56</f>
        <v>480</v>
      </c>
      <c r="AC128" s="995"/>
      <c r="AD128" s="995"/>
      <c r="AE128" s="995"/>
      <c r="AF128" s="995"/>
      <c r="AG128" s="995"/>
      <c r="AH128" s="995"/>
      <c r="AI128" s="995"/>
      <c r="AJ128" s="995"/>
      <c r="AK128" s="995"/>
      <c r="AL128" s="995"/>
      <c r="AM128" s="995"/>
      <c r="AN128" s="169"/>
      <c r="AO128" s="169"/>
      <c r="AP128" s="169"/>
      <c r="AQ128" s="169"/>
      <c r="AR128" s="169"/>
      <c r="AS128" s="169"/>
      <c r="AT128" s="169"/>
      <c r="AU128" s="169"/>
      <c r="AV128" s="169"/>
      <c r="AW128" s="169"/>
      <c r="AX128" s="169"/>
      <c r="AY128" s="169"/>
      <c r="AZ128" s="169"/>
      <c r="BA128" s="169"/>
      <c r="BB128" s="169"/>
      <c r="BC128" s="169"/>
      <c r="BD128" s="169"/>
      <c r="BE128" s="169"/>
      <c r="BF128" s="169"/>
      <c r="BG128" s="169"/>
      <c r="BH128" s="169"/>
      <c r="BI128" s="169"/>
      <c r="BJ128" s="169"/>
      <c r="BK128" s="169"/>
      <c r="BL128" s="169"/>
      <c r="BM128" s="169"/>
      <c r="BN128" s="169"/>
      <c r="BO128" s="169"/>
      <c r="BP128" s="169"/>
      <c r="BQ128" s="169"/>
      <c r="BR128" s="169"/>
      <c r="BS128" s="169"/>
      <c r="BT128" s="169"/>
    </row>
    <row r="129" spans="2:72" s="143" customFormat="1">
      <c r="B129" s="1012" t="str">
        <v>Inventory Scanner</v>
      </c>
      <c r="C129" s="19"/>
      <c r="D129" s="995">
        <f>'Profit &amp; Loss Ecommerce'!G53+'Profit &amp; Loss Store'!G57</f>
        <v>600</v>
      </c>
      <c r="E129" s="995"/>
      <c r="F129" s="995"/>
      <c r="G129" s="995"/>
      <c r="H129" s="995"/>
      <c r="I129" s="995"/>
      <c r="J129" s="995"/>
      <c r="K129" s="995"/>
      <c r="L129" s="995"/>
      <c r="M129" s="995"/>
      <c r="N129" s="995"/>
      <c r="O129" s="1043"/>
      <c r="P129" s="995">
        <f>'Profit &amp; Loss Ecommerce'!H53+'Profit &amp; Loss Store'!H57</f>
        <v>1800</v>
      </c>
      <c r="Q129" s="995"/>
      <c r="R129" s="995"/>
      <c r="S129" s="995"/>
      <c r="T129" s="995"/>
      <c r="U129" s="995"/>
      <c r="V129" s="995"/>
      <c r="W129" s="995"/>
      <c r="X129" s="995"/>
      <c r="Y129" s="995"/>
      <c r="Z129" s="995"/>
      <c r="AA129" s="1043"/>
      <c r="AB129" s="1010">
        <f>'Profit &amp; Loss Ecommerce'!I53+'Profit &amp; Loss Store'!I57</f>
        <v>4500</v>
      </c>
      <c r="AC129" s="995"/>
      <c r="AD129" s="995"/>
      <c r="AE129" s="995"/>
      <c r="AF129" s="995"/>
      <c r="AG129" s="995"/>
      <c r="AH129" s="995"/>
      <c r="AI129" s="995"/>
      <c r="AJ129" s="995"/>
      <c r="AK129" s="995"/>
      <c r="AL129" s="995"/>
      <c r="AM129" s="995"/>
      <c r="AN129" s="169"/>
      <c r="AO129" s="169"/>
      <c r="AP129" s="169"/>
      <c r="AQ129" s="169"/>
      <c r="AR129" s="169"/>
      <c r="AS129" s="169"/>
      <c r="AT129" s="169"/>
      <c r="AU129" s="169"/>
      <c r="AV129" s="169"/>
      <c r="AW129" s="169"/>
      <c r="AX129" s="169"/>
      <c r="AY129" s="169"/>
      <c r="AZ129" s="169"/>
      <c r="BA129" s="169"/>
      <c r="BB129" s="169"/>
      <c r="BC129" s="169"/>
      <c r="BD129" s="169"/>
      <c r="BE129" s="169"/>
      <c r="BF129" s="169"/>
      <c r="BG129" s="169"/>
      <c r="BH129" s="169"/>
      <c r="BI129" s="169"/>
      <c r="BJ129" s="169"/>
      <c r="BK129" s="169"/>
      <c r="BL129" s="169"/>
      <c r="BM129" s="169"/>
      <c r="BN129" s="169"/>
      <c r="BO129" s="169"/>
      <c r="BP129" s="169"/>
      <c r="BQ129" s="169"/>
      <c r="BR129" s="169"/>
      <c r="BS129" s="169"/>
      <c r="BT129" s="169"/>
    </row>
    <row r="130" spans="2:72" s="143" customFormat="1">
      <c r="B130" s="1012" t="str">
        <v>Additive Manufacturing Printer</v>
      </c>
      <c r="C130" s="19"/>
      <c r="D130" s="995">
        <f>'Profit &amp; Loss Ecommerce'!G54+'Profit &amp; Loss Store'!G58</f>
        <v>30000</v>
      </c>
      <c r="E130" s="995"/>
      <c r="F130" s="995"/>
      <c r="G130" s="995"/>
      <c r="H130" s="995"/>
      <c r="I130" s="995"/>
      <c r="J130" s="995"/>
      <c r="K130" s="995"/>
      <c r="L130" s="995"/>
      <c r="M130" s="995"/>
      <c r="N130" s="995"/>
      <c r="O130" s="1043"/>
      <c r="P130" s="995">
        <f>'Profit &amp; Loss Ecommerce'!H54+'Profit &amp; Loss Store'!H58</f>
        <v>30000</v>
      </c>
      <c r="Q130" s="995"/>
      <c r="R130" s="995"/>
      <c r="S130" s="995"/>
      <c r="T130" s="995"/>
      <c r="U130" s="995"/>
      <c r="V130" s="995"/>
      <c r="W130" s="995"/>
      <c r="X130" s="995"/>
      <c r="Y130" s="995"/>
      <c r="Z130" s="995"/>
      <c r="AA130" s="1043"/>
      <c r="AB130" s="1010">
        <f>'Profit &amp; Loss Ecommerce'!I54+'Profit &amp; Loss Store'!I58</f>
        <v>120000</v>
      </c>
      <c r="AC130" s="995"/>
      <c r="AD130" s="995"/>
      <c r="AE130" s="995"/>
      <c r="AF130" s="995"/>
      <c r="AG130" s="995"/>
      <c r="AH130" s="995"/>
      <c r="AI130" s="995"/>
      <c r="AJ130" s="995"/>
      <c r="AK130" s="995"/>
      <c r="AL130" s="995"/>
      <c r="AM130" s="995"/>
      <c r="AN130" s="169"/>
      <c r="AO130" s="169"/>
      <c r="AP130" s="169"/>
      <c r="AQ130" s="169"/>
      <c r="AR130" s="169"/>
      <c r="AS130" s="169"/>
      <c r="AT130" s="169"/>
      <c r="AU130" s="169"/>
      <c r="AV130" s="169"/>
      <c r="AW130" s="169"/>
      <c r="AX130" s="169"/>
      <c r="AY130" s="169"/>
      <c r="AZ130" s="169"/>
      <c r="BA130" s="169"/>
      <c r="BB130" s="169"/>
      <c r="BC130" s="169"/>
      <c r="BD130" s="169"/>
      <c r="BE130" s="169"/>
      <c r="BF130" s="169"/>
      <c r="BG130" s="169"/>
      <c r="BH130" s="169"/>
      <c r="BI130" s="169"/>
      <c r="BJ130" s="169"/>
      <c r="BK130" s="169"/>
      <c r="BL130" s="169"/>
      <c r="BM130" s="169"/>
      <c r="BN130" s="169"/>
      <c r="BO130" s="169"/>
      <c r="BP130" s="169"/>
      <c r="BQ130" s="169"/>
      <c r="BR130" s="169"/>
      <c r="BS130" s="169"/>
      <c r="BT130" s="169"/>
    </row>
    <row r="131" spans="2:72" s="143" customFormat="1">
      <c r="B131" s="1012" t="str">
        <v>Office Desks</v>
      </c>
      <c r="C131" s="19"/>
      <c r="D131" s="995">
        <f>'Profit &amp; Loss Ecommerce'!G55+'Profit &amp; Loss Store'!G59</f>
        <v>1200</v>
      </c>
      <c r="E131" s="995"/>
      <c r="F131" s="995"/>
      <c r="G131" s="995"/>
      <c r="H131" s="995"/>
      <c r="I131" s="995"/>
      <c r="J131" s="995"/>
      <c r="K131" s="995"/>
      <c r="L131" s="995"/>
      <c r="M131" s="995"/>
      <c r="N131" s="995"/>
      <c r="O131" s="1043"/>
      <c r="P131" s="995">
        <f>'Profit &amp; Loss Ecommerce'!H55+'Profit &amp; Loss Store'!H59</f>
        <v>100</v>
      </c>
      <c r="Q131" s="995"/>
      <c r="R131" s="995"/>
      <c r="S131" s="995"/>
      <c r="T131" s="995"/>
      <c r="U131" s="995"/>
      <c r="V131" s="995"/>
      <c r="W131" s="995"/>
      <c r="X131" s="995"/>
      <c r="Y131" s="995"/>
      <c r="Z131" s="995"/>
      <c r="AA131" s="1043"/>
      <c r="AB131" s="1010">
        <f>'Profit &amp; Loss Ecommerce'!I55+'Profit &amp; Loss Store'!I59</f>
        <v>2000</v>
      </c>
      <c r="AC131" s="995"/>
      <c r="AD131" s="995"/>
      <c r="AE131" s="995"/>
      <c r="AF131" s="995"/>
      <c r="AG131" s="995"/>
      <c r="AH131" s="995"/>
      <c r="AI131" s="995"/>
      <c r="AJ131" s="995"/>
      <c r="AK131" s="995"/>
      <c r="AL131" s="995"/>
      <c r="AM131" s="995"/>
      <c r="AN131" s="169"/>
      <c r="AO131" s="169"/>
      <c r="AP131" s="169"/>
      <c r="AQ131" s="169"/>
      <c r="AR131" s="169"/>
      <c r="AS131" s="169"/>
      <c r="AT131" s="169"/>
      <c r="AU131" s="169"/>
      <c r="AV131" s="169"/>
      <c r="AW131" s="169"/>
      <c r="AX131" s="169"/>
      <c r="AY131" s="169"/>
      <c r="AZ131" s="169"/>
      <c r="BA131" s="169"/>
      <c r="BB131" s="169"/>
      <c r="BC131" s="169"/>
      <c r="BD131" s="169"/>
      <c r="BE131" s="169"/>
      <c r="BF131" s="169"/>
      <c r="BG131" s="169"/>
      <c r="BH131" s="169"/>
      <c r="BI131" s="169"/>
      <c r="BJ131" s="169"/>
      <c r="BK131" s="169"/>
      <c r="BL131" s="169"/>
      <c r="BM131" s="169"/>
      <c r="BN131" s="169"/>
      <c r="BO131" s="169"/>
      <c r="BP131" s="169"/>
      <c r="BQ131" s="169"/>
      <c r="BR131" s="169"/>
      <c r="BS131" s="169"/>
      <c r="BT131" s="169"/>
    </row>
    <row r="132" spans="2:72" s="143" customFormat="1">
      <c r="B132" s="1012" t="str">
        <v>Office Chairs</v>
      </c>
      <c r="C132" s="19"/>
      <c r="D132" s="995">
        <f>'Profit &amp; Loss Ecommerce'!G56+'Profit &amp; Loss Store'!G60</f>
        <v>960</v>
      </c>
      <c r="E132" s="995"/>
      <c r="F132" s="995"/>
      <c r="G132" s="995"/>
      <c r="H132" s="995"/>
      <c r="I132" s="995"/>
      <c r="J132" s="995"/>
      <c r="K132" s="995"/>
      <c r="L132" s="995"/>
      <c r="M132" s="995"/>
      <c r="N132" s="995"/>
      <c r="O132" s="1043"/>
      <c r="P132" s="995">
        <f>'Profit &amp; Loss Ecommerce'!H56+'Profit &amp; Loss Store'!H60</f>
        <v>80</v>
      </c>
      <c r="Q132" s="995"/>
      <c r="R132" s="995"/>
      <c r="S132" s="995"/>
      <c r="T132" s="995"/>
      <c r="U132" s="995"/>
      <c r="V132" s="995"/>
      <c r="W132" s="995"/>
      <c r="X132" s="995"/>
      <c r="Y132" s="995"/>
      <c r="Z132" s="995"/>
      <c r="AA132" s="1043"/>
      <c r="AB132" s="1010">
        <f>'Profit &amp; Loss Ecommerce'!I56+'Profit &amp; Loss Store'!I60</f>
        <v>1600</v>
      </c>
      <c r="AC132" s="995"/>
      <c r="AD132" s="995"/>
      <c r="AE132" s="995"/>
      <c r="AF132" s="995"/>
      <c r="AG132" s="995"/>
      <c r="AH132" s="995"/>
      <c r="AI132" s="995"/>
      <c r="AJ132" s="995"/>
      <c r="AK132" s="995"/>
      <c r="AL132" s="995"/>
      <c r="AM132" s="995"/>
      <c r="AN132" s="169"/>
      <c r="AO132" s="169"/>
      <c r="AP132" s="169"/>
      <c r="AQ132" s="169"/>
      <c r="AR132" s="169"/>
      <c r="AS132" s="169"/>
      <c r="AT132" s="169"/>
      <c r="AU132" s="169"/>
      <c r="AV132" s="169"/>
      <c r="AW132" s="169"/>
      <c r="AX132" s="169"/>
      <c r="AY132" s="169"/>
      <c r="AZ132" s="169"/>
      <c r="BA132" s="169"/>
      <c r="BB132" s="169"/>
      <c r="BC132" s="169"/>
      <c r="BD132" s="169"/>
      <c r="BE132" s="169"/>
      <c r="BF132" s="169"/>
      <c r="BG132" s="169"/>
      <c r="BH132" s="169"/>
      <c r="BI132" s="169"/>
      <c r="BJ132" s="169"/>
      <c r="BK132" s="169"/>
      <c r="BL132" s="169"/>
      <c r="BM132" s="169"/>
      <c r="BN132" s="169"/>
      <c r="BO132" s="169"/>
      <c r="BP132" s="169"/>
      <c r="BQ132" s="169"/>
      <c r="BR132" s="169"/>
      <c r="BS132" s="169"/>
      <c r="BT132" s="169"/>
    </row>
    <row r="133" spans="2:72" s="143" customFormat="1">
      <c r="B133" s="1012" t="str">
        <v>Welding Apparatus</v>
      </c>
      <c r="C133" s="19"/>
      <c r="D133" s="995">
        <f>'Profit &amp; Loss Ecommerce'!G57+'Profit &amp; Loss Store'!G61</f>
        <v>2000</v>
      </c>
      <c r="E133" s="995"/>
      <c r="F133" s="995"/>
      <c r="G133" s="995"/>
      <c r="H133" s="995"/>
      <c r="I133" s="995"/>
      <c r="J133" s="995"/>
      <c r="K133" s="995"/>
      <c r="L133" s="995"/>
      <c r="M133" s="995"/>
      <c r="N133" s="995"/>
      <c r="O133" s="1043"/>
      <c r="P133" s="995">
        <f>'Profit &amp; Loss Ecommerce'!H57+'Profit &amp; Loss Store'!H61</f>
        <v>2000</v>
      </c>
      <c r="Q133" s="995"/>
      <c r="R133" s="995"/>
      <c r="S133" s="995"/>
      <c r="T133" s="995"/>
      <c r="U133" s="995"/>
      <c r="V133" s="995"/>
      <c r="W133" s="995"/>
      <c r="X133" s="995"/>
      <c r="Y133" s="995"/>
      <c r="Z133" s="995"/>
      <c r="AA133" s="1043"/>
      <c r="AB133" s="1010">
        <f>'Profit &amp; Loss Ecommerce'!I57+'Profit &amp; Loss Store'!I61</f>
        <v>6000</v>
      </c>
      <c r="AC133" s="995"/>
      <c r="AD133" s="995"/>
      <c r="AE133" s="995"/>
      <c r="AF133" s="995"/>
      <c r="AG133" s="995"/>
      <c r="AH133" s="995"/>
      <c r="AI133" s="995"/>
      <c r="AJ133" s="995"/>
      <c r="AK133" s="995"/>
      <c r="AL133" s="995"/>
      <c r="AM133" s="995"/>
      <c r="AN133" s="169"/>
      <c r="AO133" s="169"/>
      <c r="AP133" s="169"/>
      <c r="AQ133" s="169"/>
      <c r="AR133" s="169"/>
      <c r="AS133" s="169"/>
      <c r="AT133" s="169"/>
      <c r="AU133" s="169"/>
      <c r="AV133" s="169"/>
      <c r="AW133" s="169"/>
      <c r="AX133" s="169"/>
      <c r="AY133" s="169"/>
      <c r="AZ133" s="169"/>
      <c r="BA133" s="169"/>
      <c r="BB133" s="169"/>
      <c r="BC133" s="169"/>
      <c r="BD133" s="169"/>
      <c r="BE133" s="169"/>
      <c r="BF133" s="169"/>
      <c r="BG133" s="169"/>
      <c r="BH133" s="169"/>
      <c r="BI133" s="169"/>
      <c r="BJ133" s="169"/>
      <c r="BK133" s="169"/>
      <c r="BL133" s="169"/>
      <c r="BM133" s="169"/>
      <c r="BN133" s="169"/>
      <c r="BO133" s="169"/>
      <c r="BP133" s="169"/>
      <c r="BQ133" s="169"/>
      <c r="BR133" s="169"/>
      <c r="BS133" s="169"/>
      <c r="BT133" s="169"/>
    </row>
    <row r="134" spans="2:72" s="143" customFormat="1">
      <c r="B134" s="1012" t="str">
        <v>Painting Equipment</v>
      </c>
      <c r="C134" s="19"/>
      <c r="D134" s="995">
        <f>'Profit &amp; Loss Ecommerce'!G58+'Profit &amp; Loss Store'!G62</f>
        <v>3600</v>
      </c>
      <c r="E134" s="995"/>
      <c r="F134" s="995"/>
      <c r="G134" s="995"/>
      <c r="H134" s="995"/>
      <c r="I134" s="995"/>
      <c r="J134" s="995"/>
      <c r="K134" s="995"/>
      <c r="L134" s="995"/>
      <c r="M134" s="995"/>
      <c r="N134" s="995"/>
      <c r="O134" s="1043"/>
      <c r="P134" s="995">
        <f>'Profit &amp; Loss Ecommerce'!H58+'Profit &amp; Loss Store'!H62</f>
        <v>0</v>
      </c>
      <c r="Q134" s="995"/>
      <c r="R134" s="995"/>
      <c r="S134" s="995"/>
      <c r="T134" s="995"/>
      <c r="U134" s="995"/>
      <c r="V134" s="995"/>
      <c r="W134" s="995"/>
      <c r="X134" s="995"/>
      <c r="Y134" s="995"/>
      <c r="Z134" s="995"/>
      <c r="AA134" s="1043"/>
      <c r="AB134" s="1010">
        <f>'Profit &amp; Loss Ecommerce'!I58+'Profit &amp; Loss Store'!I62</f>
        <v>2700</v>
      </c>
      <c r="AC134" s="995"/>
      <c r="AD134" s="995"/>
      <c r="AE134" s="995"/>
      <c r="AF134" s="995"/>
      <c r="AG134" s="995"/>
      <c r="AH134" s="995"/>
      <c r="AI134" s="995"/>
      <c r="AJ134" s="995"/>
      <c r="AK134" s="995"/>
      <c r="AL134" s="995"/>
      <c r="AM134" s="995"/>
      <c r="AN134" s="169"/>
      <c r="AO134" s="169"/>
      <c r="AP134" s="169"/>
      <c r="AQ134" s="169"/>
      <c r="AR134" s="169"/>
      <c r="AS134" s="169"/>
      <c r="AT134" s="169"/>
      <c r="AU134" s="169"/>
      <c r="AV134" s="169"/>
      <c r="AW134" s="169"/>
      <c r="AX134" s="169"/>
      <c r="AY134" s="169"/>
      <c r="AZ134" s="169"/>
      <c r="BA134" s="169"/>
      <c r="BB134" s="169"/>
      <c r="BC134" s="169"/>
      <c r="BD134" s="169"/>
      <c r="BE134" s="169"/>
      <c r="BF134" s="169"/>
      <c r="BG134" s="169"/>
      <c r="BH134" s="169"/>
      <c r="BI134" s="169"/>
      <c r="BJ134" s="169"/>
      <c r="BK134" s="169"/>
      <c r="BL134" s="169"/>
      <c r="BM134" s="169"/>
      <c r="BN134" s="169"/>
      <c r="BO134" s="169"/>
      <c r="BP134" s="169"/>
      <c r="BQ134" s="169"/>
      <c r="BR134" s="169"/>
      <c r="BS134" s="169"/>
      <c r="BT134" s="169"/>
    </row>
    <row r="135" spans="2:72" s="143" customFormat="1">
      <c r="B135" s="1012" t="str">
        <v>Walkie Talkies</v>
      </c>
      <c r="C135" s="19"/>
      <c r="D135" s="995">
        <f>'Profit &amp; Loss Ecommerce'!G59+'Profit &amp; Loss Store'!G63</f>
        <v>400</v>
      </c>
      <c r="E135" s="995"/>
      <c r="F135" s="995"/>
      <c r="G135" s="995"/>
      <c r="H135" s="995"/>
      <c r="I135" s="995"/>
      <c r="J135" s="995"/>
      <c r="K135" s="995"/>
      <c r="L135" s="995"/>
      <c r="M135" s="995"/>
      <c r="N135" s="995"/>
      <c r="O135" s="1043"/>
      <c r="P135" s="995">
        <f>'Profit &amp; Loss Ecommerce'!H59+'Profit &amp; Loss Store'!H63</f>
        <v>0</v>
      </c>
      <c r="Q135" s="995"/>
      <c r="R135" s="995"/>
      <c r="S135" s="995"/>
      <c r="T135" s="995"/>
      <c r="U135" s="995"/>
      <c r="V135" s="995"/>
      <c r="W135" s="995"/>
      <c r="X135" s="995"/>
      <c r="Y135" s="995"/>
      <c r="Z135" s="995"/>
      <c r="AA135" s="1043"/>
      <c r="AB135" s="1010">
        <f>'Profit &amp; Loss Ecommerce'!I59+'Profit &amp; Loss Store'!I63</f>
        <v>200</v>
      </c>
      <c r="AC135" s="995"/>
      <c r="AD135" s="995"/>
      <c r="AE135" s="995"/>
      <c r="AF135" s="995"/>
      <c r="AG135" s="995"/>
      <c r="AH135" s="995"/>
      <c r="AI135" s="995"/>
      <c r="AJ135" s="995"/>
      <c r="AK135" s="995"/>
      <c r="AL135" s="995"/>
      <c r="AM135" s="995"/>
      <c r="AN135" s="169"/>
      <c r="AO135" s="169"/>
      <c r="AP135" s="169"/>
      <c r="AQ135" s="169"/>
      <c r="AR135" s="169"/>
      <c r="AS135" s="169"/>
      <c r="AT135" s="169"/>
      <c r="AU135" s="169"/>
      <c r="AV135" s="169"/>
      <c r="AW135" s="169"/>
      <c r="AX135" s="169"/>
      <c r="AY135" s="169"/>
      <c r="AZ135" s="169"/>
      <c r="BA135" s="169"/>
      <c r="BB135" s="169"/>
      <c r="BC135" s="169"/>
      <c r="BD135" s="169"/>
      <c r="BE135" s="169"/>
      <c r="BF135" s="169"/>
      <c r="BG135" s="169"/>
      <c r="BH135" s="169"/>
      <c r="BI135" s="169"/>
      <c r="BJ135" s="169"/>
      <c r="BK135" s="169"/>
      <c r="BL135" s="169"/>
      <c r="BM135" s="169"/>
      <c r="BN135" s="169"/>
      <c r="BO135" s="169"/>
      <c r="BP135" s="169"/>
      <c r="BQ135" s="169"/>
      <c r="BR135" s="169"/>
      <c r="BS135" s="169"/>
      <c r="BT135" s="169"/>
    </row>
    <row r="136" spans="2:72" s="143" customFormat="1">
      <c r="B136" s="1012" t="str">
        <f>'Profit &amp; Loss Store'!B64</f>
        <v>Cleaning Equipment</v>
      </c>
      <c r="C136" s="19"/>
      <c r="D136" s="995">
        <f>'Profit &amp; Loss Store'!G64</f>
        <v>0</v>
      </c>
      <c r="E136" s="995"/>
      <c r="F136" s="995"/>
      <c r="G136" s="995"/>
      <c r="H136" s="995"/>
      <c r="I136" s="995"/>
      <c r="J136" s="995"/>
      <c r="K136" s="995"/>
      <c r="L136" s="995"/>
      <c r="M136" s="995"/>
      <c r="N136" s="995"/>
      <c r="O136" s="1043"/>
      <c r="P136" s="995">
        <f>'Profit &amp; Loss Store'!H64</f>
        <v>0</v>
      </c>
      <c r="Q136" s="995"/>
      <c r="R136" s="995"/>
      <c r="S136" s="995"/>
      <c r="T136" s="995"/>
      <c r="U136" s="995"/>
      <c r="V136" s="995"/>
      <c r="W136" s="995"/>
      <c r="X136" s="995"/>
      <c r="Y136" s="995"/>
      <c r="Z136" s="995"/>
      <c r="AA136" s="1043"/>
      <c r="AB136" s="1010">
        <f>'Profit &amp; Loss Store'!I64</f>
        <v>800</v>
      </c>
      <c r="AC136" s="995"/>
      <c r="AD136" s="995"/>
      <c r="AE136" s="995"/>
      <c r="AF136" s="995"/>
      <c r="AG136" s="995"/>
      <c r="AH136" s="995"/>
      <c r="AI136" s="995"/>
      <c r="AJ136" s="995"/>
      <c r="AK136" s="995"/>
      <c r="AL136" s="995"/>
      <c r="AM136" s="995"/>
      <c r="AN136" s="169"/>
      <c r="AO136" s="169"/>
      <c r="AP136" s="169"/>
      <c r="AQ136" s="169"/>
      <c r="AR136" s="169"/>
      <c r="AS136" s="169"/>
      <c r="AT136" s="169"/>
      <c r="AU136" s="169"/>
      <c r="AV136" s="169"/>
      <c r="AW136" s="169"/>
      <c r="AX136" s="169"/>
      <c r="AY136" s="169"/>
      <c r="AZ136" s="169"/>
      <c r="BA136" s="169"/>
      <c r="BB136" s="169"/>
      <c r="BC136" s="169"/>
      <c r="BD136" s="169"/>
      <c r="BE136" s="169"/>
      <c r="BF136" s="169"/>
      <c r="BG136" s="169"/>
      <c r="BH136" s="169"/>
      <c r="BI136" s="169"/>
      <c r="BJ136" s="169"/>
      <c r="BK136" s="169"/>
      <c r="BL136" s="169"/>
      <c r="BM136" s="169"/>
      <c r="BN136" s="169"/>
      <c r="BO136" s="169"/>
      <c r="BP136" s="169"/>
      <c r="BQ136" s="169"/>
      <c r="BR136" s="169"/>
      <c r="BS136" s="169"/>
      <c r="BT136" s="169"/>
    </row>
    <row r="137" spans="2:72" s="143" customFormat="1">
      <c r="B137" s="1012" t="str">
        <f>'Profit &amp; Loss Store'!B65</f>
        <v>Diagnostic Equipment</v>
      </c>
      <c r="C137" s="19"/>
      <c r="D137" s="995">
        <f>'Profit &amp; Loss Store'!G65</f>
        <v>0</v>
      </c>
      <c r="E137" s="995"/>
      <c r="F137" s="995"/>
      <c r="G137" s="995"/>
      <c r="H137" s="995"/>
      <c r="I137" s="995"/>
      <c r="J137" s="995"/>
      <c r="K137" s="995"/>
      <c r="L137" s="995"/>
      <c r="M137" s="995"/>
      <c r="N137" s="995"/>
      <c r="O137" s="1043"/>
      <c r="P137" s="995">
        <f>'Profit &amp; Loss Store'!H65</f>
        <v>0</v>
      </c>
      <c r="Q137" s="995"/>
      <c r="R137" s="995"/>
      <c r="S137" s="995"/>
      <c r="T137" s="995"/>
      <c r="U137" s="995"/>
      <c r="V137" s="995"/>
      <c r="W137" s="995"/>
      <c r="X137" s="995"/>
      <c r="Y137" s="995"/>
      <c r="Z137" s="995"/>
      <c r="AA137" s="1043"/>
      <c r="AB137" s="1010">
        <f>'Profit &amp; Loss Store'!I65</f>
        <v>1700</v>
      </c>
      <c r="AC137" s="995"/>
      <c r="AD137" s="995"/>
      <c r="AE137" s="995"/>
      <c r="AF137" s="995"/>
      <c r="AG137" s="995"/>
      <c r="AH137" s="995"/>
      <c r="AI137" s="995"/>
      <c r="AJ137" s="995"/>
      <c r="AK137" s="995"/>
      <c r="AL137" s="995"/>
      <c r="AM137" s="995"/>
      <c r="AN137" s="169"/>
      <c r="AO137" s="169"/>
      <c r="AP137" s="169"/>
      <c r="AQ137" s="169"/>
      <c r="AR137" s="169"/>
      <c r="AS137" s="169"/>
      <c r="AT137" s="169"/>
      <c r="AU137" s="169"/>
      <c r="AV137" s="169"/>
      <c r="AW137" s="169"/>
      <c r="AX137" s="169"/>
      <c r="AY137" s="169"/>
      <c r="AZ137" s="169"/>
      <c r="BA137" s="169"/>
      <c r="BB137" s="169"/>
      <c r="BC137" s="169"/>
      <c r="BD137" s="169"/>
      <c r="BE137" s="169"/>
      <c r="BF137" s="169"/>
      <c r="BG137" s="169"/>
      <c r="BH137" s="169"/>
      <c r="BI137" s="169"/>
      <c r="BJ137" s="169"/>
      <c r="BK137" s="169"/>
      <c r="BL137" s="169"/>
      <c r="BM137" s="169"/>
      <c r="BN137" s="169"/>
      <c r="BO137" s="169"/>
      <c r="BP137" s="169"/>
      <c r="BQ137" s="169"/>
      <c r="BR137" s="169"/>
      <c r="BS137" s="169"/>
      <c r="BT137" s="169"/>
    </row>
    <row r="138" spans="2:72" s="143" customFormat="1">
      <c r="B138" s="1015" t="str">
        <f>'Profit &amp; Loss Store'!B66</f>
        <v>Car Lift Ramp</v>
      </c>
      <c r="C138" s="19"/>
      <c r="D138" s="995">
        <f>'Profit &amp; Loss Store'!G66</f>
        <v>0</v>
      </c>
      <c r="E138" s="995"/>
      <c r="F138" s="995"/>
      <c r="G138" s="995"/>
      <c r="H138" s="995"/>
      <c r="I138" s="995"/>
      <c r="J138" s="995"/>
      <c r="K138" s="995"/>
      <c r="L138" s="995"/>
      <c r="M138" s="995"/>
      <c r="N138" s="995"/>
      <c r="O138" s="1043"/>
      <c r="P138" s="995">
        <f>'Profit &amp; Loss Store'!H66</f>
        <v>0</v>
      </c>
      <c r="Q138" s="995"/>
      <c r="R138" s="995"/>
      <c r="S138" s="995"/>
      <c r="T138" s="995"/>
      <c r="U138" s="995"/>
      <c r="V138" s="995"/>
      <c r="W138" s="995"/>
      <c r="X138" s="995"/>
      <c r="Y138" s="995"/>
      <c r="Z138" s="995"/>
      <c r="AA138" s="1043"/>
      <c r="AB138" s="1010">
        <f>'Profit &amp; Loss Store'!I66</f>
        <v>12000</v>
      </c>
      <c r="AC138" s="995"/>
      <c r="AD138" s="995"/>
      <c r="AE138" s="995"/>
      <c r="AF138" s="995"/>
      <c r="AG138" s="995"/>
      <c r="AH138" s="995"/>
      <c r="AI138" s="995"/>
      <c r="AJ138" s="995"/>
      <c r="AK138" s="995"/>
      <c r="AL138" s="995"/>
      <c r="AM138" s="995"/>
      <c r="AN138" s="169"/>
      <c r="AO138" s="169"/>
      <c r="AP138" s="169"/>
      <c r="AQ138" s="169"/>
      <c r="AR138" s="169"/>
      <c r="AS138" s="169"/>
      <c r="AT138" s="169"/>
      <c r="AU138" s="169"/>
      <c r="AV138" s="169"/>
      <c r="AW138" s="169"/>
      <c r="AX138" s="169"/>
      <c r="AY138" s="169"/>
      <c r="AZ138" s="169"/>
      <c r="BA138" s="169"/>
      <c r="BB138" s="169"/>
      <c r="BC138" s="169"/>
      <c r="BD138" s="169"/>
      <c r="BE138" s="169"/>
      <c r="BF138" s="169"/>
      <c r="BG138" s="169"/>
      <c r="BH138" s="169"/>
      <c r="BI138" s="169"/>
      <c r="BJ138" s="169"/>
      <c r="BK138" s="169"/>
      <c r="BL138" s="169"/>
      <c r="BM138" s="169"/>
      <c r="BN138" s="169"/>
      <c r="BO138" s="169"/>
      <c r="BP138" s="169"/>
      <c r="BQ138" s="169"/>
      <c r="BR138" s="169"/>
      <c r="BS138" s="169"/>
      <c r="BT138" s="169"/>
    </row>
    <row r="139" spans="2:72" s="143" customFormat="1">
      <c r="B139" s="1012" t="str">
        <f>'Profit &amp; Loss Store'!B67</f>
        <v>Personal Protection Equipment</v>
      </c>
      <c r="C139" s="19"/>
      <c r="D139" s="995">
        <f>'Profit &amp; Loss Store'!G67</f>
        <v>0</v>
      </c>
      <c r="E139" s="995"/>
      <c r="F139" s="995"/>
      <c r="G139" s="995"/>
      <c r="H139" s="995"/>
      <c r="I139" s="995"/>
      <c r="J139" s="995"/>
      <c r="K139" s="995"/>
      <c r="L139" s="995"/>
      <c r="M139" s="995"/>
      <c r="N139" s="995"/>
      <c r="O139" s="1043"/>
      <c r="P139" s="995">
        <f>'Profit &amp; Loss Store'!H67</f>
        <v>0</v>
      </c>
      <c r="Q139" s="995"/>
      <c r="R139" s="995"/>
      <c r="S139" s="995"/>
      <c r="T139" s="995"/>
      <c r="U139" s="995"/>
      <c r="V139" s="995"/>
      <c r="W139" s="995"/>
      <c r="X139" s="995"/>
      <c r="Y139" s="995"/>
      <c r="Z139" s="995"/>
      <c r="AA139" s="1043"/>
      <c r="AB139" s="1010">
        <f>'Profit &amp; Loss Store'!I67</f>
        <v>4500</v>
      </c>
      <c r="AC139" s="995"/>
      <c r="AD139" s="995"/>
      <c r="AE139" s="995"/>
      <c r="AF139" s="995"/>
      <c r="AG139" s="995"/>
      <c r="AH139" s="995"/>
      <c r="AI139" s="995"/>
      <c r="AJ139" s="995"/>
      <c r="AK139" s="995"/>
      <c r="AL139" s="995"/>
      <c r="AM139" s="995"/>
      <c r="AN139" s="169"/>
      <c r="AO139" s="169"/>
      <c r="AP139" s="169"/>
      <c r="AQ139" s="169"/>
      <c r="AR139" s="169"/>
      <c r="AS139" s="169"/>
      <c r="AT139" s="169"/>
      <c r="AU139" s="169"/>
      <c r="AV139" s="169"/>
      <c r="AW139" s="169"/>
      <c r="AX139" s="169"/>
      <c r="AY139" s="169"/>
      <c r="AZ139" s="169"/>
      <c r="BA139" s="169"/>
      <c r="BB139" s="169"/>
      <c r="BC139" s="169"/>
      <c r="BD139" s="169"/>
      <c r="BE139" s="169"/>
      <c r="BF139" s="169"/>
      <c r="BG139" s="169"/>
      <c r="BH139" s="169"/>
      <c r="BI139" s="169"/>
      <c r="BJ139" s="169"/>
      <c r="BK139" s="169"/>
      <c r="BL139" s="169"/>
      <c r="BM139" s="169"/>
      <c r="BN139" s="169"/>
      <c r="BO139" s="169"/>
      <c r="BP139" s="169"/>
      <c r="BQ139" s="169"/>
      <c r="BR139" s="169"/>
      <c r="BS139" s="169"/>
      <c r="BT139" s="169"/>
    </row>
    <row r="140" spans="2:72" s="143" customFormat="1">
      <c r="B140" s="1012" t="s">
        <v>126</v>
      </c>
      <c r="C140" s="19"/>
      <c r="D140" s="995">
        <f>SUM(D126:D139)*'Profit &amp; Loss Ecommerce'!$D$82</f>
        <v>9960</v>
      </c>
      <c r="E140" s="995"/>
      <c r="F140" s="995"/>
      <c r="G140" s="995"/>
      <c r="H140" s="995"/>
      <c r="I140" s="995"/>
      <c r="J140" s="995"/>
      <c r="K140" s="995"/>
      <c r="L140" s="995"/>
      <c r="M140" s="995"/>
      <c r="N140" s="995"/>
      <c r="O140" s="1043"/>
      <c r="P140" s="995">
        <f>SUM(P126:P139)*'Profit &amp; Loss Ecommerce'!$D$82</f>
        <v>8876</v>
      </c>
      <c r="Q140" s="995"/>
      <c r="R140" s="995"/>
      <c r="S140" s="995"/>
      <c r="T140" s="995"/>
      <c r="U140" s="995"/>
      <c r="V140" s="995"/>
      <c r="W140" s="995"/>
      <c r="X140" s="995"/>
      <c r="Y140" s="995"/>
      <c r="Z140" s="995"/>
      <c r="AA140" s="1043"/>
      <c r="AB140" s="1010">
        <f>'Profit &amp; Loss Ecommerce'!I64+'Profit &amp; Loss Store'!I68</f>
        <v>96800</v>
      </c>
      <c r="AC140" s="995"/>
      <c r="AD140" s="995"/>
      <c r="AE140" s="995"/>
      <c r="AF140" s="995"/>
      <c r="AG140" s="995"/>
      <c r="AH140" s="995"/>
      <c r="AI140" s="995"/>
      <c r="AJ140" s="995"/>
      <c r="AK140" s="995"/>
      <c r="AL140" s="995"/>
      <c r="AM140" s="995"/>
      <c r="AN140" s="169"/>
      <c r="AO140" s="169"/>
      <c r="AP140" s="169"/>
      <c r="AQ140" s="169"/>
      <c r="AR140" s="169"/>
      <c r="AS140" s="169"/>
      <c r="AT140" s="169"/>
      <c r="AU140" s="169"/>
      <c r="AV140" s="169"/>
      <c r="AW140" s="169"/>
      <c r="AX140" s="169"/>
      <c r="AY140" s="169"/>
      <c r="AZ140" s="169"/>
      <c r="BA140" s="169"/>
      <c r="BB140" s="169"/>
      <c r="BC140" s="169"/>
      <c r="BD140" s="169"/>
      <c r="BE140" s="169"/>
      <c r="BF140" s="169"/>
      <c r="BG140" s="169"/>
      <c r="BH140" s="169"/>
      <c r="BI140" s="169"/>
      <c r="BJ140" s="169"/>
      <c r="BK140" s="169"/>
      <c r="BL140" s="169"/>
      <c r="BM140" s="169"/>
      <c r="BN140" s="169"/>
      <c r="BO140" s="169"/>
      <c r="BP140" s="169"/>
      <c r="BQ140" s="169"/>
      <c r="BR140" s="169"/>
      <c r="BS140" s="169"/>
      <c r="BT140" s="169"/>
    </row>
    <row r="141" spans="2:72" s="143" customFormat="1">
      <c r="B141" s="1012" t="s">
        <v>19</v>
      </c>
      <c r="C141" s="19"/>
      <c r="D141" s="995">
        <f>SUM(D125:D140)</f>
        <v>59760</v>
      </c>
      <c r="E141" s="995">
        <f t="shared" ref="E141:O141" si="148">SUM(E126:E140)</f>
        <v>0</v>
      </c>
      <c r="F141" s="995">
        <f t="shared" si="148"/>
        <v>0</v>
      </c>
      <c r="G141" s="995">
        <f t="shared" si="148"/>
        <v>0</v>
      </c>
      <c r="H141" s="995">
        <f t="shared" si="148"/>
        <v>0</v>
      </c>
      <c r="I141" s="995">
        <f t="shared" si="148"/>
        <v>0</v>
      </c>
      <c r="J141" s="995">
        <f t="shared" si="148"/>
        <v>0</v>
      </c>
      <c r="K141" s="995">
        <f t="shared" si="148"/>
        <v>0</v>
      </c>
      <c r="L141" s="995">
        <f t="shared" si="148"/>
        <v>0</v>
      </c>
      <c r="M141" s="995">
        <f t="shared" si="148"/>
        <v>0</v>
      </c>
      <c r="N141" s="995">
        <f t="shared" si="148"/>
        <v>0</v>
      </c>
      <c r="O141" s="1043">
        <f t="shared" si="148"/>
        <v>0</v>
      </c>
      <c r="P141" s="995">
        <f>SUM(P125:P140)</f>
        <v>53256</v>
      </c>
      <c r="Q141" s="995">
        <f t="shared" ref="Q141:AM141" si="149">SUM(Q126:Q140)</f>
        <v>0</v>
      </c>
      <c r="R141" s="995">
        <f t="shared" si="149"/>
        <v>0</v>
      </c>
      <c r="S141" s="995">
        <f t="shared" si="149"/>
        <v>0</v>
      </c>
      <c r="T141" s="995">
        <f t="shared" si="149"/>
        <v>0</v>
      </c>
      <c r="U141" s="995">
        <f t="shared" si="149"/>
        <v>0</v>
      </c>
      <c r="V141" s="995">
        <f t="shared" si="149"/>
        <v>0</v>
      </c>
      <c r="W141" s="995">
        <f t="shared" si="149"/>
        <v>0</v>
      </c>
      <c r="X141" s="995">
        <f t="shared" si="149"/>
        <v>0</v>
      </c>
      <c r="Y141" s="995">
        <f t="shared" si="149"/>
        <v>0</v>
      </c>
      <c r="Z141" s="995">
        <f t="shared" si="149"/>
        <v>0</v>
      </c>
      <c r="AA141" s="1043">
        <f t="shared" si="149"/>
        <v>0</v>
      </c>
      <c r="AB141" s="995">
        <f>SUM(AB126:AB140)</f>
        <v>276080</v>
      </c>
      <c r="AC141" s="995">
        <f t="shared" si="149"/>
        <v>0</v>
      </c>
      <c r="AD141" s="995">
        <f t="shared" si="149"/>
        <v>0</v>
      </c>
      <c r="AE141" s="995">
        <f t="shared" si="149"/>
        <v>0</v>
      </c>
      <c r="AF141" s="995">
        <f t="shared" si="149"/>
        <v>0</v>
      </c>
      <c r="AG141" s="995">
        <f t="shared" si="149"/>
        <v>0</v>
      </c>
      <c r="AH141" s="995">
        <f t="shared" si="149"/>
        <v>0</v>
      </c>
      <c r="AI141" s="995">
        <f t="shared" si="149"/>
        <v>0</v>
      </c>
      <c r="AJ141" s="995">
        <f t="shared" si="149"/>
        <v>0</v>
      </c>
      <c r="AK141" s="995">
        <f t="shared" si="149"/>
        <v>0</v>
      </c>
      <c r="AL141" s="995">
        <f t="shared" si="149"/>
        <v>0</v>
      </c>
      <c r="AM141" s="995">
        <f t="shared" si="149"/>
        <v>0</v>
      </c>
      <c r="AN141" s="169"/>
      <c r="AO141" s="169"/>
      <c r="AP141" s="169"/>
      <c r="AQ141" s="169"/>
      <c r="AR141" s="169"/>
      <c r="AS141" s="169"/>
      <c r="AT141" s="169"/>
      <c r="AU141" s="169"/>
      <c r="AV141" s="169"/>
      <c r="AW141" s="169"/>
      <c r="AX141" s="169"/>
      <c r="AY141" s="169"/>
      <c r="AZ141" s="169"/>
      <c r="BA141" s="169"/>
      <c r="BB141" s="169"/>
      <c r="BC141" s="169"/>
      <c r="BD141" s="169"/>
      <c r="BE141" s="169"/>
      <c r="BF141" s="169"/>
      <c r="BG141" s="169"/>
      <c r="BH141" s="169"/>
      <c r="BI141" s="169"/>
      <c r="BJ141" s="169"/>
      <c r="BK141" s="169"/>
      <c r="BL141" s="169"/>
      <c r="BM141" s="169"/>
      <c r="BN141" s="169"/>
      <c r="BO141" s="169"/>
      <c r="BP141" s="169"/>
      <c r="BQ141" s="169"/>
      <c r="BR141" s="169"/>
      <c r="BS141" s="169"/>
      <c r="BT141" s="169"/>
    </row>
    <row r="142" spans="2:72" s="143" customFormat="1">
      <c r="B142" s="1012" t="s">
        <v>198</v>
      </c>
      <c r="C142" s="19"/>
      <c r="D142" s="188">
        <v>50000</v>
      </c>
      <c r="E142" s="188"/>
      <c r="F142" s="188">
        <f>-D142</f>
        <v>-50000</v>
      </c>
      <c r="G142" s="188"/>
      <c r="H142" s="188"/>
      <c r="I142" s="188"/>
      <c r="J142" s="188"/>
      <c r="K142" s="188"/>
      <c r="L142" s="188"/>
      <c r="M142" s="188"/>
      <c r="N142" s="188"/>
      <c r="O142" s="1056"/>
      <c r="P142" s="188"/>
      <c r="Q142" s="188"/>
      <c r="R142" s="188">
        <f>-P141</f>
        <v>-53256</v>
      </c>
      <c r="S142" s="188"/>
      <c r="T142" s="188"/>
      <c r="U142" s="188"/>
      <c r="V142" s="188"/>
      <c r="W142" s="188"/>
      <c r="X142" s="188"/>
      <c r="Y142" s="188"/>
      <c r="Z142" s="188"/>
      <c r="AA142" s="1056"/>
      <c r="AB142" s="188"/>
      <c r="AC142" s="188"/>
      <c r="AD142" s="188"/>
      <c r="AE142" s="188">
        <f>-AB141</f>
        <v>-276080</v>
      </c>
      <c r="AF142" s="188"/>
      <c r="AG142" s="188"/>
      <c r="AH142" s="188"/>
      <c r="AI142" s="188"/>
      <c r="AJ142" s="188"/>
      <c r="AK142" s="188"/>
      <c r="AL142" s="188"/>
      <c r="AM142" s="188"/>
      <c r="AN142" s="169"/>
      <c r="AO142" s="169"/>
      <c r="AP142" s="169"/>
      <c r="AQ142" s="169"/>
      <c r="AR142" s="169"/>
      <c r="AS142" s="169"/>
      <c r="AT142" s="169"/>
      <c r="AU142" s="169"/>
      <c r="AV142" s="169"/>
      <c r="AW142" s="169"/>
      <c r="AX142" s="169"/>
      <c r="AY142" s="169"/>
      <c r="AZ142" s="169"/>
      <c r="BA142" s="169"/>
      <c r="BB142" s="169"/>
      <c r="BC142" s="169"/>
      <c r="BD142" s="169"/>
      <c r="BE142" s="169"/>
      <c r="BF142" s="169"/>
      <c r="BG142" s="169"/>
      <c r="BH142" s="169"/>
      <c r="BI142" s="169"/>
      <c r="BJ142" s="169"/>
      <c r="BK142" s="169"/>
      <c r="BL142" s="169"/>
      <c r="BM142" s="169"/>
      <c r="BN142" s="169"/>
      <c r="BO142" s="169"/>
      <c r="BP142" s="169"/>
      <c r="BQ142" s="169"/>
      <c r="BR142" s="169"/>
      <c r="BS142" s="169"/>
      <c r="BT142" s="169"/>
    </row>
    <row r="143" spans="2:72" s="168" customFormat="1" ht="16.2" thickBot="1">
      <c r="B143" s="1027" t="s">
        <v>127</v>
      </c>
      <c r="C143" s="1028"/>
      <c r="D143" s="1028">
        <f>D141-D142</f>
        <v>9760</v>
      </c>
      <c r="E143" s="1028">
        <f t="shared" ref="E143:AM143" si="150">E141-E142</f>
        <v>0</v>
      </c>
      <c r="F143" s="1028">
        <f t="shared" si="150"/>
        <v>50000</v>
      </c>
      <c r="G143" s="1028">
        <f t="shared" si="150"/>
        <v>0</v>
      </c>
      <c r="H143" s="1028">
        <f t="shared" si="150"/>
        <v>0</v>
      </c>
      <c r="I143" s="1028">
        <f t="shared" si="150"/>
        <v>0</v>
      </c>
      <c r="J143" s="1028">
        <f t="shared" si="150"/>
        <v>0</v>
      </c>
      <c r="K143" s="1028">
        <f t="shared" si="150"/>
        <v>0</v>
      </c>
      <c r="L143" s="1028">
        <f t="shared" si="150"/>
        <v>0</v>
      </c>
      <c r="M143" s="1028">
        <f t="shared" si="150"/>
        <v>0</v>
      </c>
      <c r="N143" s="1028">
        <f t="shared" si="150"/>
        <v>0</v>
      </c>
      <c r="O143" s="1057">
        <f t="shared" si="150"/>
        <v>0</v>
      </c>
      <c r="P143" s="1028">
        <f>P141-P142</f>
        <v>53256</v>
      </c>
      <c r="Q143" s="1028">
        <f t="shared" si="150"/>
        <v>0</v>
      </c>
      <c r="R143" s="1028">
        <f t="shared" si="150"/>
        <v>53256</v>
      </c>
      <c r="S143" s="1028">
        <f t="shared" si="150"/>
        <v>0</v>
      </c>
      <c r="T143" s="1028">
        <f t="shared" si="150"/>
        <v>0</v>
      </c>
      <c r="U143" s="1028">
        <f t="shared" si="150"/>
        <v>0</v>
      </c>
      <c r="V143" s="1028">
        <f t="shared" si="150"/>
        <v>0</v>
      </c>
      <c r="W143" s="1028">
        <f t="shared" si="150"/>
        <v>0</v>
      </c>
      <c r="X143" s="1028">
        <f t="shared" si="150"/>
        <v>0</v>
      </c>
      <c r="Y143" s="1028">
        <f t="shared" si="150"/>
        <v>0</v>
      </c>
      <c r="Z143" s="1028">
        <f t="shared" si="150"/>
        <v>0</v>
      </c>
      <c r="AA143" s="1057">
        <f t="shared" si="150"/>
        <v>0</v>
      </c>
      <c r="AB143" s="1028">
        <f>AB141-AB142</f>
        <v>276080</v>
      </c>
      <c r="AC143" s="1028">
        <f t="shared" si="150"/>
        <v>0</v>
      </c>
      <c r="AD143" s="1028">
        <f t="shared" si="150"/>
        <v>0</v>
      </c>
      <c r="AE143" s="1028">
        <f t="shared" si="150"/>
        <v>276080</v>
      </c>
      <c r="AF143" s="1028">
        <f t="shared" si="150"/>
        <v>0</v>
      </c>
      <c r="AG143" s="1028">
        <f t="shared" si="150"/>
        <v>0</v>
      </c>
      <c r="AH143" s="1028">
        <f t="shared" si="150"/>
        <v>0</v>
      </c>
      <c r="AI143" s="1028">
        <f t="shared" si="150"/>
        <v>0</v>
      </c>
      <c r="AJ143" s="1028">
        <f t="shared" si="150"/>
        <v>0</v>
      </c>
      <c r="AK143" s="1028">
        <f t="shared" si="150"/>
        <v>0</v>
      </c>
      <c r="AL143" s="1028">
        <f t="shared" si="150"/>
        <v>0</v>
      </c>
      <c r="AM143" s="1028">
        <f t="shared" si="150"/>
        <v>0</v>
      </c>
      <c r="AN143" s="169"/>
      <c r="AO143" s="169"/>
      <c r="AP143" s="169"/>
      <c r="AQ143" s="169"/>
      <c r="AR143" s="169"/>
      <c r="AS143" s="169"/>
      <c r="AT143" s="169"/>
      <c r="AU143" s="169"/>
      <c r="AV143" s="169"/>
      <c r="AW143" s="169"/>
      <c r="AX143" s="169"/>
      <c r="AY143" s="169"/>
      <c r="AZ143" s="169"/>
      <c r="BA143" s="169"/>
      <c r="BB143" s="169"/>
      <c r="BC143" s="169"/>
      <c r="BD143" s="169"/>
      <c r="BE143" s="169"/>
      <c r="BF143" s="169"/>
      <c r="BG143" s="169"/>
      <c r="BH143" s="169"/>
      <c r="BI143" s="169"/>
      <c r="BJ143" s="169"/>
      <c r="BK143" s="169"/>
      <c r="BL143" s="169"/>
      <c r="BM143" s="169"/>
      <c r="BN143" s="169"/>
      <c r="BO143" s="169"/>
      <c r="BP143" s="169"/>
      <c r="BQ143" s="169"/>
      <c r="BR143" s="169"/>
    </row>
    <row r="144" spans="2:72" ht="16.8" thickTop="1" thickBot="1">
      <c r="D144" s="68"/>
      <c r="E144" s="68"/>
      <c r="F144" s="68"/>
      <c r="G144" s="68"/>
      <c r="H144" s="68"/>
      <c r="I144" s="68"/>
      <c r="J144" s="68"/>
      <c r="K144" s="68"/>
      <c r="L144" s="68"/>
      <c r="M144" s="68"/>
      <c r="N144" s="68"/>
      <c r="O144" s="1037"/>
      <c r="P144" s="68"/>
      <c r="Q144" s="67"/>
      <c r="R144" s="67"/>
      <c r="S144" s="67"/>
      <c r="T144" s="67"/>
      <c r="U144" s="67"/>
      <c r="V144" s="67"/>
      <c r="W144" s="67"/>
      <c r="X144" s="67"/>
      <c r="Y144" s="67"/>
      <c r="Z144" s="67"/>
      <c r="AA144" s="1037"/>
      <c r="AB144" s="68"/>
      <c r="AC144" s="67"/>
      <c r="AD144" s="67"/>
      <c r="AE144" s="67"/>
      <c r="AF144" s="67"/>
      <c r="AG144" s="67"/>
      <c r="AH144" s="67"/>
      <c r="AI144" s="67"/>
      <c r="AJ144" s="67"/>
      <c r="AK144" s="67"/>
      <c r="AL144" s="67"/>
      <c r="AM144" s="67"/>
      <c r="AN144" s="72"/>
      <c r="AO144" s="72"/>
      <c r="AP144" s="72"/>
      <c r="AQ144" s="72"/>
      <c r="AR144" s="72"/>
      <c r="AS144" s="72"/>
      <c r="AT144" s="72"/>
      <c r="AU144" s="72"/>
      <c r="AV144" s="72"/>
      <c r="AW144" s="72"/>
      <c r="AX144" s="72"/>
      <c r="AY144" s="72"/>
      <c r="AZ144" s="72"/>
      <c r="BA144" s="72"/>
      <c r="BB144" s="72"/>
      <c r="BC144" s="72"/>
      <c r="BD144" s="72"/>
      <c r="BE144" s="72"/>
      <c r="BF144" s="72"/>
      <c r="BG144" s="72"/>
      <c r="BH144" s="72"/>
      <c r="BI144" s="72"/>
      <c r="BJ144" s="72"/>
      <c r="BK144" s="72"/>
      <c r="BL144" s="72"/>
      <c r="BM144" s="72"/>
      <c r="BN144" s="72"/>
      <c r="BO144" s="72"/>
      <c r="BP144" s="72"/>
      <c r="BQ144" s="72"/>
      <c r="BR144" s="72"/>
    </row>
    <row r="145" spans="2:70" ht="16.2" thickTop="1">
      <c r="B145" s="1011" t="s">
        <v>132</v>
      </c>
      <c r="D145" s="68"/>
      <c r="E145" s="68"/>
      <c r="F145" s="68"/>
      <c r="G145" s="68"/>
      <c r="H145" s="68"/>
      <c r="I145" s="68"/>
      <c r="J145" s="68"/>
      <c r="K145" s="68"/>
      <c r="L145" s="68"/>
      <c r="M145" s="68"/>
      <c r="N145" s="68"/>
      <c r="O145" s="1037"/>
      <c r="P145" s="68"/>
      <c r="Q145" s="67"/>
      <c r="R145" s="67"/>
      <c r="S145" s="67"/>
      <c r="T145" s="67"/>
      <c r="U145" s="67"/>
      <c r="V145" s="67"/>
      <c r="W145" s="67"/>
      <c r="X145" s="67"/>
      <c r="Y145" s="67"/>
      <c r="Z145" s="67"/>
      <c r="AA145" s="1037"/>
      <c r="AB145" s="68"/>
      <c r="AC145" s="67"/>
      <c r="AD145" s="67"/>
      <c r="AE145" s="67"/>
      <c r="AF145" s="67"/>
      <c r="AG145" s="67"/>
      <c r="AH145" s="67"/>
      <c r="AI145" s="67"/>
      <c r="AJ145" s="67"/>
      <c r="AK145" s="67"/>
      <c r="AL145" s="67"/>
      <c r="AM145" s="67"/>
      <c r="AN145" s="72"/>
      <c r="AO145" s="72"/>
      <c r="AP145" s="72"/>
      <c r="AQ145" s="72"/>
      <c r="AR145" s="72"/>
      <c r="AS145" s="72"/>
      <c r="AT145" s="72"/>
      <c r="AU145" s="72"/>
      <c r="AV145" s="72"/>
      <c r="AW145" s="72"/>
      <c r="AX145" s="72"/>
      <c r="AY145" s="72"/>
      <c r="AZ145" s="72"/>
      <c r="BA145" s="72"/>
      <c r="BB145" s="72"/>
      <c r="BC145" s="72"/>
      <c r="BD145" s="72"/>
      <c r="BE145" s="72"/>
      <c r="BF145" s="72"/>
      <c r="BG145" s="72"/>
      <c r="BH145" s="72"/>
      <c r="BI145" s="72"/>
      <c r="BJ145" s="72"/>
      <c r="BK145" s="72"/>
      <c r="BL145" s="72"/>
      <c r="BM145" s="72"/>
      <c r="BN145" s="72"/>
      <c r="BO145" s="72"/>
      <c r="BP145" s="72"/>
      <c r="BQ145" s="72"/>
      <c r="BR145" s="72"/>
    </row>
    <row r="146" spans="2:70">
      <c r="B146" s="1012" t="s">
        <v>133</v>
      </c>
      <c r="D146" s="1002">
        <f>'Profit &amp; Loss Ecommerce'!D66</f>
        <v>500000</v>
      </c>
      <c r="E146" s="1002"/>
      <c r="F146" s="1002"/>
      <c r="G146" s="1002"/>
      <c r="H146" s="1002"/>
      <c r="I146" s="1002"/>
      <c r="J146" s="1002"/>
      <c r="K146" s="1002"/>
      <c r="L146" s="1002"/>
      <c r="M146" s="1002"/>
      <c r="N146" s="1002"/>
      <c r="O146" s="1047"/>
      <c r="P146" s="1002"/>
      <c r="Q146" s="999"/>
      <c r="R146" s="999"/>
      <c r="S146" s="999"/>
      <c r="T146" s="999"/>
      <c r="U146" s="999"/>
      <c r="V146" s="999"/>
      <c r="W146" s="999"/>
      <c r="X146" s="999"/>
      <c r="Y146" s="999"/>
      <c r="Z146" s="999"/>
      <c r="AA146" s="1047"/>
      <c r="AB146" s="1002"/>
      <c r="AC146" s="999"/>
      <c r="AD146" s="999"/>
      <c r="AE146" s="999"/>
      <c r="AF146" s="999"/>
      <c r="AG146" s="999"/>
      <c r="AH146" s="999"/>
      <c r="AI146" s="999"/>
      <c r="AJ146" s="999"/>
      <c r="AK146" s="999"/>
      <c r="AL146" s="999"/>
      <c r="AM146" s="999"/>
      <c r="AN146" s="72"/>
      <c r="AO146" s="72"/>
      <c r="AP146" s="72"/>
      <c r="AQ146" s="72"/>
      <c r="AR146" s="72"/>
      <c r="AS146" s="72"/>
      <c r="AT146" s="72"/>
      <c r="AU146" s="72"/>
      <c r="AV146" s="72"/>
      <c r="AW146" s="72"/>
      <c r="AX146" s="72"/>
      <c r="AY146" s="72"/>
      <c r="AZ146" s="72"/>
      <c r="BA146" s="72"/>
      <c r="BB146" s="72"/>
      <c r="BC146" s="72"/>
      <c r="BD146" s="72"/>
      <c r="BE146" s="72"/>
      <c r="BF146" s="72"/>
      <c r="BG146" s="72"/>
      <c r="BH146" s="72"/>
      <c r="BI146" s="72"/>
      <c r="BJ146" s="72"/>
      <c r="BK146" s="72"/>
      <c r="BL146" s="72"/>
      <c r="BM146" s="72"/>
      <c r="BN146" s="72"/>
      <c r="BO146" s="72"/>
      <c r="BP146" s="72"/>
      <c r="BQ146" s="72"/>
      <c r="BR146" s="72"/>
    </row>
    <row r="147" spans="2:70" ht="16.2" thickBot="1">
      <c r="B147" s="1014" t="s">
        <v>134</v>
      </c>
      <c r="D147" s="995">
        <f>IF(D8&gt;'Profit &amp; Loss Ecommerce'!$D68,0,PPMT('Profit &amp; Loss Ecommerce'!$D67/12,D8,'Profit &amp; Loss Ecommerce'!$D68,-'Profit &amp; Loss Ecommerce'!$D66))</f>
        <v>7352.283488672133</v>
      </c>
      <c r="E147" s="995">
        <f>IF(E8&gt;'Profit &amp; Loss Ecommerce'!$D68,0,PPMT('Profit &amp; Loss Ecommerce'!$D67/12,E8,'Profit &amp; Loss Ecommerce'!$D68,-'Profit &amp; Loss Ecommerce'!$D66))</f>
        <v>7382.9180032082677</v>
      </c>
      <c r="F147" s="995">
        <f>IF(F8&gt;'Profit &amp; Loss Ecommerce'!$D68,0,PPMT('Profit &amp; Loss Ecommerce'!$D67/12,F8,'Profit &amp; Loss Ecommerce'!$D68,-'Profit &amp; Loss Ecommerce'!$D66))</f>
        <v>7413.6801615549684</v>
      </c>
      <c r="G147" s="995">
        <f>IF(G8&gt;'Profit &amp; Loss Ecommerce'!$D68,0,PPMT('Profit &amp; Loss Ecommerce'!$D67/12,G8,'Profit &amp; Loss Ecommerce'!$D68,-'Profit &amp; Loss Ecommerce'!$D66))</f>
        <v>7444.5704955614483</v>
      </c>
      <c r="H147" s="995">
        <f>IF(H8&gt;'Profit &amp; Loss Ecommerce'!$D68,0,PPMT('Profit &amp; Loss Ecommerce'!$D67/12,H8,'Profit &amp; Loss Ecommerce'!$D68,-'Profit &amp; Loss Ecommerce'!$D66))</f>
        <v>7475.5895392929542</v>
      </c>
      <c r="I147" s="995">
        <f>IF(I8&gt;'Profit &amp; Loss Ecommerce'!$D68,0,PPMT('Profit &amp; Loss Ecommerce'!$D67/12,I8,'Profit &amp; Loss Ecommerce'!$D68,-'Profit &amp; Loss Ecommerce'!$D66))</f>
        <v>7506.7378290400075</v>
      </c>
      <c r="J147" s="995">
        <f>IF(J8&gt;'Profit &amp; Loss Ecommerce'!$D68,0,PPMT('Profit &amp; Loss Ecommerce'!$D67/12,J8,'Profit &amp; Loss Ecommerce'!$D68,-'Profit &amp; Loss Ecommerce'!$D66))</f>
        <v>7538.0159033276741</v>
      </c>
      <c r="K147" s="995">
        <f>IF(K8&gt;'Profit &amp; Loss Ecommerce'!$D68,0,PPMT('Profit &amp; Loss Ecommerce'!$D67/12,K8,'Profit &amp; Loss Ecommerce'!$D68,-'Profit &amp; Loss Ecommerce'!$D66))</f>
        <v>7569.4243029248728</v>
      </c>
      <c r="L147" s="995">
        <f>IF(L8&gt;'Profit &amp; Loss Ecommerce'!$D68,0,PPMT('Profit &amp; Loss Ecommerce'!$D67/12,L8,'Profit &amp; Loss Ecommerce'!$D68,-'Profit &amp; Loss Ecommerce'!$D66))</f>
        <v>7600.9635708537271</v>
      </c>
      <c r="M147" s="995">
        <f>IF(M8&gt;'Profit &amp; Loss Ecommerce'!$D68,0,PPMT('Profit &amp; Loss Ecommerce'!$D67/12,M8,'Profit &amp; Loss Ecommerce'!$D68,-'Profit &amp; Loss Ecommerce'!$D66))</f>
        <v>7632.6342523989506</v>
      </c>
      <c r="N147" s="995">
        <f>IF(N8&gt;'Profit &amp; Loss Ecommerce'!$D68,0,PPMT('Profit &amp; Loss Ecommerce'!$D67/12,N8,'Profit &amp; Loss Ecommerce'!$D68,-'Profit &amp; Loss Ecommerce'!$D66))</f>
        <v>7664.4368951172801</v>
      </c>
      <c r="O147" s="1043">
        <f>IF(O8&gt;'Profit &amp; Loss Ecommerce'!$D68,0,PPMT('Profit &amp; Loss Ecommerce'!$D67/12,O8,'Profit &amp; Loss Ecommerce'!$D68,-'Profit &amp; Loss Ecommerce'!$D66))</f>
        <v>7696.3720488469362</v>
      </c>
      <c r="P147" s="995">
        <f>IF(P8&gt;'Profit &amp; Loss Ecommerce'!$D68,0,PPMT('Profit &amp; Loss Ecommerce'!$D67/12,P8,'Profit &amp; Loss Ecommerce'!$D68,-'Profit &amp; Loss Ecommerce'!$D66))</f>
        <v>7728.4402657171304</v>
      </c>
      <c r="Q147" s="995">
        <f>IF(Q8&gt;'Profit &amp; Loss Ecommerce'!$D68,0,PPMT('Profit &amp; Loss Ecommerce'!$D67/12,Q8,'Profit &amp; Loss Ecommerce'!$D68,-'Profit &amp; Loss Ecommerce'!$D66))</f>
        <v>7760.6421001576173</v>
      </c>
      <c r="R147" s="995">
        <f>IF(R8&gt;'Profit &amp; Loss Ecommerce'!$D68,0,PPMT('Profit &amp; Loss Ecommerce'!$D67/12,R8,'Profit &amp; Loss Ecommerce'!$D68,-'Profit &amp; Loss Ecommerce'!$D66))</f>
        <v>7792.9781089082753</v>
      </c>
      <c r="S147" s="995">
        <f>IF(S8&gt;'Profit &amp; Loss Ecommerce'!$D68,0,PPMT('Profit &amp; Loss Ecommerce'!$D67/12,S8,'Profit &amp; Loss Ecommerce'!$D68,-'Profit &amp; Loss Ecommerce'!$D66))</f>
        <v>7825.4488510287256</v>
      </c>
      <c r="T147" s="995">
        <f>IF(T8&gt;'Profit &amp; Loss Ecommerce'!$D68,0,PPMT('Profit &amp; Loss Ecommerce'!$D67/12,T8,'Profit &amp; Loss Ecommerce'!$D68,-'Profit &amp; Loss Ecommerce'!$D66))</f>
        <v>7858.0548879080125</v>
      </c>
      <c r="U147" s="995">
        <f>IF(U8&gt;'Profit &amp; Loss Ecommerce'!$D68,0,PPMT('Profit &amp; Loss Ecommerce'!$D67/12,U8,'Profit &amp; Loss Ecommerce'!$D68,-'Profit &amp; Loss Ecommerce'!$D66))</f>
        <v>7890.796783274297</v>
      </c>
      <c r="V147" s="995">
        <f>IF(V8&gt;'Profit &amp; Loss Ecommerce'!$D68,0,PPMT('Profit &amp; Loss Ecommerce'!$D67/12,V8,'Profit &amp; Loss Ecommerce'!$D68,-'Profit &amp; Loss Ecommerce'!$D66))</f>
        <v>7923.6751032046059</v>
      </c>
      <c r="W147" s="995">
        <f>IF(W8&gt;'Profit &amp; Loss Ecommerce'!$D68,0,PPMT('Profit &amp; Loss Ecommerce'!$D67/12,W8,'Profit &amp; Loss Ecommerce'!$D68,-'Profit &amp; Loss Ecommerce'!$D66))</f>
        <v>7956.6904161346247</v>
      </c>
      <c r="X147" s="995">
        <f>IF(X8&gt;'Profit &amp; Loss Ecommerce'!$D68,0,PPMT('Profit &amp; Loss Ecommerce'!$D67/12,X8,'Profit &amp; Loss Ecommerce'!$D68,-'Profit &amp; Loss Ecommerce'!$D66))</f>
        <v>7989.8432928685188</v>
      </c>
      <c r="Y147" s="995">
        <f>IF(Y8&gt;'Profit &amp; Loss Ecommerce'!$D68,0,PPMT('Profit &amp; Loss Ecommerce'!$D67/12,Y8,'Profit &amp; Loss Ecommerce'!$D68,-'Profit &amp; Loss Ecommerce'!$D66))</f>
        <v>8023.1343065888041</v>
      </c>
      <c r="Z147" s="995">
        <f>IF(Z8&gt;'Profit &amp; Loss Ecommerce'!$D68,0,PPMT('Profit &amp; Loss Ecommerce'!$D67/12,Z8,'Profit &amp; Loss Ecommerce'!$D68,-'Profit &amp; Loss Ecommerce'!$D66))</f>
        <v>8056.5640328662585</v>
      </c>
      <c r="AA147" s="1043">
        <f>IF(AA8&gt;'Profit &amp; Loss Ecommerce'!$D68,0,PPMT('Profit &amp; Loss Ecommerce'!$D67/12,AA8,'Profit &amp; Loss Ecommerce'!$D68,-'Profit &amp; Loss Ecommerce'!$D66))</f>
        <v>8090.1330496698665</v>
      </c>
      <c r="AB147" s="995">
        <f>IF(AB8&gt;'Profit &amp; Loss Ecommerce'!$D68,0,PPMT('Profit &amp; Loss Ecommerce'!$D67/12,AB8,'Profit &amp; Loss Ecommerce'!$D68,-'Profit &amp; Loss Ecommerce'!$D66))</f>
        <v>8123.8419373768247</v>
      </c>
      <c r="AC147" s="995">
        <f>IF(AC8&gt;'Profit &amp; Loss Ecommerce'!$D68,0,PPMT('Profit &amp; Loss Ecommerce'!$D67/12,AC8,'Profit &amp; Loss Ecommerce'!$D68,-'Profit &amp; Loss Ecommerce'!$D66))</f>
        <v>8157.6912787825613</v>
      </c>
      <c r="AD147" s="995">
        <f>IF(AD8&gt;'Profit &amp; Loss Ecommerce'!$D68,0,PPMT('Profit &amp; Loss Ecommerce'!$D67/12,AD8,'Profit &amp; Loss Ecommerce'!$D68,-'Profit &amp; Loss Ecommerce'!$D66))</f>
        <v>8191.6816591108227</v>
      </c>
      <c r="AE147" s="995">
        <f>IF(AE8&gt;'Profit &amp; Loss Ecommerce'!$D68,0,PPMT('Profit &amp; Loss Ecommerce'!$D67/12,AE8,'Profit &amp; Loss Ecommerce'!$D68,-'Profit &amp; Loss Ecommerce'!$D66))</f>
        <v>8225.8136660237851</v>
      </c>
      <c r="AF147" s="995">
        <f>IF(AF8&gt;'Profit &amp; Loss Ecommerce'!$D68,0,PPMT('Profit &amp; Loss Ecommerce'!$D67/12,AF8,'Profit &amp; Loss Ecommerce'!$D68,-'Profit &amp; Loss Ecommerce'!$D66))</f>
        <v>8260.0878896322174</v>
      </c>
      <c r="AG147" s="995">
        <f>IF(AG8&gt;'Profit &amp; Loss Ecommerce'!$D68,0,PPMT('Profit &amp; Loss Ecommerce'!$D67/12,AG8,'Profit &amp; Loss Ecommerce'!$D68,-'Profit &amp; Loss Ecommerce'!$D66))</f>
        <v>8294.5049225056846</v>
      </c>
      <c r="AH147" s="995">
        <f>IF(AH8&gt;'Profit &amp; Loss Ecommerce'!$D68,0,PPMT('Profit &amp; Loss Ecommerce'!$D67/12,AH8,'Profit &amp; Loss Ecommerce'!$D68,-'Profit &amp; Loss Ecommerce'!$D66))</f>
        <v>8329.0653596827906</v>
      </c>
      <c r="AI147" s="995">
        <f>IF(AI8&gt;'Profit &amp; Loss Ecommerce'!$D68,0,PPMT('Profit &amp; Loss Ecommerce'!$D67/12,AI8,'Profit &amp; Loss Ecommerce'!$D68,-'Profit &amp; Loss Ecommerce'!$D66))</f>
        <v>8363.7697986814692</v>
      </c>
      <c r="AJ147" s="995">
        <f>IF(AJ8&gt;'Profit &amp; Loss Ecommerce'!$D68,0,PPMT('Profit &amp; Loss Ecommerce'!$D67/12,AJ8,'Profit &amp; Loss Ecommerce'!$D68,-'Profit &amp; Loss Ecommerce'!$D66))</f>
        <v>8398.6188395093086</v>
      </c>
      <c r="AK147" s="995">
        <f>IF(AK8&gt;'Profit &amp; Loss Ecommerce'!$D68,0,PPMT('Profit &amp; Loss Ecommerce'!$D67/12,AK8,'Profit &amp; Loss Ecommerce'!$D68,-'Profit &amp; Loss Ecommerce'!$D66))</f>
        <v>8433.6130846739306</v>
      </c>
      <c r="AL147" s="995">
        <f>IF(AL8&gt;'Profit &amp; Loss Ecommerce'!$D68,0,PPMT('Profit &amp; Loss Ecommerce'!$D67/12,AL8,'Profit &amp; Loss Ecommerce'!$D68,-'Profit &amp; Loss Ecommerce'!$D66))</f>
        <v>8468.7531391934062</v>
      </c>
      <c r="AM147" s="995">
        <f>IF(AM8&gt;'Profit &amp; Loss Ecommerce'!$D68,0,PPMT('Profit &amp; Loss Ecommerce'!$D67/12,AM8,'Profit &amp; Loss Ecommerce'!$D68,-'Profit &amp; Loss Ecommerce'!$D66))</f>
        <v>8504.0396106067128</v>
      </c>
      <c r="AN147" s="72"/>
      <c r="AO147" s="72"/>
      <c r="AP147" s="72"/>
      <c r="AQ147" s="72"/>
      <c r="AR147" s="72"/>
      <c r="AS147" s="72"/>
      <c r="AT147" s="72"/>
      <c r="AU147" s="72"/>
      <c r="AV147" s="72"/>
      <c r="AW147" s="72"/>
      <c r="AX147" s="72"/>
      <c r="AY147" s="72"/>
      <c r="AZ147" s="72"/>
      <c r="BA147" s="72"/>
      <c r="BB147" s="72"/>
      <c r="BC147" s="72"/>
      <c r="BD147" s="72"/>
      <c r="BE147" s="72"/>
      <c r="BF147" s="72"/>
      <c r="BG147" s="72"/>
      <c r="BH147" s="72"/>
      <c r="BI147" s="72"/>
      <c r="BJ147" s="72"/>
      <c r="BK147" s="72"/>
      <c r="BL147" s="72"/>
      <c r="BM147" s="72"/>
      <c r="BN147" s="72"/>
      <c r="BO147" s="72"/>
      <c r="BP147" s="72"/>
      <c r="BQ147" s="72"/>
      <c r="BR147" s="72"/>
    </row>
    <row r="148" spans="2:70" ht="16.8" thickTop="1" thickBot="1">
      <c r="D148" s="68"/>
      <c r="E148" s="68"/>
      <c r="F148" s="68"/>
      <c r="G148" s="68"/>
      <c r="H148" s="68"/>
      <c r="I148" s="68"/>
      <c r="J148" s="68"/>
      <c r="K148" s="68"/>
      <c r="L148" s="68"/>
      <c r="M148" s="68"/>
      <c r="N148" s="68"/>
      <c r="O148" s="1037"/>
      <c r="P148" s="68"/>
      <c r="Q148" s="67"/>
      <c r="R148" s="67"/>
      <c r="S148" s="67"/>
      <c r="T148" s="67"/>
      <c r="U148" s="67"/>
      <c r="V148" s="67"/>
      <c r="W148" s="67"/>
      <c r="X148" s="67"/>
      <c r="Y148" s="67"/>
      <c r="Z148" s="67"/>
      <c r="AA148" s="1037"/>
      <c r="AB148" s="68"/>
      <c r="AC148" s="67"/>
      <c r="AD148" s="67"/>
      <c r="AE148" s="67"/>
      <c r="AF148" s="67"/>
      <c r="AG148" s="67"/>
      <c r="AH148" s="67"/>
      <c r="AI148" s="67"/>
      <c r="AJ148" s="67"/>
      <c r="AK148" s="67"/>
      <c r="AL148" s="67"/>
      <c r="AM148" s="67"/>
      <c r="AN148" s="72"/>
      <c r="AO148" s="72"/>
      <c r="AP148" s="72"/>
      <c r="AQ148" s="72"/>
      <c r="AR148" s="72"/>
      <c r="AS148" s="72"/>
      <c r="AT148" s="72"/>
      <c r="AU148" s="72"/>
      <c r="AV148" s="72"/>
      <c r="AW148" s="72"/>
      <c r="AX148" s="72"/>
      <c r="AY148" s="72"/>
      <c r="AZ148" s="72"/>
      <c r="BA148" s="72"/>
      <c r="BB148" s="72"/>
      <c r="BC148" s="72"/>
      <c r="BD148" s="72"/>
      <c r="BE148" s="72"/>
      <c r="BF148" s="72"/>
      <c r="BG148" s="72"/>
      <c r="BH148" s="72"/>
      <c r="BI148" s="72"/>
      <c r="BJ148" s="72"/>
      <c r="BK148" s="72"/>
      <c r="BL148" s="72"/>
      <c r="BM148" s="72"/>
      <c r="BN148" s="72"/>
      <c r="BO148" s="72"/>
      <c r="BP148" s="72"/>
      <c r="BQ148" s="72"/>
      <c r="BR148" s="72"/>
    </row>
    <row r="149" spans="2:70" ht="16.2" thickTop="1">
      <c r="B149" s="1011" t="s">
        <v>135</v>
      </c>
      <c r="D149" s="68"/>
      <c r="E149" s="68"/>
      <c r="F149" s="68"/>
      <c r="G149" s="68"/>
      <c r="H149" s="68"/>
      <c r="I149" s="68"/>
      <c r="J149" s="68"/>
      <c r="K149" s="68"/>
      <c r="L149" s="68"/>
      <c r="M149" s="68"/>
      <c r="N149" s="68"/>
      <c r="O149" s="1037"/>
      <c r="P149" s="68"/>
      <c r="Q149" s="67"/>
      <c r="R149" s="67"/>
      <c r="S149" s="67"/>
      <c r="T149" s="67"/>
      <c r="U149" s="67"/>
      <c r="V149" s="67"/>
      <c r="W149" s="67"/>
      <c r="X149" s="67"/>
      <c r="Y149" s="67"/>
      <c r="Z149" s="67"/>
      <c r="AA149" s="1037"/>
      <c r="AB149" s="68"/>
      <c r="AC149" s="67"/>
      <c r="AD149" s="67"/>
      <c r="AE149" s="67"/>
      <c r="AF149" s="67"/>
      <c r="AG149" s="67"/>
      <c r="AH149" s="67"/>
      <c r="AI149" s="67"/>
      <c r="AJ149" s="67"/>
      <c r="AK149" s="67"/>
      <c r="AL149" s="67"/>
      <c r="AM149" s="67"/>
      <c r="AN149" s="72"/>
      <c r="AO149" s="72"/>
      <c r="AP149" s="72"/>
      <c r="AQ149" s="72"/>
      <c r="AR149" s="72"/>
      <c r="AS149" s="72"/>
      <c r="AT149" s="72"/>
      <c r="AU149" s="72"/>
      <c r="AV149" s="72"/>
      <c r="AW149" s="72"/>
      <c r="AX149" s="72"/>
      <c r="AY149" s="72"/>
      <c r="AZ149" s="72"/>
      <c r="BA149" s="72"/>
      <c r="BB149" s="72"/>
      <c r="BC149" s="72"/>
      <c r="BD149" s="72"/>
      <c r="BE149" s="72"/>
      <c r="BF149" s="72"/>
      <c r="BG149" s="72"/>
      <c r="BH149" s="72"/>
      <c r="BI149" s="72"/>
      <c r="BJ149" s="72"/>
      <c r="BK149" s="72"/>
      <c r="BL149" s="72"/>
      <c r="BM149" s="72"/>
      <c r="BN149" s="72"/>
      <c r="BO149" s="72"/>
      <c r="BP149" s="72"/>
      <c r="BQ149" s="72"/>
      <c r="BR149" s="72"/>
    </row>
    <row r="150" spans="2:70">
      <c r="B150" s="1012" t="s">
        <v>136</v>
      </c>
      <c r="D150" s="1033">
        <f>'Profit &amp; Loss Ecommerce'!$D$71</f>
        <v>40000</v>
      </c>
      <c r="E150" s="1002"/>
      <c r="F150" s="1002"/>
      <c r="G150" s="1002"/>
      <c r="H150" s="1002"/>
      <c r="I150" s="1002"/>
      <c r="J150" s="1002"/>
      <c r="K150" s="1002"/>
      <c r="L150" s="1002"/>
      <c r="M150" s="1002"/>
      <c r="N150" s="1002"/>
      <c r="O150" s="1047"/>
      <c r="P150" s="1002"/>
      <c r="Q150" s="999"/>
      <c r="R150" s="999"/>
      <c r="S150" s="999"/>
      <c r="T150" s="999"/>
      <c r="U150" s="999"/>
      <c r="V150" s="999"/>
      <c r="W150" s="999"/>
      <c r="X150" s="999"/>
      <c r="Y150" s="999"/>
      <c r="Z150" s="999"/>
      <c r="AA150" s="1047"/>
      <c r="AB150" s="1002"/>
      <c r="AC150" s="999"/>
      <c r="AD150" s="999"/>
      <c r="AE150" s="999"/>
      <c r="AF150" s="999"/>
      <c r="AG150" s="999"/>
      <c r="AH150" s="999"/>
      <c r="AI150" s="999"/>
      <c r="AJ150" s="999"/>
      <c r="AK150" s="999"/>
      <c r="AL150" s="999"/>
      <c r="AM150" s="999"/>
      <c r="AN150" s="72"/>
      <c r="AO150" s="72"/>
      <c r="AP150" s="72"/>
      <c r="AQ150" s="72"/>
      <c r="AR150" s="72"/>
      <c r="AS150" s="72"/>
      <c r="AT150" s="72"/>
      <c r="AU150" s="72"/>
      <c r="AV150" s="72"/>
      <c r="AW150" s="72"/>
      <c r="AX150" s="72"/>
      <c r="AY150" s="72"/>
      <c r="AZ150" s="72"/>
      <c r="BA150" s="72"/>
      <c r="BB150" s="72"/>
      <c r="BC150" s="72"/>
      <c r="BD150" s="72"/>
      <c r="BE150" s="72"/>
      <c r="BF150" s="72"/>
      <c r="BG150" s="72"/>
      <c r="BH150" s="72"/>
      <c r="BI150" s="72"/>
      <c r="BJ150" s="72"/>
      <c r="BK150" s="72"/>
      <c r="BL150" s="72"/>
      <c r="BM150" s="72"/>
      <c r="BN150" s="72"/>
      <c r="BO150" s="72"/>
      <c r="BP150" s="72"/>
      <c r="BQ150" s="72"/>
      <c r="BR150" s="72"/>
    </row>
    <row r="151" spans="2:70">
      <c r="B151" s="1012" t="s">
        <v>137</v>
      </c>
      <c r="D151" s="188"/>
      <c r="E151" s="188"/>
      <c r="F151" s="188"/>
      <c r="G151" s="188"/>
      <c r="H151" s="188"/>
      <c r="I151" s="188"/>
      <c r="J151" s="188">
        <v>5000</v>
      </c>
      <c r="K151" s="188"/>
      <c r="L151" s="188"/>
      <c r="M151" s="188"/>
      <c r="N151" s="188"/>
      <c r="O151" s="1056"/>
      <c r="P151" s="188"/>
      <c r="Q151" s="188">
        <v>5000</v>
      </c>
      <c r="R151" s="188"/>
      <c r="S151" s="188"/>
      <c r="T151" s="188"/>
      <c r="U151" s="188"/>
      <c r="V151" s="188"/>
      <c r="W151" s="188"/>
      <c r="X151" s="188"/>
      <c r="Y151" s="188"/>
      <c r="Z151" s="188"/>
      <c r="AA151" s="1056"/>
      <c r="AB151" s="188"/>
      <c r="AC151" s="188"/>
      <c r="AD151" s="188"/>
      <c r="AE151" s="188"/>
      <c r="AF151" s="188"/>
      <c r="AG151" s="188"/>
      <c r="AH151" s="188"/>
      <c r="AI151" s="188"/>
      <c r="AJ151" s="188"/>
      <c r="AK151" s="188"/>
      <c r="AL151" s="188"/>
      <c r="AM151" s="188"/>
      <c r="AN151" s="72"/>
      <c r="AO151" s="72"/>
      <c r="AP151" s="72"/>
      <c r="AQ151" s="72"/>
      <c r="AR151" s="72"/>
      <c r="AS151" s="72"/>
      <c r="AT151" s="72"/>
      <c r="AU151" s="72"/>
      <c r="AV151" s="72"/>
      <c r="AW151" s="72"/>
      <c r="AX151" s="72"/>
      <c r="AY151" s="72"/>
      <c r="AZ151" s="72"/>
      <c r="BA151" s="72"/>
      <c r="BB151" s="72"/>
      <c r="BC151" s="72"/>
      <c r="BD151" s="72"/>
      <c r="BE151" s="72"/>
      <c r="BF151" s="72"/>
      <c r="BG151" s="72"/>
      <c r="BH151" s="72"/>
      <c r="BI151" s="72"/>
      <c r="BJ151" s="72"/>
      <c r="BK151" s="72"/>
      <c r="BL151" s="72"/>
      <c r="BM151" s="72"/>
      <c r="BN151" s="72"/>
      <c r="BO151" s="72"/>
      <c r="BP151" s="72"/>
      <c r="BQ151" s="72"/>
      <c r="BR151" s="72"/>
    </row>
    <row r="152" spans="2:70">
      <c r="B152" s="1012" t="s">
        <v>222</v>
      </c>
      <c r="D152" s="995">
        <f>D150-D151</f>
        <v>40000</v>
      </c>
      <c r="E152" s="995">
        <f t="shared" ref="E152:AM152" si="151">E150-E151</f>
        <v>0</v>
      </c>
      <c r="F152" s="995">
        <f t="shared" si="151"/>
        <v>0</v>
      </c>
      <c r="G152" s="995">
        <f t="shared" si="151"/>
        <v>0</v>
      </c>
      <c r="H152" s="995">
        <f t="shared" si="151"/>
        <v>0</v>
      </c>
      <c r="I152" s="995">
        <f t="shared" si="151"/>
        <v>0</v>
      </c>
      <c r="J152" s="995">
        <f t="shared" si="151"/>
        <v>-5000</v>
      </c>
      <c r="K152" s="995">
        <f t="shared" si="151"/>
        <v>0</v>
      </c>
      <c r="L152" s="995">
        <f t="shared" si="151"/>
        <v>0</v>
      </c>
      <c r="M152" s="995">
        <f t="shared" si="151"/>
        <v>0</v>
      </c>
      <c r="N152" s="995">
        <f t="shared" si="151"/>
        <v>0</v>
      </c>
      <c r="O152" s="1043">
        <f t="shared" si="151"/>
        <v>0</v>
      </c>
      <c r="P152" s="995">
        <f t="shared" si="151"/>
        <v>0</v>
      </c>
      <c r="Q152" s="995">
        <f t="shared" si="151"/>
        <v>-5000</v>
      </c>
      <c r="R152" s="995">
        <f t="shared" si="151"/>
        <v>0</v>
      </c>
      <c r="S152" s="995">
        <f t="shared" si="151"/>
        <v>0</v>
      </c>
      <c r="T152" s="995">
        <f t="shared" si="151"/>
        <v>0</v>
      </c>
      <c r="U152" s="995">
        <f t="shared" si="151"/>
        <v>0</v>
      </c>
      <c r="V152" s="995">
        <f t="shared" si="151"/>
        <v>0</v>
      </c>
      <c r="W152" s="995">
        <f t="shared" si="151"/>
        <v>0</v>
      </c>
      <c r="X152" s="995">
        <f t="shared" si="151"/>
        <v>0</v>
      </c>
      <c r="Y152" s="995">
        <f t="shared" si="151"/>
        <v>0</v>
      </c>
      <c r="Z152" s="995">
        <f t="shared" si="151"/>
        <v>0</v>
      </c>
      <c r="AA152" s="1043">
        <f t="shared" si="151"/>
        <v>0</v>
      </c>
      <c r="AB152" s="995">
        <f t="shared" si="151"/>
        <v>0</v>
      </c>
      <c r="AC152" s="995">
        <f t="shared" si="151"/>
        <v>0</v>
      </c>
      <c r="AD152" s="995">
        <f t="shared" si="151"/>
        <v>0</v>
      </c>
      <c r="AE152" s="995">
        <f t="shared" si="151"/>
        <v>0</v>
      </c>
      <c r="AF152" s="995">
        <f t="shared" si="151"/>
        <v>0</v>
      </c>
      <c r="AG152" s="995">
        <f t="shared" si="151"/>
        <v>0</v>
      </c>
      <c r="AH152" s="995">
        <f t="shared" si="151"/>
        <v>0</v>
      </c>
      <c r="AI152" s="995">
        <f t="shared" si="151"/>
        <v>0</v>
      </c>
      <c r="AJ152" s="995">
        <f t="shared" si="151"/>
        <v>0</v>
      </c>
      <c r="AK152" s="995">
        <f t="shared" si="151"/>
        <v>0</v>
      </c>
      <c r="AL152" s="995">
        <f t="shared" si="151"/>
        <v>0</v>
      </c>
      <c r="AM152" s="995">
        <f t="shared" si="151"/>
        <v>0</v>
      </c>
      <c r="AN152" s="72"/>
      <c r="AO152" s="72"/>
      <c r="AP152" s="72"/>
      <c r="AQ152" s="72"/>
      <c r="AR152" s="72"/>
      <c r="AS152" s="72"/>
      <c r="AT152" s="72"/>
      <c r="AU152" s="72"/>
      <c r="AV152" s="72"/>
      <c r="AW152" s="72"/>
      <c r="AX152" s="72"/>
      <c r="AY152" s="72"/>
      <c r="AZ152" s="72"/>
      <c r="BA152" s="72"/>
      <c r="BB152" s="72"/>
      <c r="BC152" s="72"/>
      <c r="BD152" s="72"/>
      <c r="BE152" s="72"/>
      <c r="BF152" s="72"/>
      <c r="BG152" s="72"/>
      <c r="BH152" s="72"/>
      <c r="BI152" s="72"/>
      <c r="BJ152" s="72"/>
      <c r="BK152" s="72"/>
      <c r="BL152" s="72"/>
      <c r="BM152" s="72"/>
      <c r="BN152" s="72"/>
      <c r="BO152" s="72"/>
      <c r="BP152" s="72"/>
      <c r="BQ152" s="72"/>
      <c r="BR152" s="72"/>
    </row>
    <row r="153" spans="2:70">
      <c r="B153" s="1012"/>
      <c r="D153" s="1002"/>
      <c r="E153" s="1002"/>
      <c r="F153" s="1002"/>
      <c r="G153" s="1002"/>
      <c r="H153" s="1002"/>
      <c r="I153" s="1002"/>
      <c r="J153" s="1002"/>
      <c r="K153" s="1002"/>
      <c r="L153" s="1002"/>
      <c r="M153" s="1002"/>
      <c r="N153" s="1002"/>
      <c r="O153" s="1047"/>
      <c r="P153" s="1002"/>
      <c r="Q153" s="999"/>
      <c r="R153" s="999"/>
      <c r="S153" s="999"/>
      <c r="T153" s="999"/>
      <c r="U153" s="999"/>
      <c r="V153" s="999"/>
      <c r="W153" s="999"/>
      <c r="X153" s="999"/>
      <c r="Y153" s="999"/>
      <c r="Z153" s="999"/>
      <c r="AA153" s="1047"/>
      <c r="AB153" s="1002"/>
      <c r="AC153" s="999"/>
      <c r="AD153" s="999"/>
      <c r="AE153" s="999"/>
      <c r="AF153" s="999"/>
      <c r="AG153" s="999"/>
      <c r="AH153" s="999"/>
      <c r="AI153" s="999"/>
      <c r="AJ153" s="999"/>
      <c r="AK153" s="999"/>
      <c r="AL153" s="999"/>
      <c r="AM153" s="999"/>
      <c r="AN153" s="72"/>
      <c r="AO153" s="72"/>
      <c r="AP153" s="72"/>
      <c r="AQ153" s="72"/>
      <c r="AR153" s="72"/>
      <c r="AS153" s="72"/>
      <c r="AT153" s="72"/>
      <c r="AU153" s="72"/>
      <c r="AV153" s="72"/>
      <c r="AW153" s="72"/>
      <c r="AX153" s="72"/>
      <c r="AY153" s="72"/>
      <c r="AZ153" s="72"/>
      <c r="BA153" s="72"/>
      <c r="BB153" s="72"/>
      <c r="BC153" s="72"/>
      <c r="BD153" s="72"/>
      <c r="BE153" s="72"/>
      <c r="BF153" s="72"/>
      <c r="BG153" s="72"/>
      <c r="BH153" s="72"/>
      <c r="BI153" s="72"/>
      <c r="BJ153" s="72"/>
      <c r="BK153" s="72"/>
      <c r="BL153" s="72"/>
      <c r="BM153" s="72"/>
      <c r="BN153" s="72"/>
      <c r="BO153" s="72"/>
      <c r="BP153" s="72"/>
      <c r="BQ153" s="72"/>
      <c r="BR153" s="72"/>
    </row>
    <row r="154" spans="2:70" ht="16.2" thickBot="1">
      <c r="B154" s="1013" t="s">
        <v>138</v>
      </c>
      <c r="D154" s="188"/>
      <c r="E154" s="188"/>
      <c r="F154" s="188"/>
      <c r="G154" s="188"/>
      <c r="H154" s="188"/>
      <c r="I154" s="188"/>
      <c r="J154" s="188"/>
      <c r="K154" s="188"/>
      <c r="L154" s="188"/>
      <c r="M154" s="188"/>
      <c r="N154" s="188"/>
      <c r="O154" s="1056"/>
      <c r="P154" s="188"/>
      <c r="Q154" s="188"/>
      <c r="R154" s="188"/>
      <c r="S154" s="188"/>
      <c r="T154" s="188">
        <v>2000</v>
      </c>
      <c r="U154" s="188">
        <v>2000</v>
      </c>
      <c r="V154" s="188">
        <v>2000</v>
      </c>
      <c r="W154" s="188">
        <v>2000</v>
      </c>
      <c r="X154" s="188">
        <v>2000</v>
      </c>
      <c r="Y154" s="188">
        <v>2000</v>
      </c>
      <c r="Z154" s="188">
        <v>2000</v>
      </c>
      <c r="AA154" s="1056">
        <v>2000</v>
      </c>
      <c r="AB154" s="188">
        <v>3000</v>
      </c>
      <c r="AC154" s="188">
        <v>3000</v>
      </c>
      <c r="AD154" s="188">
        <v>3000</v>
      </c>
      <c r="AE154" s="188">
        <v>3000</v>
      </c>
      <c r="AF154" s="188">
        <v>3000</v>
      </c>
      <c r="AG154" s="188">
        <v>3000</v>
      </c>
      <c r="AH154" s="188">
        <v>3000</v>
      </c>
      <c r="AI154" s="188">
        <v>3000</v>
      </c>
      <c r="AJ154" s="188">
        <v>3000</v>
      </c>
      <c r="AK154" s="188">
        <v>3000</v>
      </c>
      <c r="AL154" s="188">
        <v>3000</v>
      </c>
      <c r="AM154" s="188">
        <v>3000</v>
      </c>
      <c r="AN154" s="72"/>
      <c r="AO154" s="72"/>
      <c r="AP154" s="72"/>
      <c r="AQ154" s="72"/>
      <c r="AR154" s="72"/>
      <c r="AS154" s="72"/>
      <c r="AT154" s="72"/>
      <c r="AU154" s="72"/>
      <c r="AV154" s="72"/>
      <c r="AW154" s="72"/>
      <c r="AX154" s="72"/>
      <c r="AY154" s="72"/>
      <c r="AZ154" s="72"/>
      <c r="BA154" s="72"/>
      <c r="BB154" s="72"/>
      <c r="BC154" s="72"/>
      <c r="BD154" s="72"/>
      <c r="BE154" s="72"/>
      <c r="BF154" s="72"/>
      <c r="BG154" s="72"/>
      <c r="BH154" s="72"/>
      <c r="BI154" s="72"/>
      <c r="BJ154" s="72"/>
      <c r="BK154" s="72"/>
      <c r="BL154" s="72"/>
      <c r="BM154" s="72"/>
      <c r="BN154" s="72"/>
      <c r="BO154" s="72"/>
      <c r="BP154" s="72"/>
      <c r="BQ154" s="72"/>
      <c r="BR154" s="72"/>
    </row>
    <row r="155" spans="2:70" ht="16.2" thickTop="1">
      <c r="D155" s="68"/>
      <c r="E155" s="68"/>
      <c r="F155" s="68"/>
      <c r="G155" s="68"/>
      <c r="H155" s="68"/>
      <c r="I155" s="68"/>
      <c r="J155" s="68"/>
      <c r="K155" s="68"/>
      <c r="L155" s="68"/>
      <c r="M155" s="68"/>
      <c r="N155" s="68"/>
      <c r="O155" s="1037"/>
      <c r="P155" s="68"/>
      <c r="Q155" s="67"/>
      <c r="R155" s="67"/>
      <c r="S155" s="67"/>
      <c r="T155" s="67"/>
      <c r="U155" s="67"/>
      <c r="V155" s="67"/>
      <c r="W155" s="67"/>
      <c r="X155" s="67"/>
      <c r="Y155" s="67"/>
      <c r="Z155" s="67"/>
      <c r="AA155" s="68"/>
      <c r="AB155" s="68"/>
      <c r="AC155" s="67"/>
      <c r="AD155" s="67"/>
      <c r="AE155" s="67"/>
      <c r="AF155" s="67"/>
      <c r="AG155" s="67"/>
      <c r="AH155" s="67"/>
      <c r="AI155" s="67"/>
      <c r="AJ155" s="67"/>
      <c r="AK155" s="67"/>
      <c r="AL155" s="67"/>
      <c r="AM155" s="67"/>
      <c r="AN155" s="72"/>
      <c r="AO155" s="72"/>
      <c r="AP155" s="72"/>
      <c r="AQ155" s="72"/>
      <c r="AR155" s="72"/>
      <c r="AS155" s="72"/>
      <c r="AT155" s="72"/>
      <c r="AU155" s="72"/>
      <c r="AV155" s="72"/>
      <c r="AW155" s="72"/>
      <c r="AX155" s="72"/>
      <c r="AY155" s="72"/>
      <c r="AZ155" s="72"/>
      <c r="BA155" s="72"/>
      <c r="BB155" s="72"/>
      <c r="BC155" s="72"/>
      <c r="BD155" s="72"/>
      <c r="BE155" s="72"/>
      <c r="BF155" s="72"/>
      <c r="BG155" s="72"/>
      <c r="BH155" s="72"/>
      <c r="BI155" s="72"/>
      <c r="BJ155" s="72"/>
      <c r="BK155" s="72"/>
      <c r="BL155" s="72"/>
      <c r="BM155" s="72"/>
      <c r="BN155" s="72"/>
      <c r="BO155" s="72"/>
      <c r="BP155" s="72"/>
      <c r="BQ155" s="72"/>
      <c r="BR155" s="72"/>
    </row>
    <row r="156" spans="2:70">
      <c r="D156" s="68"/>
      <c r="E156" s="68"/>
      <c r="F156" s="68"/>
      <c r="G156" s="68"/>
      <c r="H156" s="68"/>
      <c r="I156" s="68"/>
      <c r="J156" s="68"/>
      <c r="K156" s="68"/>
      <c r="L156" s="68"/>
      <c r="M156" s="68"/>
      <c r="N156" s="68"/>
      <c r="O156" s="68"/>
      <c r="P156" s="68"/>
      <c r="Q156" s="67"/>
      <c r="R156" s="67"/>
      <c r="S156" s="67"/>
      <c r="T156" s="67"/>
      <c r="U156" s="67"/>
      <c r="V156" s="67"/>
      <c r="W156" s="67"/>
      <c r="X156" s="67"/>
      <c r="Y156" s="67"/>
      <c r="Z156" s="67"/>
      <c r="AA156" s="68"/>
      <c r="AB156" s="68"/>
      <c r="AC156" s="67"/>
      <c r="AD156" s="67"/>
      <c r="AE156" s="67"/>
      <c r="AF156" s="67"/>
      <c r="AG156" s="67"/>
      <c r="AH156" s="67"/>
      <c r="AI156" s="67"/>
      <c r="AJ156" s="67"/>
      <c r="AK156" s="67"/>
      <c r="AL156" s="67"/>
      <c r="AM156" s="67"/>
      <c r="AN156" s="72"/>
      <c r="AO156" s="72"/>
      <c r="AP156" s="72"/>
      <c r="AQ156" s="72"/>
      <c r="AR156" s="72"/>
      <c r="AS156" s="72"/>
      <c r="AT156" s="72"/>
      <c r="AU156" s="72"/>
      <c r="AV156" s="72"/>
      <c r="AW156" s="72"/>
      <c r="AX156" s="72"/>
      <c r="AY156" s="72"/>
      <c r="AZ156" s="72"/>
      <c r="BA156" s="72"/>
      <c r="BB156" s="72"/>
      <c r="BC156" s="72"/>
      <c r="BD156" s="72"/>
      <c r="BE156" s="72"/>
      <c r="BF156" s="72"/>
      <c r="BG156" s="72"/>
      <c r="BH156" s="72"/>
      <c r="BI156" s="72"/>
      <c r="BJ156" s="72"/>
      <c r="BK156" s="72"/>
      <c r="BL156" s="72"/>
      <c r="BM156" s="72"/>
      <c r="BN156" s="72"/>
      <c r="BO156" s="72"/>
      <c r="BP156" s="72"/>
      <c r="BQ156" s="72"/>
      <c r="BR156" s="72"/>
    </row>
    <row r="157" spans="2:70">
      <c r="D157" s="68"/>
      <c r="E157" s="68"/>
      <c r="F157" s="68"/>
      <c r="G157" s="68"/>
      <c r="H157" s="68"/>
      <c r="I157" s="68"/>
      <c r="J157" s="68"/>
      <c r="K157" s="68"/>
      <c r="L157" s="68"/>
      <c r="M157" s="68"/>
      <c r="N157" s="68"/>
      <c r="O157" s="68"/>
      <c r="P157" s="68"/>
      <c r="Q157" s="67"/>
      <c r="R157" s="67"/>
      <c r="S157" s="67"/>
      <c r="T157" s="67"/>
      <c r="U157" s="67"/>
      <c r="V157" s="67"/>
      <c r="W157" s="67"/>
      <c r="X157" s="67"/>
      <c r="Y157" s="67"/>
      <c r="Z157" s="67"/>
      <c r="AA157" s="68"/>
      <c r="AB157" s="68"/>
      <c r="AC157" s="67"/>
      <c r="AD157" s="67"/>
      <c r="AE157" s="67"/>
      <c r="AF157" s="67"/>
      <c r="AG157" s="67"/>
      <c r="AH157" s="67"/>
      <c r="AI157" s="67"/>
      <c r="AJ157" s="67"/>
      <c r="AK157" s="67"/>
      <c r="AL157" s="67"/>
      <c r="AM157" s="67"/>
      <c r="AN157" s="72"/>
      <c r="AO157" s="72"/>
      <c r="AP157" s="72"/>
      <c r="AQ157" s="72"/>
      <c r="AR157" s="72"/>
      <c r="AS157" s="72"/>
      <c r="AT157" s="72"/>
      <c r="AU157" s="72"/>
      <c r="AV157" s="72"/>
      <c r="AW157" s="72"/>
      <c r="AX157" s="72"/>
      <c r="AY157" s="72"/>
      <c r="AZ157" s="72"/>
      <c r="BA157" s="72"/>
      <c r="BB157" s="72"/>
      <c r="BC157" s="72"/>
      <c r="BD157" s="72"/>
      <c r="BE157" s="72"/>
      <c r="BF157" s="72"/>
      <c r="BG157" s="72"/>
      <c r="BH157" s="72"/>
      <c r="BI157" s="72"/>
      <c r="BJ157" s="72"/>
      <c r="BK157" s="72"/>
      <c r="BL157" s="72"/>
      <c r="BM157" s="72"/>
      <c r="BN157" s="72"/>
      <c r="BO157" s="72"/>
      <c r="BP157" s="72"/>
      <c r="BQ157" s="72"/>
      <c r="BR157" s="72"/>
    </row>
    <row r="158" spans="2:70">
      <c r="D158" s="68"/>
      <c r="E158" s="68"/>
      <c r="F158" s="68"/>
      <c r="G158" s="68"/>
      <c r="H158" s="68"/>
      <c r="I158" s="68"/>
      <c r="J158" s="68"/>
      <c r="K158" s="68"/>
      <c r="L158" s="68"/>
      <c r="M158" s="68"/>
      <c r="N158" s="68"/>
      <c r="O158" s="68"/>
      <c r="P158" s="68"/>
      <c r="Q158" s="67"/>
      <c r="R158" s="67"/>
      <c r="S158" s="67"/>
      <c r="T158" s="67"/>
      <c r="U158" s="67"/>
      <c r="V158" s="67"/>
      <c r="W158" s="67"/>
      <c r="X158" s="67"/>
      <c r="Y158" s="67"/>
      <c r="Z158" s="67"/>
      <c r="AA158" s="68"/>
      <c r="AB158" s="68"/>
      <c r="AC158" s="67"/>
      <c r="AD158" s="67"/>
      <c r="AE158" s="67"/>
      <c r="AF158" s="67"/>
      <c r="AG158" s="67"/>
      <c r="AH158" s="67"/>
      <c r="AI158" s="67"/>
      <c r="AJ158" s="67"/>
      <c r="AK158" s="67"/>
      <c r="AL158" s="67"/>
      <c r="AM158" s="67"/>
      <c r="AN158" s="72"/>
      <c r="AO158" s="72"/>
      <c r="AP158" s="72"/>
      <c r="AQ158" s="72"/>
      <c r="AR158" s="72"/>
      <c r="AS158" s="72"/>
      <c r="AT158" s="72"/>
      <c r="AU158" s="72"/>
      <c r="AV158" s="72"/>
      <c r="AW158" s="72"/>
      <c r="AX158" s="72"/>
      <c r="AY158" s="72"/>
      <c r="AZ158" s="72"/>
      <c r="BA158" s="72"/>
      <c r="BB158" s="72"/>
      <c r="BC158" s="72"/>
      <c r="BD158" s="72"/>
      <c r="BE158" s="72"/>
      <c r="BF158" s="72"/>
      <c r="BG158" s="72"/>
      <c r="BH158" s="72"/>
      <c r="BI158" s="72"/>
      <c r="BJ158" s="72"/>
      <c r="BK158" s="72"/>
      <c r="BL158" s="72"/>
      <c r="BM158" s="72"/>
      <c r="BN158" s="72"/>
      <c r="BO158" s="72"/>
      <c r="BP158" s="72"/>
      <c r="BQ158" s="72"/>
      <c r="BR158" s="72"/>
    </row>
    <row r="159" spans="2:70">
      <c r="D159" s="68"/>
      <c r="E159" s="68"/>
      <c r="F159" s="68"/>
      <c r="G159" s="68"/>
      <c r="H159" s="68"/>
      <c r="I159" s="68"/>
      <c r="J159" s="68"/>
      <c r="K159" s="68"/>
      <c r="L159" s="68"/>
      <c r="M159" s="68"/>
      <c r="N159" s="68"/>
      <c r="O159" s="68"/>
      <c r="P159" s="68"/>
      <c r="Q159" s="67"/>
      <c r="R159" s="67"/>
      <c r="S159" s="67"/>
      <c r="T159" s="67"/>
      <c r="U159" s="67"/>
      <c r="V159" s="67"/>
      <c r="W159" s="67"/>
      <c r="X159" s="67"/>
      <c r="Y159" s="67"/>
      <c r="Z159" s="67"/>
      <c r="AA159" s="68"/>
      <c r="AB159" s="68"/>
      <c r="AC159" s="67"/>
      <c r="AD159" s="67"/>
      <c r="AE159" s="67"/>
      <c r="AF159" s="67"/>
      <c r="AG159" s="67"/>
      <c r="AH159" s="67"/>
      <c r="AI159" s="67"/>
      <c r="AJ159" s="67"/>
      <c r="AK159" s="67"/>
      <c r="AL159" s="67"/>
      <c r="AM159" s="67"/>
      <c r="AN159" s="72"/>
      <c r="AO159" s="72"/>
      <c r="AP159" s="72"/>
      <c r="AQ159" s="72"/>
      <c r="AR159" s="72"/>
      <c r="AS159" s="72"/>
      <c r="AT159" s="72"/>
      <c r="AU159" s="72"/>
      <c r="AV159" s="72"/>
      <c r="AW159" s="72"/>
      <c r="AX159" s="72"/>
      <c r="AY159" s="72"/>
      <c r="AZ159" s="72"/>
      <c r="BA159" s="72"/>
      <c r="BB159" s="72"/>
      <c r="BC159" s="72"/>
      <c r="BD159" s="72"/>
      <c r="BE159" s="72"/>
      <c r="BF159" s="72"/>
      <c r="BG159" s="72"/>
      <c r="BH159" s="72"/>
      <c r="BI159" s="72"/>
      <c r="BJ159" s="72"/>
      <c r="BK159" s="72"/>
      <c r="BL159" s="72"/>
      <c r="BM159" s="72"/>
      <c r="BN159" s="72"/>
      <c r="BO159" s="72"/>
      <c r="BP159" s="72"/>
      <c r="BQ159" s="72"/>
      <c r="BR159" s="72"/>
    </row>
    <row r="160" spans="2:70">
      <c r="D160" s="68"/>
      <c r="E160" s="68"/>
      <c r="F160" s="68"/>
      <c r="G160" s="68"/>
      <c r="H160" s="68"/>
      <c r="I160" s="68"/>
      <c r="J160" s="68"/>
      <c r="K160" s="68"/>
      <c r="L160" s="68"/>
      <c r="M160" s="68"/>
      <c r="N160" s="68"/>
      <c r="O160" s="68"/>
      <c r="P160" s="68"/>
      <c r="Q160" s="67"/>
      <c r="R160" s="67"/>
      <c r="S160" s="67"/>
      <c r="T160" s="67"/>
      <c r="U160" s="67"/>
      <c r="V160" s="67"/>
      <c r="W160" s="67"/>
      <c r="X160" s="67"/>
      <c r="Y160" s="67"/>
      <c r="Z160" s="67"/>
      <c r="AA160" s="68"/>
      <c r="AB160" s="68"/>
      <c r="AC160" s="67"/>
      <c r="AD160" s="67"/>
      <c r="AE160" s="67"/>
      <c r="AF160" s="67"/>
      <c r="AG160" s="67"/>
      <c r="AH160" s="67"/>
      <c r="AI160" s="67"/>
      <c r="AJ160" s="67"/>
      <c r="AK160" s="67"/>
      <c r="AL160" s="67"/>
      <c r="AM160" s="67"/>
      <c r="AN160" s="72"/>
      <c r="AO160" s="72"/>
      <c r="AP160" s="72"/>
      <c r="AQ160" s="72"/>
      <c r="AR160" s="72"/>
      <c r="AS160" s="72"/>
      <c r="AT160" s="72"/>
      <c r="AU160" s="72"/>
      <c r="AV160" s="72"/>
      <c r="AW160" s="72"/>
      <c r="AX160" s="72"/>
      <c r="AY160" s="72"/>
      <c r="AZ160" s="72"/>
      <c r="BA160" s="72"/>
      <c r="BB160" s="72"/>
      <c r="BC160" s="72"/>
      <c r="BD160" s="72"/>
      <c r="BE160" s="72"/>
      <c r="BF160" s="72"/>
      <c r="BG160" s="72"/>
      <c r="BH160" s="72"/>
      <c r="BI160" s="72"/>
      <c r="BJ160" s="72"/>
      <c r="BK160" s="72"/>
      <c r="BL160" s="72"/>
      <c r="BM160" s="72"/>
      <c r="BN160" s="72"/>
      <c r="BO160" s="72"/>
      <c r="BP160" s="72"/>
      <c r="BQ160" s="72"/>
      <c r="BR160" s="72"/>
    </row>
    <row r="161" spans="4:70">
      <c r="D161" s="68"/>
      <c r="E161" s="68"/>
      <c r="F161" s="68"/>
      <c r="G161" s="68"/>
      <c r="H161" s="68"/>
      <c r="I161" s="68"/>
      <c r="J161" s="68"/>
      <c r="K161" s="68"/>
      <c r="L161" s="68"/>
      <c r="M161" s="68"/>
      <c r="N161" s="68"/>
      <c r="O161" s="68"/>
      <c r="P161" s="68"/>
      <c r="Q161" s="67"/>
      <c r="R161" s="67"/>
      <c r="S161" s="67"/>
      <c r="T161" s="67"/>
      <c r="U161" s="67"/>
      <c r="V161" s="67"/>
      <c r="W161" s="67"/>
      <c r="X161" s="67"/>
      <c r="Y161" s="67"/>
      <c r="Z161" s="67"/>
      <c r="AA161" s="68"/>
      <c r="AB161" s="68"/>
      <c r="AC161" s="67"/>
      <c r="AD161" s="67"/>
      <c r="AE161" s="67"/>
      <c r="AF161" s="67"/>
      <c r="AG161" s="67"/>
      <c r="AH161" s="67"/>
      <c r="AI161" s="67"/>
      <c r="AJ161" s="67"/>
      <c r="AK161" s="67"/>
      <c r="AL161" s="67"/>
      <c r="AM161" s="67"/>
      <c r="AN161" s="72"/>
      <c r="AO161" s="72"/>
      <c r="AP161" s="72"/>
      <c r="AQ161" s="72"/>
      <c r="AR161" s="72"/>
      <c r="AS161" s="72"/>
      <c r="AT161" s="72"/>
      <c r="AU161" s="72"/>
      <c r="AV161" s="72"/>
      <c r="AW161" s="72"/>
      <c r="AX161" s="72"/>
      <c r="AY161" s="72"/>
      <c r="AZ161" s="72"/>
      <c r="BA161" s="72"/>
      <c r="BB161" s="72"/>
      <c r="BC161" s="72"/>
      <c r="BD161" s="72"/>
      <c r="BE161" s="72"/>
      <c r="BF161" s="72"/>
      <c r="BG161" s="72"/>
      <c r="BH161" s="72"/>
      <c r="BI161" s="72"/>
      <c r="BJ161" s="72"/>
      <c r="BK161" s="72"/>
      <c r="BL161" s="72"/>
      <c r="BM161" s="72"/>
      <c r="BN161" s="72"/>
      <c r="BO161" s="72"/>
      <c r="BP161" s="72"/>
      <c r="BQ161" s="72"/>
      <c r="BR161" s="72"/>
    </row>
    <row r="162" spans="4:70">
      <c r="D162" s="68"/>
      <c r="E162" s="68"/>
      <c r="F162" s="68"/>
      <c r="G162" s="68"/>
      <c r="H162" s="68"/>
      <c r="I162" s="68"/>
      <c r="J162" s="68"/>
      <c r="K162" s="68"/>
      <c r="L162" s="68"/>
      <c r="M162" s="68"/>
      <c r="N162" s="68"/>
      <c r="O162" s="68"/>
      <c r="P162" s="68"/>
      <c r="Q162" s="67"/>
      <c r="R162" s="67"/>
      <c r="S162" s="67"/>
      <c r="T162" s="67"/>
      <c r="U162" s="67"/>
      <c r="V162" s="67"/>
      <c r="W162" s="67"/>
      <c r="X162" s="67"/>
      <c r="Y162" s="67"/>
      <c r="Z162" s="67"/>
      <c r="AA162" s="68"/>
      <c r="AB162" s="68"/>
      <c r="AC162" s="67"/>
      <c r="AD162" s="67"/>
      <c r="AE162" s="67"/>
      <c r="AF162" s="67"/>
      <c r="AG162" s="67"/>
      <c r="AH162" s="67"/>
      <c r="AI162" s="67"/>
      <c r="AJ162" s="67"/>
      <c r="AK162" s="67"/>
      <c r="AL162" s="67"/>
      <c r="AM162" s="67"/>
      <c r="AN162" s="72"/>
      <c r="AO162" s="72"/>
      <c r="AP162" s="72"/>
      <c r="AQ162" s="72"/>
      <c r="AR162" s="72"/>
      <c r="AS162" s="72"/>
      <c r="AT162" s="72"/>
      <c r="AU162" s="72"/>
      <c r="AV162" s="72"/>
      <c r="AW162" s="72"/>
      <c r="AX162" s="72"/>
      <c r="AY162" s="72"/>
      <c r="AZ162" s="72"/>
      <c r="BA162" s="72"/>
      <c r="BB162" s="72"/>
      <c r="BC162" s="72"/>
      <c r="BD162" s="72"/>
      <c r="BE162" s="72"/>
      <c r="BF162" s="72"/>
      <c r="BG162" s="72"/>
      <c r="BH162" s="72"/>
      <c r="BI162" s="72"/>
      <c r="BJ162" s="72"/>
      <c r="BK162" s="72"/>
      <c r="BL162" s="72"/>
      <c r="BM162" s="72"/>
      <c r="BN162" s="72"/>
      <c r="BO162" s="72"/>
      <c r="BP162" s="72"/>
      <c r="BQ162" s="72"/>
      <c r="BR162" s="72"/>
    </row>
    <row r="163" spans="4:70">
      <c r="D163" s="68"/>
      <c r="E163" s="68"/>
      <c r="F163" s="68"/>
      <c r="G163" s="68"/>
      <c r="H163" s="68"/>
      <c r="I163" s="68"/>
      <c r="J163" s="68"/>
      <c r="K163" s="68"/>
      <c r="L163" s="68"/>
      <c r="M163" s="68"/>
      <c r="N163" s="68"/>
      <c r="O163" s="68"/>
      <c r="P163" s="68"/>
      <c r="Q163" s="67"/>
      <c r="R163" s="67"/>
      <c r="S163" s="67"/>
      <c r="T163" s="67"/>
      <c r="U163" s="67"/>
      <c r="V163" s="67"/>
      <c r="W163" s="67"/>
      <c r="X163" s="67"/>
      <c r="Y163" s="67"/>
      <c r="Z163" s="67"/>
      <c r="AA163" s="68"/>
      <c r="AB163" s="68"/>
      <c r="AC163" s="67"/>
      <c r="AD163" s="67"/>
      <c r="AE163" s="67"/>
      <c r="AF163" s="67"/>
      <c r="AG163" s="67"/>
      <c r="AH163" s="67"/>
      <c r="AI163" s="67"/>
      <c r="AJ163" s="67"/>
      <c r="AK163" s="67"/>
      <c r="AL163" s="67"/>
      <c r="AM163" s="67"/>
      <c r="AN163" s="72"/>
      <c r="AO163" s="72"/>
      <c r="AP163" s="72"/>
      <c r="AQ163" s="72"/>
      <c r="AR163" s="72"/>
      <c r="AS163" s="72"/>
      <c r="AT163" s="72"/>
      <c r="AU163" s="72"/>
      <c r="AV163" s="72"/>
      <c r="AW163" s="72"/>
      <c r="AX163" s="72"/>
      <c r="AY163" s="72"/>
      <c r="AZ163" s="72"/>
      <c r="BA163" s="72"/>
      <c r="BB163" s="72"/>
      <c r="BC163" s="72"/>
      <c r="BD163" s="72"/>
      <c r="BE163" s="72"/>
      <c r="BF163" s="72"/>
      <c r="BG163" s="72"/>
      <c r="BH163" s="72"/>
      <c r="BI163" s="72"/>
      <c r="BJ163" s="72"/>
      <c r="BK163" s="72"/>
      <c r="BL163" s="72"/>
      <c r="BM163" s="72"/>
      <c r="BN163" s="72"/>
      <c r="BO163" s="72"/>
      <c r="BP163" s="72"/>
      <c r="BQ163" s="72"/>
      <c r="BR163" s="72"/>
    </row>
    <row r="164" spans="4:70">
      <c r="D164" s="68"/>
      <c r="E164" s="68"/>
      <c r="F164" s="68"/>
      <c r="G164" s="68"/>
      <c r="H164" s="68"/>
      <c r="I164" s="68"/>
      <c r="J164" s="68"/>
      <c r="K164" s="68"/>
      <c r="L164" s="68"/>
      <c r="M164" s="68"/>
      <c r="N164" s="68"/>
      <c r="O164" s="68"/>
      <c r="P164" s="68"/>
      <c r="Q164" s="67"/>
      <c r="R164" s="67"/>
      <c r="S164" s="67"/>
      <c r="T164" s="67"/>
      <c r="U164" s="67"/>
      <c r="V164" s="67"/>
      <c r="W164" s="67"/>
      <c r="X164" s="67"/>
      <c r="Y164" s="67"/>
      <c r="Z164" s="67"/>
      <c r="AA164" s="68"/>
      <c r="AB164" s="68"/>
      <c r="AC164" s="67"/>
      <c r="AD164" s="67"/>
      <c r="AE164" s="67"/>
      <c r="AF164" s="67"/>
      <c r="AG164" s="67"/>
      <c r="AH164" s="67"/>
      <c r="AI164" s="67"/>
      <c r="AJ164" s="67"/>
      <c r="AK164" s="67"/>
      <c r="AL164" s="67"/>
      <c r="AM164" s="67"/>
      <c r="AN164" s="72"/>
      <c r="AO164" s="72"/>
      <c r="AP164" s="72"/>
      <c r="AQ164" s="72"/>
      <c r="AR164" s="72"/>
      <c r="AS164" s="72"/>
      <c r="AT164" s="72"/>
      <c r="AU164" s="72"/>
      <c r="AV164" s="72"/>
      <c r="AW164" s="72"/>
      <c r="AX164" s="72"/>
      <c r="AY164" s="72"/>
      <c r="AZ164" s="72"/>
      <c r="BA164" s="72"/>
      <c r="BB164" s="72"/>
      <c r="BC164" s="72"/>
      <c r="BD164" s="72"/>
      <c r="BE164" s="72"/>
      <c r="BF164" s="72"/>
      <c r="BG164" s="72"/>
      <c r="BH164" s="72"/>
      <c r="BI164" s="72"/>
      <c r="BJ164" s="72"/>
      <c r="BK164" s="72"/>
      <c r="BL164" s="72"/>
      <c r="BM164" s="72"/>
      <c r="BN164" s="72"/>
      <c r="BO164" s="72"/>
      <c r="BP164" s="72"/>
      <c r="BQ164" s="72"/>
      <c r="BR164" s="72"/>
    </row>
    <row r="165" spans="4:70">
      <c r="D165" s="68"/>
      <c r="E165" s="68"/>
      <c r="F165" s="68"/>
      <c r="G165" s="68"/>
      <c r="H165" s="68"/>
      <c r="I165" s="68"/>
      <c r="J165" s="68"/>
      <c r="K165" s="68"/>
      <c r="L165" s="68"/>
      <c r="M165" s="68"/>
      <c r="N165" s="68"/>
      <c r="O165" s="68"/>
      <c r="P165" s="68"/>
      <c r="Q165" s="67"/>
      <c r="R165" s="67"/>
      <c r="S165" s="67"/>
      <c r="T165" s="67"/>
      <c r="U165" s="67"/>
      <c r="V165" s="67"/>
      <c r="W165" s="67"/>
      <c r="X165" s="67"/>
      <c r="Y165" s="67"/>
      <c r="Z165" s="67"/>
      <c r="AA165" s="68"/>
      <c r="AB165" s="68"/>
      <c r="AC165" s="67"/>
      <c r="AD165" s="67"/>
      <c r="AE165" s="67"/>
      <c r="AF165" s="67"/>
      <c r="AG165" s="67"/>
      <c r="AH165" s="67"/>
      <c r="AI165" s="67"/>
      <c r="AJ165" s="67"/>
      <c r="AK165" s="67"/>
      <c r="AL165" s="67"/>
      <c r="AM165" s="67"/>
      <c r="AN165" s="72"/>
      <c r="AO165" s="72"/>
      <c r="AP165" s="72"/>
      <c r="AQ165" s="72"/>
      <c r="AR165" s="72"/>
      <c r="AS165" s="72"/>
      <c r="AT165" s="72"/>
      <c r="AU165" s="72"/>
      <c r="AV165" s="72"/>
      <c r="AW165" s="72"/>
      <c r="AX165" s="72"/>
      <c r="AY165" s="72"/>
      <c r="AZ165" s="72"/>
      <c r="BA165" s="72"/>
      <c r="BB165" s="72"/>
      <c r="BC165" s="72"/>
      <c r="BD165" s="72"/>
      <c r="BE165" s="72"/>
      <c r="BF165" s="72"/>
      <c r="BG165" s="72"/>
      <c r="BH165" s="72"/>
      <c r="BI165" s="72"/>
      <c r="BJ165" s="72"/>
      <c r="BK165" s="72"/>
      <c r="BL165" s="72"/>
      <c r="BM165" s="72"/>
      <c r="BN165" s="72"/>
      <c r="BO165" s="72"/>
      <c r="BP165" s="72"/>
      <c r="BQ165" s="72"/>
      <c r="BR165" s="72"/>
    </row>
    <row r="166" spans="4:70">
      <c r="D166" s="68"/>
      <c r="E166" s="68"/>
      <c r="F166" s="68"/>
      <c r="G166" s="68"/>
      <c r="H166" s="68"/>
      <c r="I166" s="68"/>
      <c r="J166" s="68"/>
      <c r="K166" s="68"/>
      <c r="L166" s="68"/>
      <c r="M166" s="68"/>
      <c r="N166" s="68"/>
      <c r="O166" s="68"/>
      <c r="P166" s="68"/>
      <c r="Q166" s="67"/>
      <c r="R166" s="67"/>
      <c r="S166" s="67"/>
      <c r="T166" s="67"/>
      <c r="U166" s="67"/>
      <c r="V166" s="67"/>
      <c r="W166" s="67"/>
      <c r="X166" s="67"/>
      <c r="Y166" s="67"/>
      <c r="Z166" s="67"/>
      <c r="AA166" s="68"/>
      <c r="AB166" s="68"/>
      <c r="AC166" s="67"/>
      <c r="AD166" s="67"/>
      <c r="AE166" s="67"/>
      <c r="AF166" s="67"/>
      <c r="AG166" s="67"/>
      <c r="AH166" s="67"/>
      <c r="AI166" s="67"/>
      <c r="AJ166" s="67"/>
      <c r="AK166" s="67"/>
      <c r="AL166" s="67"/>
      <c r="AM166" s="67"/>
      <c r="AN166" s="72"/>
      <c r="AO166" s="72"/>
      <c r="AP166" s="72"/>
      <c r="AQ166" s="72"/>
      <c r="AR166" s="72"/>
      <c r="AS166" s="72"/>
      <c r="AT166" s="72"/>
      <c r="AU166" s="72"/>
      <c r="AV166" s="72"/>
      <c r="AW166" s="72"/>
      <c r="AX166" s="72"/>
      <c r="AY166" s="72"/>
      <c r="AZ166" s="72"/>
      <c r="BA166" s="72"/>
      <c r="BB166" s="72"/>
      <c r="BC166" s="72"/>
      <c r="BD166" s="72"/>
      <c r="BE166" s="72"/>
      <c r="BF166" s="72"/>
      <c r="BG166" s="72"/>
      <c r="BH166" s="72"/>
      <c r="BI166" s="72"/>
      <c r="BJ166" s="72"/>
      <c r="BK166" s="72"/>
      <c r="BL166" s="72"/>
      <c r="BM166" s="72"/>
      <c r="BN166" s="72"/>
      <c r="BO166" s="72"/>
      <c r="BP166" s="72"/>
      <c r="BQ166" s="72"/>
      <c r="BR166" s="72"/>
    </row>
    <row r="167" spans="4:70">
      <c r="D167" s="68"/>
      <c r="E167" s="68"/>
      <c r="F167" s="68"/>
      <c r="G167" s="68"/>
      <c r="H167" s="68"/>
      <c r="I167" s="68"/>
      <c r="J167" s="68"/>
      <c r="K167" s="68"/>
      <c r="L167" s="68"/>
      <c r="M167" s="68"/>
      <c r="N167" s="68"/>
      <c r="O167" s="68"/>
      <c r="P167" s="68"/>
      <c r="Q167" s="67"/>
      <c r="R167" s="67"/>
      <c r="S167" s="67"/>
      <c r="T167" s="67"/>
      <c r="U167" s="67"/>
      <c r="V167" s="67"/>
      <c r="W167" s="67"/>
      <c r="X167" s="67"/>
      <c r="Y167" s="67"/>
      <c r="Z167" s="67"/>
      <c r="AA167" s="68"/>
      <c r="AB167" s="68"/>
      <c r="AC167" s="67"/>
      <c r="AD167" s="67"/>
      <c r="AE167" s="67"/>
      <c r="AF167" s="67"/>
      <c r="AG167" s="67"/>
      <c r="AH167" s="67"/>
      <c r="AI167" s="67"/>
      <c r="AJ167" s="67"/>
      <c r="AK167" s="67"/>
      <c r="AL167" s="67"/>
      <c r="AM167" s="67"/>
      <c r="AN167" s="72"/>
      <c r="AO167" s="72"/>
      <c r="AP167" s="72"/>
      <c r="AQ167" s="72"/>
      <c r="AR167" s="72"/>
      <c r="AS167" s="72"/>
      <c r="AT167" s="72"/>
      <c r="AU167" s="72"/>
      <c r="AV167" s="72"/>
      <c r="AW167" s="72"/>
      <c r="AX167" s="72"/>
      <c r="AY167" s="72"/>
      <c r="AZ167" s="72"/>
      <c r="BA167" s="72"/>
      <c r="BB167" s="72"/>
      <c r="BC167" s="72"/>
      <c r="BD167" s="72"/>
      <c r="BE167" s="72"/>
      <c r="BF167" s="72"/>
      <c r="BG167" s="72"/>
      <c r="BH167" s="72"/>
      <c r="BI167" s="72"/>
      <c r="BJ167" s="72"/>
      <c r="BK167" s="72"/>
      <c r="BL167" s="72"/>
      <c r="BM167" s="72"/>
      <c r="BN167" s="72"/>
      <c r="BO167" s="72"/>
      <c r="BP167" s="72"/>
      <c r="BQ167" s="72"/>
      <c r="BR167" s="72"/>
    </row>
    <row r="168" spans="4:70">
      <c r="D168" s="68"/>
      <c r="E168" s="68"/>
      <c r="F168" s="68"/>
      <c r="G168" s="68"/>
      <c r="H168" s="68"/>
      <c r="I168" s="68"/>
      <c r="J168" s="68"/>
      <c r="K168" s="68"/>
      <c r="L168" s="68"/>
      <c r="M168" s="68"/>
      <c r="N168" s="68"/>
      <c r="O168" s="68"/>
      <c r="P168" s="68"/>
      <c r="Q168" s="67"/>
      <c r="R168" s="67"/>
      <c r="S168" s="67"/>
      <c r="T168" s="67"/>
      <c r="U168" s="67"/>
      <c r="V168" s="67"/>
      <c r="W168" s="67"/>
      <c r="X168" s="67"/>
      <c r="Y168" s="67"/>
      <c r="Z168" s="67"/>
      <c r="AA168" s="68"/>
      <c r="AB168" s="68"/>
      <c r="AC168" s="67"/>
      <c r="AD168" s="67"/>
      <c r="AE168" s="67"/>
      <c r="AF168" s="67"/>
      <c r="AG168" s="67"/>
      <c r="AH168" s="67"/>
      <c r="AI168" s="67"/>
      <c r="AJ168" s="67"/>
      <c r="AK168" s="67"/>
      <c r="AL168" s="67"/>
      <c r="AM168" s="67"/>
      <c r="AN168" s="72"/>
      <c r="AO168" s="72"/>
      <c r="AP168" s="72"/>
      <c r="AQ168" s="72"/>
      <c r="AR168" s="72"/>
      <c r="AS168" s="72"/>
      <c r="AT168" s="72"/>
      <c r="AU168" s="72"/>
      <c r="AV168" s="72"/>
      <c r="AW168" s="72"/>
      <c r="AX168" s="72"/>
      <c r="AY168" s="72"/>
      <c r="AZ168" s="72"/>
      <c r="BA168" s="72"/>
      <c r="BB168" s="72"/>
      <c r="BC168" s="72"/>
      <c r="BD168" s="72"/>
      <c r="BE168" s="72"/>
      <c r="BF168" s="72"/>
      <c r="BG168" s="72"/>
      <c r="BH168" s="72"/>
      <c r="BI168" s="72"/>
      <c r="BJ168" s="72"/>
      <c r="BK168" s="72"/>
      <c r="BL168" s="72"/>
      <c r="BM168" s="72"/>
      <c r="BN168" s="72"/>
      <c r="BO168" s="72"/>
      <c r="BP168" s="72"/>
      <c r="BQ168" s="72"/>
      <c r="BR168" s="72"/>
    </row>
    <row r="169" spans="4:70">
      <c r="D169" s="68"/>
      <c r="E169" s="68"/>
      <c r="F169" s="68"/>
      <c r="G169" s="68"/>
      <c r="H169" s="68"/>
      <c r="I169" s="68"/>
      <c r="J169" s="68"/>
      <c r="K169" s="68"/>
      <c r="L169" s="68"/>
      <c r="M169" s="68"/>
      <c r="N169" s="68"/>
      <c r="O169" s="68"/>
      <c r="P169" s="68"/>
      <c r="Q169" s="67"/>
      <c r="R169" s="67"/>
      <c r="S169" s="67"/>
      <c r="T169" s="67"/>
      <c r="U169" s="67"/>
      <c r="V169" s="67"/>
      <c r="W169" s="67"/>
      <c r="X169" s="67"/>
      <c r="Y169" s="67"/>
      <c r="Z169" s="67"/>
      <c r="AA169" s="68"/>
      <c r="AB169" s="68"/>
      <c r="AC169" s="67"/>
      <c r="AD169" s="67"/>
      <c r="AE169" s="67"/>
      <c r="AF169" s="67"/>
      <c r="AG169" s="67"/>
      <c r="AH169" s="67"/>
      <c r="AI169" s="67"/>
      <c r="AJ169" s="67"/>
      <c r="AK169" s="67"/>
      <c r="AL169" s="67"/>
      <c r="AM169" s="67"/>
      <c r="AN169" s="72"/>
      <c r="AO169" s="72"/>
      <c r="AP169" s="72"/>
      <c r="AQ169" s="72"/>
      <c r="AR169" s="72"/>
      <c r="AS169" s="72"/>
      <c r="AT169" s="72"/>
      <c r="AU169" s="72"/>
      <c r="AV169" s="72"/>
      <c r="AW169" s="72"/>
      <c r="AX169" s="72"/>
      <c r="AY169" s="72"/>
      <c r="AZ169" s="72"/>
      <c r="BA169" s="72"/>
      <c r="BB169" s="72"/>
      <c r="BC169" s="72"/>
      <c r="BD169" s="72"/>
      <c r="BE169" s="72"/>
      <c r="BF169" s="72"/>
      <c r="BG169" s="72"/>
      <c r="BH169" s="72"/>
      <c r="BI169" s="72"/>
      <c r="BJ169" s="72"/>
      <c r="BK169" s="72"/>
      <c r="BL169" s="72"/>
      <c r="BM169" s="72"/>
      <c r="BN169" s="72"/>
      <c r="BO169" s="72"/>
      <c r="BP169" s="72"/>
      <c r="BQ169" s="72"/>
      <c r="BR169" s="72"/>
    </row>
    <row r="170" spans="4:70">
      <c r="D170" s="68"/>
      <c r="E170" s="68"/>
      <c r="F170" s="68"/>
      <c r="G170" s="68"/>
      <c r="H170" s="68"/>
      <c r="I170" s="68"/>
      <c r="J170" s="68"/>
      <c r="K170" s="68"/>
      <c r="L170" s="68"/>
      <c r="M170" s="68"/>
      <c r="N170" s="68"/>
      <c r="O170" s="68"/>
      <c r="P170" s="68"/>
      <c r="Q170" s="67"/>
      <c r="R170" s="67"/>
      <c r="S170" s="67"/>
      <c r="T170" s="67"/>
      <c r="U170" s="67"/>
      <c r="V170" s="67"/>
      <c r="W170" s="67"/>
      <c r="X170" s="67"/>
      <c r="Y170" s="67"/>
      <c r="Z170" s="67"/>
      <c r="AA170" s="68"/>
      <c r="AB170" s="68"/>
      <c r="AC170" s="67"/>
      <c r="AD170" s="67"/>
      <c r="AE170" s="67"/>
      <c r="AF170" s="67"/>
      <c r="AG170" s="67"/>
      <c r="AH170" s="67"/>
      <c r="AI170" s="67"/>
      <c r="AJ170" s="67"/>
      <c r="AK170" s="67"/>
      <c r="AL170" s="67"/>
      <c r="AM170" s="67"/>
      <c r="AN170" s="72"/>
      <c r="AO170" s="72"/>
      <c r="AP170" s="72"/>
      <c r="AQ170" s="72"/>
      <c r="AR170" s="72"/>
      <c r="AS170" s="72"/>
      <c r="AT170" s="72"/>
      <c r="AU170" s="72"/>
      <c r="AV170" s="72"/>
      <c r="AW170" s="72"/>
      <c r="AX170" s="72"/>
      <c r="AY170" s="72"/>
      <c r="AZ170" s="72"/>
      <c r="BA170" s="72"/>
      <c r="BB170" s="72"/>
      <c r="BC170" s="72"/>
      <c r="BD170" s="72"/>
      <c r="BE170" s="72"/>
      <c r="BF170" s="72"/>
      <c r="BG170" s="72"/>
      <c r="BH170" s="72"/>
      <c r="BI170" s="72"/>
      <c r="BJ170" s="72"/>
      <c r="BK170" s="72"/>
      <c r="BL170" s="72"/>
      <c r="BM170" s="72"/>
      <c r="BN170" s="72"/>
      <c r="BO170" s="72"/>
      <c r="BP170" s="72"/>
      <c r="BQ170" s="72"/>
      <c r="BR170" s="72"/>
    </row>
    <row r="171" spans="4:70">
      <c r="D171" s="68"/>
      <c r="E171" s="68"/>
      <c r="F171" s="68"/>
      <c r="G171" s="68"/>
      <c r="H171" s="68"/>
      <c r="I171" s="68"/>
      <c r="J171" s="68"/>
      <c r="K171" s="68"/>
      <c r="L171" s="68"/>
      <c r="M171" s="68"/>
      <c r="N171" s="68"/>
      <c r="O171" s="68"/>
      <c r="P171" s="68"/>
      <c r="Q171" s="67"/>
      <c r="R171" s="67"/>
      <c r="S171" s="67"/>
      <c r="T171" s="67"/>
      <c r="U171" s="67"/>
      <c r="V171" s="67"/>
      <c r="W171" s="67"/>
      <c r="X171" s="67"/>
      <c r="Y171" s="67"/>
      <c r="Z171" s="67"/>
      <c r="AA171" s="68"/>
      <c r="AB171" s="68"/>
      <c r="AC171" s="67"/>
      <c r="AD171" s="67"/>
      <c r="AE171" s="67"/>
      <c r="AF171" s="67"/>
      <c r="AG171" s="67"/>
      <c r="AH171" s="67"/>
      <c r="AI171" s="67"/>
      <c r="AJ171" s="67"/>
      <c r="AK171" s="67"/>
      <c r="AL171" s="67"/>
      <c r="AM171" s="67"/>
      <c r="AN171" s="72"/>
      <c r="AO171" s="72"/>
      <c r="AP171" s="72"/>
      <c r="AQ171" s="72"/>
      <c r="AR171" s="72"/>
      <c r="AS171" s="72"/>
      <c r="AT171" s="72"/>
      <c r="AU171" s="72"/>
      <c r="AV171" s="72"/>
      <c r="AW171" s="72"/>
      <c r="AX171" s="72"/>
      <c r="AY171" s="72"/>
      <c r="AZ171" s="72"/>
      <c r="BA171" s="72"/>
      <c r="BB171" s="72"/>
      <c r="BC171" s="72"/>
      <c r="BD171" s="72"/>
      <c r="BE171" s="72"/>
      <c r="BF171" s="72"/>
      <c r="BG171" s="72"/>
      <c r="BH171" s="72"/>
      <c r="BI171" s="72"/>
      <c r="BJ171" s="72"/>
      <c r="BK171" s="72"/>
      <c r="BL171" s="72"/>
      <c r="BM171" s="72"/>
      <c r="BN171" s="72"/>
      <c r="BO171" s="72"/>
      <c r="BP171" s="72"/>
      <c r="BQ171" s="72"/>
      <c r="BR171" s="72"/>
    </row>
    <row r="172" spans="4:70">
      <c r="D172" s="68"/>
      <c r="E172" s="68"/>
      <c r="F172" s="68"/>
      <c r="G172" s="68"/>
      <c r="H172" s="68"/>
      <c r="I172" s="68"/>
      <c r="J172" s="68"/>
      <c r="K172" s="68"/>
      <c r="L172" s="68"/>
      <c r="M172" s="68"/>
      <c r="N172" s="68"/>
      <c r="O172" s="68"/>
      <c r="P172" s="68"/>
      <c r="Q172" s="67"/>
      <c r="R172" s="67"/>
      <c r="S172" s="67"/>
      <c r="T172" s="67"/>
      <c r="U172" s="67"/>
      <c r="V172" s="67"/>
      <c r="W172" s="67"/>
      <c r="X172" s="67"/>
      <c r="Y172" s="67"/>
      <c r="Z172" s="67"/>
      <c r="AA172" s="68"/>
      <c r="AB172" s="68"/>
      <c r="AC172" s="67"/>
      <c r="AD172" s="67"/>
      <c r="AE172" s="67"/>
      <c r="AF172" s="67"/>
      <c r="AG172" s="67"/>
      <c r="AH172" s="67"/>
      <c r="AI172" s="67"/>
      <c r="AJ172" s="67"/>
      <c r="AK172" s="67"/>
      <c r="AL172" s="67"/>
      <c r="AM172" s="67"/>
      <c r="AN172" s="72"/>
      <c r="AO172" s="72"/>
      <c r="AP172" s="72"/>
      <c r="AQ172" s="72"/>
      <c r="AR172" s="72"/>
      <c r="AS172" s="72"/>
      <c r="AT172" s="72"/>
      <c r="AU172" s="72"/>
      <c r="AV172" s="72"/>
      <c r="AW172" s="72"/>
      <c r="AX172" s="72"/>
      <c r="AY172" s="72"/>
      <c r="AZ172" s="72"/>
      <c r="BA172" s="72"/>
      <c r="BB172" s="72"/>
      <c r="BC172" s="72"/>
      <c r="BD172" s="72"/>
      <c r="BE172" s="72"/>
      <c r="BF172" s="72"/>
      <c r="BG172" s="72"/>
      <c r="BH172" s="72"/>
      <c r="BI172" s="72"/>
      <c r="BJ172" s="72"/>
      <c r="BK172" s="72"/>
      <c r="BL172" s="72"/>
      <c r="BM172" s="72"/>
      <c r="BN172" s="72"/>
      <c r="BO172" s="72"/>
      <c r="BP172" s="72"/>
      <c r="BQ172" s="72"/>
      <c r="BR172" s="72"/>
    </row>
    <row r="173" spans="4:70">
      <c r="D173" s="68"/>
      <c r="E173" s="68"/>
      <c r="F173" s="68"/>
      <c r="G173" s="68"/>
      <c r="H173" s="68"/>
      <c r="I173" s="68"/>
      <c r="J173" s="68"/>
      <c r="K173" s="68"/>
      <c r="L173" s="68"/>
      <c r="M173" s="68"/>
      <c r="N173" s="68"/>
      <c r="O173" s="68"/>
      <c r="P173" s="68"/>
      <c r="Q173" s="67"/>
      <c r="R173" s="67"/>
      <c r="S173" s="67"/>
      <c r="T173" s="67"/>
      <c r="U173" s="67"/>
      <c r="V173" s="67"/>
      <c r="W173" s="67"/>
      <c r="X173" s="67"/>
      <c r="Y173" s="67"/>
      <c r="Z173" s="67"/>
      <c r="AA173" s="68"/>
      <c r="AB173" s="68"/>
      <c r="AC173" s="67"/>
      <c r="AD173" s="67"/>
      <c r="AE173" s="67"/>
      <c r="AF173" s="67"/>
      <c r="AG173" s="67"/>
      <c r="AH173" s="67"/>
      <c r="AI173" s="67"/>
      <c r="AJ173" s="67"/>
      <c r="AK173" s="67"/>
      <c r="AL173" s="67"/>
      <c r="AM173" s="67"/>
      <c r="AN173" s="72"/>
      <c r="AO173" s="72"/>
      <c r="AP173" s="72"/>
      <c r="AQ173" s="72"/>
      <c r="AR173" s="72"/>
      <c r="AS173" s="72"/>
      <c r="AT173" s="72"/>
      <c r="AU173" s="72"/>
      <c r="AV173" s="72"/>
      <c r="AW173" s="72"/>
      <c r="AX173" s="72"/>
      <c r="AY173" s="72"/>
      <c r="AZ173" s="72"/>
      <c r="BA173" s="72"/>
      <c r="BB173" s="72"/>
      <c r="BC173" s="72"/>
      <c r="BD173" s="72"/>
      <c r="BE173" s="72"/>
      <c r="BF173" s="72"/>
      <c r="BG173" s="72"/>
      <c r="BH173" s="72"/>
      <c r="BI173" s="72"/>
      <c r="BJ173" s="72"/>
      <c r="BK173" s="72"/>
      <c r="BL173" s="72"/>
      <c r="BM173" s="72"/>
      <c r="BN173" s="72"/>
      <c r="BO173" s="72"/>
      <c r="BP173" s="72"/>
      <c r="BQ173" s="72"/>
      <c r="BR173" s="72"/>
    </row>
    <row r="174" spans="4:70">
      <c r="D174" s="68"/>
      <c r="E174" s="68"/>
      <c r="F174" s="68"/>
      <c r="G174" s="68"/>
      <c r="H174" s="68"/>
      <c r="I174" s="68"/>
      <c r="J174" s="68"/>
      <c r="K174" s="68"/>
      <c r="L174" s="68"/>
      <c r="M174" s="68"/>
      <c r="N174" s="68"/>
      <c r="O174" s="68"/>
      <c r="P174" s="68"/>
      <c r="Q174" s="67"/>
      <c r="R174" s="67"/>
      <c r="S174" s="67"/>
      <c r="T174" s="67"/>
      <c r="U174" s="67"/>
      <c r="V174" s="67"/>
      <c r="W174" s="67"/>
      <c r="X174" s="67"/>
      <c r="Y174" s="67"/>
      <c r="Z174" s="67"/>
      <c r="AA174" s="68"/>
      <c r="AB174" s="68"/>
      <c r="AC174" s="67"/>
      <c r="AD174" s="67"/>
      <c r="AE174" s="67"/>
      <c r="AF174" s="67"/>
      <c r="AG174" s="67"/>
      <c r="AH174" s="67"/>
      <c r="AI174" s="67"/>
      <c r="AJ174" s="67"/>
      <c r="AK174" s="67"/>
      <c r="AL174" s="67"/>
      <c r="AM174" s="67"/>
      <c r="AN174" s="72"/>
      <c r="AO174" s="72"/>
      <c r="AP174" s="72"/>
      <c r="AQ174" s="72"/>
      <c r="AR174" s="72"/>
      <c r="AS174" s="72"/>
      <c r="AT174" s="72"/>
      <c r="AU174" s="72"/>
      <c r="AV174" s="72"/>
      <c r="AW174" s="72"/>
      <c r="AX174" s="72"/>
      <c r="AY174" s="72"/>
      <c r="AZ174" s="72"/>
      <c r="BA174" s="72"/>
      <c r="BB174" s="72"/>
      <c r="BC174" s="72"/>
      <c r="BD174" s="72"/>
      <c r="BE174" s="72"/>
      <c r="BF174" s="72"/>
      <c r="BG174" s="72"/>
      <c r="BH174" s="72"/>
      <c r="BI174" s="72"/>
      <c r="BJ174" s="72"/>
      <c r="BK174" s="72"/>
      <c r="BL174" s="72"/>
      <c r="BM174" s="72"/>
      <c r="BN174" s="72"/>
      <c r="BO174" s="72"/>
      <c r="BP174" s="72"/>
      <c r="BQ174" s="72"/>
      <c r="BR174" s="72"/>
    </row>
    <row r="175" spans="4:70">
      <c r="D175" s="68"/>
      <c r="E175" s="68"/>
      <c r="F175" s="68"/>
      <c r="G175" s="68"/>
      <c r="H175" s="68"/>
      <c r="I175" s="68"/>
      <c r="J175" s="68"/>
      <c r="K175" s="68"/>
      <c r="L175" s="68"/>
      <c r="M175" s="68"/>
      <c r="N175" s="68"/>
      <c r="O175" s="68"/>
      <c r="P175" s="68"/>
      <c r="Q175" s="67"/>
      <c r="R175" s="67"/>
      <c r="S175" s="67"/>
      <c r="T175" s="67"/>
      <c r="U175" s="67"/>
      <c r="V175" s="67"/>
      <c r="W175" s="67"/>
      <c r="X175" s="67"/>
      <c r="Y175" s="67"/>
      <c r="Z175" s="67"/>
      <c r="AA175" s="68"/>
      <c r="AB175" s="68"/>
      <c r="AC175" s="67"/>
      <c r="AD175" s="67"/>
      <c r="AE175" s="67"/>
      <c r="AF175" s="67"/>
      <c r="AG175" s="67"/>
      <c r="AH175" s="67"/>
      <c r="AI175" s="67"/>
      <c r="AJ175" s="67"/>
      <c r="AK175" s="67"/>
      <c r="AL175" s="67"/>
      <c r="AM175" s="67"/>
      <c r="AN175" s="72"/>
      <c r="AO175" s="72"/>
      <c r="AP175" s="72"/>
      <c r="AQ175" s="72"/>
      <c r="AR175" s="72"/>
      <c r="AS175" s="72"/>
      <c r="AT175" s="72"/>
      <c r="AU175" s="72"/>
      <c r="AV175" s="72"/>
      <c r="AW175" s="72"/>
      <c r="AX175" s="72"/>
      <c r="AY175" s="72"/>
      <c r="AZ175" s="72"/>
      <c r="BA175" s="72"/>
      <c r="BB175" s="72"/>
      <c r="BC175" s="72"/>
      <c r="BD175" s="72"/>
      <c r="BE175" s="72"/>
      <c r="BF175" s="72"/>
      <c r="BG175" s="72"/>
      <c r="BH175" s="72"/>
      <c r="BI175" s="72"/>
      <c r="BJ175" s="72"/>
      <c r="BK175" s="72"/>
      <c r="BL175" s="72"/>
      <c r="BM175" s="72"/>
      <c r="BN175" s="72"/>
      <c r="BO175" s="72"/>
      <c r="BP175" s="72"/>
      <c r="BQ175" s="72"/>
      <c r="BR175" s="72"/>
    </row>
    <row r="176" spans="4:70">
      <c r="D176" s="68"/>
      <c r="E176" s="68"/>
      <c r="F176" s="68"/>
      <c r="G176" s="68"/>
      <c r="H176" s="68"/>
      <c r="I176" s="68"/>
      <c r="J176" s="68"/>
      <c r="K176" s="68"/>
      <c r="L176" s="68"/>
      <c r="M176" s="68"/>
      <c r="N176" s="68"/>
      <c r="O176" s="68"/>
      <c r="P176" s="68"/>
      <c r="Q176" s="67"/>
      <c r="R176" s="67"/>
      <c r="S176" s="67"/>
      <c r="T176" s="67"/>
      <c r="U176" s="67"/>
      <c r="V176" s="67"/>
      <c r="W176" s="67"/>
      <c r="X176" s="67"/>
      <c r="Y176" s="67"/>
      <c r="Z176" s="67"/>
      <c r="AA176" s="68"/>
      <c r="AB176" s="68"/>
      <c r="AC176" s="67"/>
      <c r="AD176" s="67"/>
      <c r="AE176" s="67"/>
      <c r="AF176" s="67"/>
      <c r="AG176" s="67"/>
      <c r="AH176" s="67"/>
      <c r="AI176" s="67"/>
      <c r="AJ176" s="67"/>
      <c r="AK176" s="67"/>
      <c r="AL176" s="67"/>
      <c r="AM176" s="67"/>
      <c r="AN176" s="72"/>
      <c r="AO176" s="72"/>
      <c r="AP176" s="72"/>
      <c r="AQ176" s="72"/>
      <c r="AR176" s="72"/>
      <c r="AS176" s="72"/>
      <c r="AT176" s="72"/>
      <c r="AU176" s="72"/>
      <c r="AV176" s="72"/>
      <c r="AW176" s="72"/>
      <c r="AX176" s="72"/>
      <c r="AY176" s="72"/>
      <c r="AZ176" s="72"/>
      <c r="BA176" s="72"/>
      <c r="BB176" s="72"/>
      <c r="BC176" s="72"/>
      <c r="BD176" s="72"/>
      <c r="BE176" s="72"/>
      <c r="BF176" s="72"/>
      <c r="BG176" s="72"/>
      <c r="BH176" s="72"/>
      <c r="BI176" s="72"/>
      <c r="BJ176" s="72"/>
      <c r="BK176" s="72"/>
      <c r="BL176" s="72"/>
      <c r="BM176" s="72"/>
      <c r="BN176" s="72"/>
      <c r="BO176" s="72"/>
      <c r="BP176" s="72"/>
      <c r="BQ176" s="72"/>
      <c r="BR176" s="72"/>
    </row>
    <row r="177" spans="4:70">
      <c r="D177" s="68"/>
      <c r="E177" s="68"/>
      <c r="F177" s="68"/>
      <c r="G177" s="68"/>
      <c r="H177" s="68"/>
      <c r="I177" s="68"/>
      <c r="J177" s="68"/>
      <c r="K177" s="68"/>
      <c r="L177" s="68"/>
      <c r="M177" s="68"/>
      <c r="N177" s="68"/>
      <c r="O177" s="68"/>
      <c r="P177" s="68"/>
      <c r="Q177" s="67"/>
      <c r="R177" s="67"/>
      <c r="S177" s="67"/>
      <c r="T177" s="67"/>
      <c r="U177" s="67"/>
      <c r="V177" s="67"/>
      <c r="W177" s="67"/>
      <c r="X177" s="67"/>
      <c r="Y177" s="67"/>
      <c r="Z177" s="67"/>
      <c r="AA177" s="68"/>
      <c r="AB177" s="68"/>
      <c r="AC177" s="67"/>
      <c r="AD177" s="67"/>
      <c r="AE177" s="67"/>
      <c r="AF177" s="67"/>
      <c r="AG177" s="67"/>
      <c r="AH177" s="67"/>
      <c r="AI177" s="67"/>
      <c r="AJ177" s="67"/>
      <c r="AK177" s="67"/>
      <c r="AL177" s="67"/>
      <c r="AM177" s="67"/>
      <c r="AN177" s="72"/>
      <c r="AO177" s="72"/>
      <c r="AP177" s="72"/>
      <c r="AQ177" s="72"/>
      <c r="AR177" s="72"/>
      <c r="AS177" s="72"/>
      <c r="AT177" s="72"/>
      <c r="AU177" s="72"/>
      <c r="AV177" s="72"/>
      <c r="AW177" s="72"/>
      <c r="AX177" s="72"/>
      <c r="AY177" s="72"/>
      <c r="AZ177" s="72"/>
      <c r="BA177" s="72"/>
      <c r="BB177" s="72"/>
      <c r="BC177" s="72"/>
      <c r="BD177" s="72"/>
      <c r="BE177" s="72"/>
      <c r="BF177" s="72"/>
      <c r="BG177" s="72"/>
      <c r="BH177" s="72"/>
      <c r="BI177" s="72"/>
      <c r="BJ177" s="72"/>
      <c r="BK177" s="72"/>
      <c r="BL177" s="72"/>
      <c r="BM177" s="72"/>
      <c r="BN177" s="72"/>
      <c r="BO177" s="72"/>
      <c r="BP177" s="72"/>
      <c r="BQ177" s="72"/>
      <c r="BR177" s="72"/>
    </row>
    <row r="178" spans="4:70">
      <c r="D178" s="68"/>
      <c r="E178" s="68"/>
      <c r="F178" s="68"/>
      <c r="G178" s="68"/>
      <c r="H178" s="68"/>
      <c r="I178" s="68"/>
      <c r="J178" s="68"/>
      <c r="K178" s="68"/>
      <c r="L178" s="68"/>
      <c r="M178" s="68"/>
      <c r="N178" s="68"/>
      <c r="O178" s="68"/>
      <c r="P178" s="68"/>
      <c r="Q178" s="67"/>
      <c r="R178" s="67"/>
      <c r="S178" s="67"/>
      <c r="T178" s="67"/>
      <c r="U178" s="67"/>
      <c r="V178" s="67"/>
      <c r="W178" s="67"/>
      <c r="X178" s="67"/>
      <c r="Y178" s="67"/>
      <c r="Z178" s="67"/>
      <c r="AA178" s="68"/>
      <c r="AB178" s="68"/>
      <c r="AC178" s="67"/>
      <c r="AD178" s="67"/>
      <c r="AE178" s="67"/>
      <c r="AF178" s="67"/>
      <c r="AG178" s="67"/>
      <c r="AH178" s="67"/>
      <c r="AI178" s="67"/>
      <c r="AJ178" s="67"/>
      <c r="AK178" s="67"/>
      <c r="AL178" s="67"/>
      <c r="AM178" s="67"/>
      <c r="AN178" s="72"/>
      <c r="AO178" s="72"/>
      <c r="AP178" s="72"/>
      <c r="AQ178" s="72"/>
      <c r="AR178" s="72"/>
      <c r="AS178" s="72"/>
      <c r="AT178" s="72"/>
      <c r="AU178" s="72"/>
      <c r="AV178" s="72"/>
      <c r="AW178" s="72"/>
      <c r="AX178" s="72"/>
      <c r="AY178" s="72"/>
      <c r="AZ178" s="72"/>
      <c r="BA178" s="72"/>
      <c r="BB178" s="72"/>
      <c r="BC178" s="72"/>
      <c r="BD178" s="72"/>
      <c r="BE178" s="72"/>
      <c r="BF178" s="72"/>
      <c r="BG178" s="72"/>
      <c r="BH178" s="72"/>
      <c r="BI178" s="72"/>
      <c r="BJ178" s="72"/>
      <c r="BK178" s="72"/>
      <c r="BL178" s="72"/>
      <c r="BM178" s="72"/>
      <c r="BN178" s="72"/>
      <c r="BO178" s="72"/>
      <c r="BP178" s="72"/>
      <c r="BQ178" s="72"/>
      <c r="BR178" s="72"/>
    </row>
    <row r="179" spans="4:70">
      <c r="D179" s="68"/>
      <c r="E179" s="68"/>
      <c r="F179" s="68"/>
      <c r="G179" s="68"/>
      <c r="H179" s="68"/>
      <c r="I179" s="68"/>
      <c r="J179" s="68"/>
      <c r="K179" s="68"/>
      <c r="L179" s="68"/>
      <c r="M179" s="68"/>
      <c r="N179" s="68"/>
      <c r="O179" s="68"/>
      <c r="P179" s="68"/>
      <c r="Q179" s="67"/>
      <c r="R179" s="67"/>
      <c r="S179" s="67"/>
      <c r="T179" s="67"/>
      <c r="U179" s="67"/>
      <c r="V179" s="67"/>
      <c r="W179" s="67"/>
      <c r="X179" s="67"/>
      <c r="Y179" s="67"/>
      <c r="Z179" s="67"/>
      <c r="AA179" s="68"/>
      <c r="AB179" s="68"/>
      <c r="AC179" s="67"/>
      <c r="AD179" s="67"/>
      <c r="AE179" s="67"/>
      <c r="AF179" s="67"/>
      <c r="AG179" s="67"/>
      <c r="AH179" s="67"/>
      <c r="AI179" s="67"/>
      <c r="AJ179" s="67"/>
      <c r="AK179" s="67"/>
      <c r="AL179" s="67"/>
      <c r="AM179" s="67"/>
      <c r="AN179" s="72"/>
      <c r="AO179" s="72"/>
      <c r="AP179" s="72"/>
      <c r="AQ179" s="72"/>
      <c r="AR179" s="72"/>
      <c r="AS179" s="72"/>
      <c r="AT179" s="72"/>
      <c r="AU179" s="72"/>
      <c r="AV179" s="72"/>
      <c r="AW179" s="72"/>
      <c r="AX179" s="72"/>
      <c r="AY179" s="72"/>
      <c r="AZ179" s="72"/>
      <c r="BA179" s="72"/>
      <c r="BB179" s="72"/>
      <c r="BC179" s="72"/>
      <c r="BD179" s="72"/>
      <c r="BE179" s="72"/>
      <c r="BF179" s="72"/>
      <c r="BG179" s="72"/>
      <c r="BH179" s="72"/>
      <c r="BI179" s="72"/>
      <c r="BJ179" s="72"/>
      <c r="BK179" s="72"/>
      <c r="BL179" s="72"/>
      <c r="BM179" s="72"/>
      <c r="BN179" s="72"/>
      <c r="BO179" s="72"/>
      <c r="BP179" s="72"/>
      <c r="BQ179" s="72"/>
      <c r="BR179" s="72"/>
    </row>
    <row r="180" spans="4:70">
      <c r="D180" s="68"/>
      <c r="E180" s="68"/>
      <c r="F180" s="68"/>
      <c r="G180" s="68"/>
      <c r="H180" s="68"/>
      <c r="I180" s="68"/>
      <c r="J180" s="68"/>
      <c r="K180" s="68"/>
      <c r="L180" s="68"/>
      <c r="M180" s="68"/>
      <c r="N180" s="68"/>
      <c r="O180" s="68"/>
      <c r="P180" s="68"/>
      <c r="Q180" s="67"/>
      <c r="R180" s="67"/>
      <c r="S180" s="67"/>
      <c r="T180" s="67"/>
      <c r="U180" s="67"/>
      <c r="V180" s="67"/>
      <c r="W180" s="67"/>
      <c r="X180" s="67"/>
      <c r="Y180" s="67"/>
      <c r="Z180" s="67"/>
      <c r="AA180" s="68"/>
      <c r="AB180" s="68"/>
      <c r="AC180" s="67"/>
      <c r="AD180" s="67"/>
      <c r="AE180" s="67"/>
      <c r="AF180" s="67"/>
      <c r="AG180" s="67"/>
      <c r="AH180" s="67"/>
      <c r="AI180" s="67"/>
      <c r="AJ180" s="67"/>
      <c r="AK180" s="67"/>
      <c r="AL180" s="67"/>
      <c r="AM180" s="67"/>
      <c r="AN180" s="72"/>
      <c r="AO180" s="72"/>
      <c r="AP180" s="72"/>
      <c r="AQ180" s="72"/>
      <c r="AR180" s="72"/>
      <c r="AS180" s="72"/>
      <c r="AT180" s="72"/>
      <c r="AU180" s="72"/>
      <c r="AV180" s="72"/>
      <c r="AW180" s="72"/>
      <c r="AX180" s="72"/>
      <c r="AY180" s="72"/>
      <c r="AZ180" s="72"/>
      <c r="BA180" s="72"/>
      <c r="BB180" s="72"/>
      <c r="BC180" s="72"/>
      <c r="BD180" s="72"/>
      <c r="BE180" s="72"/>
      <c r="BF180" s="72"/>
      <c r="BG180" s="72"/>
      <c r="BH180" s="72"/>
      <c r="BI180" s="72"/>
      <c r="BJ180" s="72"/>
      <c r="BK180" s="72"/>
      <c r="BL180" s="72"/>
      <c r="BM180" s="72"/>
      <c r="BN180" s="72"/>
      <c r="BO180" s="72"/>
      <c r="BP180" s="72"/>
      <c r="BQ180" s="72"/>
      <c r="BR180" s="72"/>
    </row>
    <row r="181" spans="4:70">
      <c r="D181" s="68"/>
      <c r="E181" s="68"/>
      <c r="F181" s="68"/>
      <c r="G181" s="68"/>
      <c r="H181" s="68"/>
      <c r="I181" s="68"/>
      <c r="J181" s="68"/>
      <c r="K181" s="68"/>
      <c r="L181" s="68"/>
      <c r="M181" s="68"/>
      <c r="N181" s="68"/>
      <c r="O181" s="68"/>
      <c r="P181" s="68"/>
      <c r="Q181" s="67"/>
      <c r="R181" s="67"/>
      <c r="S181" s="67"/>
      <c r="T181" s="67"/>
      <c r="U181" s="67"/>
      <c r="V181" s="67"/>
      <c r="W181" s="67"/>
      <c r="X181" s="67"/>
      <c r="Y181" s="67"/>
      <c r="Z181" s="67"/>
      <c r="AA181" s="68"/>
      <c r="AB181" s="68"/>
      <c r="AC181" s="67"/>
      <c r="AD181" s="67"/>
      <c r="AE181" s="67"/>
      <c r="AF181" s="67"/>
      <c r="AG181" s="67"/>
      <c r="AH181" s="67"/>
      <c r="AI181" s="67"/>
      <c r="AJ181" s="67"/>
      <c r="AK181" s="67"/>
      <c r="AL181" s="67"/>
      <c r="AM181" s="67"/>
      <c r="AN181" s="72"/>
      <c r="AO181" s="72"/>
      <c r="AP181" s="72"/>
      <c r="AQ181" s="72"/>
      <c r="AR181" s="72"/>
      <c r="AS181" s="72"/>
      <c r="AT181" s="72"/>
      <c r="AU181" s="72"/>
      <c r="AV181" s="72"/>
      <c r="AW181" s="72"/>
      <c r="AX181" s="72"/>
      <c r="AY181" s="72"/>
      <c r="AZ181" s="72"/>
      <c r="BA181" s="72"/>
      <c r="BB181" s="72"/>
      <c r="BC181" s="72"/>
      <c r="BD181" s="72"/>
      <c r="BE181" s="72"/>
      <c r="BF181" s="72"/>
      <c r="BG181" s="72"/>
      <c r="BH181" s="72"/>
      <c r="BI181" s="72"/>
      <c r="BJ181" s="72"/>
      <c r="BK181" s="72"/>
      <c r="BL181" s="72"/>
      <c r="BM181" s="72"/>
      <c r="BN181" s="72"/>
      <c r="BO181" s="72"/>
      <c r="BP181" s="72"/>
      <c r="BQ181" s="72"/>
      <c r="BR181" s="72"/>
    </row>
    <row r="182" spans="4:70">
      <c r="D182" s="68"/>
      <c r="E182" s="68"/>
      <c r="F182" s="68"/>
      <c r="G182" s="68"/>
      <c r="H182" s="68"/>
      <c r="I182" s="68"/>
      <c r="J182" s="68"/>
      <c r="K182" s="68"/>
      <c r="L182" s="68"/>
      <c r="M182" s="68"/>
      <c r="N182" s="68"/>
      <c r="O182" s="68"/>
      <c r="P182" s="68"/>
      <c r="Q182" s="67"/>
      <c r="R182" s="67"/>
      <c r="S182" s="67"/>
      <c r="T182" s="67"/>
      <c r="U182" s="67"/>
      <c r="V182" s="67"/>
      <c r="W182" s="67"/>
      <c r="X182" s="67"/>
      <c r="Y182" s="67"/>
      <c r="Z182" s="67"/>
      <c r="AA182" s="68"/>
      <c r="AB182" s="68"/>
      <c r="AC182" s="67"/>
      <c r="AD182" s="67"/>
      <c r="AE182" s="67"/>
      <c r="AF182" s="67"/>
      <c r="AG182" s="67"/>
      <c r="AH182" s="67"/>
      <c r="AI182" s="67"/>
      <c r="AJ182" s="67"/>
      <c r="AK182" s="67"/>
      <c r="AL182" s="67"/>
      <c r="AM182" s="67"/>
      <c r="AN182" s="72"/>
      <c r="AO182" s="72"/>
      <c r="AP182" s="72"/>
      <c r="AQ182" s="72"/>
      <c r="AR182" s="72"/>
      <c r="AS182" s="72"/>
      <c r="AT182" s="72"/>
      <c r="AU182" s="72"/>
      <c r="AV182" s="72"/>
      <c r="AW182" s="72"/>
      <c r="AX182" s="72"/>
      <c r="AY182" s="72"/>
      <c r="AZ182" s="72"/>
      <c r="BA182" s="72"/>
      <c r="BB182" s="72"/>
      <c r="BC182" s="72"/>
      <c r="BD182" s="72"/>
      <c r="BE182" s="72"/>
      <c r="BF182" s="72"/>
      <c r="BG182" s="72"/>
      <c r="BH182" s="72"/>
      <c r="BI182" s="72"/>
      <c r="BJ182" s="72"/>
      <c r="BK182" s="72"/>
      <c r="BL182" s="72"/>
      <c r="BM182" s="72"/>
      <c r="BN182" s="72"/>
      <c r="BO182" s="72"/>
      <c r="BP182" s="72"/>
      <c r="BQ182" s="72"/>
      <c r="BR182" s="72"/>
    </row>
    <row r="183" spans="4:70">
      <c r="D183" s="68"/>
      <c r="E183" s="68"/>
      <c r="F183" s="68"/>
      <c r="G183" s="68"/>
      <c r="H183" s="68"/>
      <c r="I183" s="68"/>
      <c r="J183" s="68"/>
      <c r="K183" s="68"/>
      <c r="L183" s="68"/>
      <c r="M183" s="68"/>
      <c r="N183" s="68"/>
      <c r="O183" s="68"/>
      <c r="P183" s="68"/>
      <c r="Q183" s="67"/>
      <c r="R183" s="67"/>
      <c r="S183" s="67"/>
      <c r="T183" s="67"/>
      <c r="U183" s="67"/>
      <c r="V183" s="67"/>
      <c r="W183" s="67"/>
      <c r="X183" s="67"/>
      <c r="Y183" s="67"/>
      <c r="Z183" s="67"/>
      <c r="AA183" s="68"/>
      <c r="AB183" s="68"/>
      <c r="AC183" s="67"/>
      <c r="AD183" s="67"/>
      <c r="AE183" s="67"/>
      <c r="AF183" s="67"/>
      <c r="AG183" s="67"/>
      <c r="AH183" s="67"/>
      <c r="AI183" s="67"/>
      <c r="AJ183" s="67"/>
      <c r="AK183" s="67"/>
      <c r="AL183" s="67"/>
      <c r="AM183" s="67"/>
      <c r="AN183" s="72"/>
      <c r="AO183" s="72"/>
      <c r="AP183" s="72"/>
      <c r="AQ183" s="72"/>
      <c r="AR183" s="72"/>
      <c r="AS183" s="72"/>
      <c r="AT183" s="72"/>
      <c r="AU183" s="72"/>
      <c r="AV183" s="72"/>
      <c r="AW183" s="72"/>
      <c r="AX183" s="72"/>
      <c r="AY183" s="72"/>
      <c r="AZ183" s="72"/>
      <c r="BA183" s="72"/>
      <c r="BB183" s="72"/>
      <c r="BC183" s="72"/>
      <c r="BD183" s="72"/>
      <c r="BE183" s="72"/>
      <c r="BF183" s="72"/>
      <c r="BG183" s="72"/>
      <c r="BH183" s="72"/>
      <c r="BI183" s="72"/>
      <c r="BJ183" s="72"/>
      <c r="BK183" s="72"/>
      <c r="BL183" s="72"/>
      <c r="BM183" s="72"/>
      <c r="BN183" s="72"/>
      <c r="BO183" s="72"/>
      <c r="BP183" s="72"/>
      <c r="BQ183" s="72"/>
      <c r="BR183" s="72"/>
    </row>
    <row r="184" spans="4:70">
      <c r="D184" s="68"/>
      <c r="E184" s="68"/>
      <c r="F184" s="68"/>
      <c r="G184" s="68"/>
      <c r="H184" s="68"/>
      <c r="I184" s="68"/>
      <c r="J184" s="68"/>
      <c r="K184" s="68"/>
      <c r="L184" s="68"/>
      <c r="M184" s="68"/>
      <c r="N184" s="68"/>
      <c r="O184" s="68"/>
      <c r="P184" s="68"/>
      <c r="Q184" s="67"/>
      <c r="R184" s="67"/>
      <c r="S184" s="67"/>
      <c r="T184" s="67"/>
      <c r="U184" s="67"/>
      <c r="V184" s="67"/>
      <c r="W184" s="67"/>
      <c r="X184" s="67"/>
      <c r="Y184" s="67"/>
      <c r="Z184" s="67"/>
      <c r="AA184" s="68"/>
      <c r="AB184" s="68"/>
      <c r="AC184" s="67"/>
      <c r="AD184" s="67"/>
      <c r="AE184" s="67"/>
      <c r="AF184" s="67"/>
      <c r="AG184" s="67"/>
      <c r="AH184" s="67"/>
      <c r="AI184" s="67"/>
      <c r="AJ184" s="67"/>
      <c r="AK184" s="67"/>
      <c r="AL184" s="67"/>
      <c r="AM184" s="67"/>
      <c r="AN184" s="72"/>
      <c r="AO184" s="72"/>
      <c r="AP184" s="72"/>
      <c r="AQ184" s="72"/>
      <c r="AR184" s="72"/>
      <c r="AS184" s="72"/>
      <c r="AT184" s="72"/>
      <c r="AU184" s="72"/>
      <c r="AV184" s="72"/>
      <c r="AW184" s="72"/>
      <c r="AX184" s="72"/>
      <c r="AY184" s="72"/>
      <c r="AZ184" s="72"/>
      <c r="BA184" s="72"/>
      <c r="BB184" s="72"/>
      <c r="BC184" s="72"/>
      <c r="BD184" s="72"/>
      <c r="BE184" s="72"/>
      <c r="BF184" s="72"/>
      <c r="BG184" s="72"/>
      <c r="BH184" s="72"/>
      <c r="BI184" s="72"/>
      <c r="BJ184" s="72"/>
      <c r="BK184" s="72"/>
      <c r="BL184" s="72"/>
      <c r="BM184" s="72"/>
      <c r="BN184" s="72"/>
      <c r="BO184" s="72"/>
      <c r="BP184" s="72"/>
      <c r="BQ184" s="72"/>
      <c r="BR184" s="72"/>
    </row>
    <row r="185" spans="4:70">
      <c r="D185" s="68"/>
      <c r="E185" s="68"/>
      <c r="F185" s="68"/>
      <c r="G185" s="68"/>
      <c r="H185" s="68"/>
      <c r="I185" s="68"/>
      <c r="J185" s="68"/>
      <c r="K185" s="68"/>
      <c r="L185" s="68"/>
      <c r="M185" s="68"/>
      <c r="N185" s="68"/>
      <c r="O185" s="68"/>
      <c r="P185" s="68"/>
      <c r="Q185" s="67"/>
      <c r="R185" s="67"/>
      <c r="S185" s="67"/>
      <c r="T185" s="67"/>
      <c r="U185" s="67"/>
      <c r="V185" s="67"/>
      <c r="W185" s="67"/>
      <c r="X185" s="67"/>
      <c r="Y185" s="67"/>
      <c r="Z185" s="67"/>
      <c r="AA185" s="68"/>
      <c r="AB185" s="68"/>
      <c r="AC185" s="67"/>
      <c r="AD185" s="67"/>
      <c r="AE185" s="67"/>
      <c r="AF185" s="67"/>
      <c r="AG185" s="67"/>
      <c r="AH185" s="67"/>
      <c r="AI185" s="67"/>
      <c r="AJ185" s="67"/>
      <c r="AK185" s="67"/>
      <c r="AL185" s="67"/>
      <c r="AM185" s="67"/>
      <c r="AN185" s="72"/>
      <c r="AO185" s="72"/>
      <c r="AP185" s="72"/>
      <c r="AQ185" s="72"/>
      <c r="AR185" s="72"/>
      <c r="AS185" s="72"/>
      <c r="AT185" s="72"/>
      <c r="AU185" s="72"/>
      <c r="AV185" s="72"/>
      <c r="AW185" s="72"/>
      <c r="AX185" s="72"/>
      <c r="AY185" s="72"/>
      <c r="AZ185" s="72"/>
      <c r="BA185" s="72"/>
      <c r="BB185" s="72"/>
      <c r="BC185" s="72"/>
      <c r="BD185" s="72"/>
      <c r="BE185" s="72"/>
      <c r="BF185" s="72"/>
      <c r="BG185" s="72"/>
      <c r="BH185" s="72"/>
      <c r="BI185" s="72"/>
      <c r="BJ185" s="72"/>
      <c r="BK185" s="72"/>
      <c r="BL185" s="72"/>
      <c r="BM185" s="72"/>
      <c r="BN185" s="72"/>
      <c r="BO185" s="72"/>
      <c r="BP185" s="72"/>
      <c r="BQ185" s="72"/>
      <c r="BR185" s="72"/>
    </row>
    <row r="186" spans="4:70">
      <c r="D186" s="68"/>
      <c r="E186" s="68"/>
      <c r="F186" s="68"/>
      <c r="G186" s="68"/>
      <c r="H186" s="68"/>
      <c r="I186" s="68"/>
      <c r="J186" s="68"/>
      <c r="K186" s="68"/>
      <c r="L186" s="68"/>
      <c r="M186" s="68"/>
      <c r="N186" s="68"/>
      <c r="O186" s="68"/>
      <c r="P186" s="68"/>
      <c r="Q186" s="67"/>
      <c r="R186" s="67"/>
      <c r="S186" s="67"/>
      <c r="T186" s="67"/>
      <c r="U186" s="67"/>
      <c r="V186" s="67"/>
      <c r="W186" s="67"/>
      <c r="X186" s="67"/>
      <c r="Y186" s="67"/>
      <c r="Z186" s="67"/>
      <c r="AA186" s="68"/>
      <c r="AB186" s="68"/>
      <c r="AC186" s="67"/>
      <c r="AD186" s="67"/>
      <c r="AE186" s="67"/>
      <c r="AF186" s="67"/>
      <c r="AG186" s="67"/>
      <c r="AH186" s="67"/>
      <c r="AI186" s="67"/>
      <c r="AJ186" s="67"/>
      <c r="AK186" s="67"/>
      <c r="AL186" s="67"/>
      <c r="AM186" s="67"/>
      <c r="AN186" s="72"/>
      <c r="AO186" s="72"/>
      <c r="AP186" s="72"/>
      <c r="AQ186" s="72"/>
      <c r="AR186" s="72"/>
      <c r="AS186" s="72"/>
      <c r="AT186" s="72"/>
      <c r="AU186" s="72"/>
      <c r="AV186" s="72"/>
      <c r="AW186" s="72"/>
      <c r="AX186" s="72"/>
      <c r="AY186" s="72"/>
      <c r="AZ186" s="72"/>
      <c r="BA186" s="72"/>
      <c r="BB186" s="72"/>
      <c r="BC186" s="72"/>
      <c r="BD186" s="72"/>
      <c r="BE186" s="72"/>
      <c r="BF186" s="72"/>
      <c r="BG186" s="72"/>
      <c r="BH186" s="72"/>
      <c r="BI186" s="72"/>
      <c r="BJ186" s="72"/>
      <c r="BK186" s="72"/>
      <c r="BL186" s="72"/>
      <c r="BM186" s="72"/>
      <c r="BN186" s="72"/>
      <c r="BO186" s="72"/>
      <c r="BP186" s="72"/>
      <c r="BQ186" s="72"/>
      <c r="BR186" s="72"/>
    </row>
    <row r="187" spans="4:70">
      <c r="D187" s="68"/>
      <c r="E187" s="68"/>
      <c r="F187" s="68"/>
      <c r="G187" s="68"/>
      <c r="H187" s="68"/>
      <c r="I187" s="68"/>
      <c r="J187" s="68"/>
      <c r="K187" s="68"/>
      <c r="L187" s="68"/>
      <c r="M187" s="68"/>
      <c r="N187" s="68"/>
      <c r="O187" s="68"/>
      <c r="P187" s="68"/>
      <c r="Q187" s="67"/>
      <c r="R187" s="67"/>
      <c r="S187" s="67"/>
      <c r="T187" s="67"/>
      <c r="U187" s="67"/>
      <c r="V187" s="67"/>
      <c r="W187" s="67"/>
      <c r="X187" s="67"/>
      <c r="Y187" s="67"/>
      <c r="Z187" s="67"/>
      <c r="AA187" s="68"/>
      <c r="AB187" s="68"/>
      <c r="AC187" s="67"/>
      <c r="AD187" s="67"/>
      <c r="AE187" s="67"/>
      <c r="AF187" s="67"/>
      <c r="AG187" s="67"/>
      <c r="AH187" s="67"/>
      <c r="AI187" s="67"/>
      <c r="AJ187" s="67"/>
      <c r="AK187" s="67"/>
      <c r="AL187" s="67"/>
      <c r="AM187" s="67"/>
      <c r="AN187" s="72"/>
      <c r="AO187" s="72"/>
      <c r="AP187" s="72"/>
      <c r="AQ187" s="72"/>
      <c r="AR187" s="72"/>
      <c r="AS187" s="72"/>
      <c r="AT187" s="72"/>
      <c r="AU187" s="72"/>
      <c r="AV187" s="72"/>
      <c r="AW187" s="72"/>
      <c r="AX187" s="72"/>
      <c r="AY187" s="72"/>
      <c r="AZ187" s="72"/>
      <c r="BA187" s="72"/>
      <c r="BB187" s="72"/>
      <c r="BC187" s="72"/>
      <c r="BD187" s="72"/>
      <c r="BE187" s="72"/>
      <c r="BF187" s="72"/>
      <c r="BG187" s="72"/>
      <c r="BH187" s="72"/>
      <c r="BI187" s="72"/>
      <c r="BJ187" s="72"/>
      <c r="BK187" s="72"/>
      <c r="BL187" s="72"/>
      <c r="BM187" s="72"/>
      <c r="BN187" s="72"/>
      <c r="BO187" s="72"/>
      <c r="BP187" s="72"/>
      <c r="BQ187" s="72"/>
      <c r="BR187" s="72"/>
    </row>
    <row r="188" spans="4:70">
      <c r="D188" s="68"/>
      <c r="E188" s="68"/>
      <c r="F188" s="68"/>
      <c r="G188" s="68"/>
      <c r="H188" s="68"/>
      <c r="I188" s="68"/>
      <c r="J188" s="68"/>
      <c r="K188" s="68"/>
      <c r="L188" s="68"/>
      <c r="M188" s="68"/>
      <c r="N188" s="68"/>
      <c r="O188" s="68"/>
      <c r="P188" s="68"/>
      <c r="Q188" s="67"/>
      <c r="R188" s="67"/>
      <c r="S188" s="67"/>
      <c r="T188" s="67"/>
      <c r="U188" s="67"/>
      <c r="V188" s="67"/>
      <c r="W188" s="67"/>
      <c r="X188" s="67"/>
      <c r="Y188" s="67"/>
      <c r="Z188" s="67"/>
      <c r="AA188" s="68"/>
      <c r="AB188" s="68"/>
      <c r="AC188" s="67"/>
      <c r="AD188" s="67"/>
      <c r="AE188" s="67"/>
      <c r="AF188" s="67"/>
      <c r="AG188" s="67"/>
      <c r="AH188" s="67"/>
      <c r="AI188" s="67"/>
      <c r="AJ188" s="67"/>
      <c r="AK188" s="67"/>
      <c r="AL188" s="67"/>
      <c r="AM188" s="67"/>
      <c r="AN188" s="72"/>
      <c r="AO188" s="72"/>
      <c r="AP188" s="72"/>
      <c r="AQ188" s="72"/>
      <c r="AR188" s="72"/>
      <c r="AS188" s="72"/>
      <c r="AT188" s="72"/>
      <c r="AU188" s="72"/>
      <c r="AV188" s="72"/>
      <c r="AW188" s="72"/>
      <c r="AX188" s="72"/>
      <c r="AY188" s="72"/>
      <c r="AZ188" s="72"/>
      <c r="BA188" s="72"/>
      <c r="BB188" s="72"/>
      <c r="BC188" s="72"/>
      <c r="BD188" s="72"/>
      <c r="BE188" s="72"/>
      <c r="BF188" s="72"/>
      <c r="BG188" s="72"/>
      <c r="BH188" s="72"/>
      <c r="BI188" s="72"/>
      <c r="BJ188" s="72"/>
      <c r="BK188" s="72"/>
      <c r="BL188" s="72"/>
      <c r="BM188" s="72"/>
      <c r="BN188" s="72"/>
      <c r="BO188" s="72"/>
      <c r="BP188" s="72"/>
      <c r="BQ188" s="72"/>
      <c r="BR188" s="72"/>
    </row>
    <row r="189" spans="4:70">
      <c r="D189" s="68"/>
      <c r="E189" s="68"/>
      <c r="F189" s="68"/>
      <c r="G189" s="68"/>
      <c r="H189" s="68"/>
      <c r="I189" s="68"/>
      <c r="J189" s="68"/>
      <c r="K189" s="68"/>
      <c r="L189" s="68"/>
      <c r="M189" s="68"/>
      <c r="N189" s="68"/>
      <c r="O189" s="68"/>
      <c r="P189" s="68"/>
      <c r="Q189" s="67"/>
      <c r="R189" s="67"/>
      <c r="S189" s="67"/>
      <c r="T189" s="67"/>
      <c r="U189" s="67"/>
      <c r="V189" s="67"/>
      <c r="W189" s="67"/>
      <c r="X189" s="67"/>
      <c r="Y189" s="67"/>
      <c r="Z189" s="67"/>
      <c r="AA189" s="68"/>
      <c r="AB189" s="68"/>
      <c r="AC189" s="67"/>
      <c r="AD189" s="67"/>
      <c r="AE189" s="67"/>
      <c r="AF189" s="67"/>
      <c r="AG189" s="67"/>
      <c r="AH189" s="67"/>
      <c r="AI189" s="67"/>
      <c r="AJ189" s="67"/>
      <c r="AK189" s="67"/>
      <c r="AL189" s="67"/>
      <c r="AM189" s="67"/>
      <c r="AN189" s="72"/>
      <c r="AO189" s="72"/>
      <c r="AP189" s="72"/>
      <c r="AQ189" s="72"/>
      <c r="AR189" s="72"/>
      <c r="AS189" s="72"/>
      <c r="AT189" s="72"/>
      <c r="AU189" s="72"/>
      <c r="AV189" s="72"/>
      <c r="AW189" s="72"/>
      <c r="AX189" s="72"/>
      <c r="AY189" s="72"/>
      <c r="AZ189" s="72"/>
      <c r="BA189" s="72"/>
      <c r="BB189" s="72"/>
      <c r="BC189" s="72"/>
      <c r="BD189" s="72"/>
      <c r="BE189" s="72"/>
      <c r="BF189" s="72"/>
      <c r="BG189" s="72"/>
      <c r="BH189" s="72"/>
      <c r="BI189" s="72"/>
      <c r="BJ189" s="72"/>
      <c r="BK189" s="72"/>
      <c r="BL189" s="72"/>
      <c r="BM189" s="72"/>
      <c r="BN189" s="72"/>
      <c r="BO189" s="72"/>
      <c r="BP189" s="72"/>
      <c r="BQ189" s="72"/>
      <c r="BR189" s="72"/>
    </row>
    <row r="190" spans="4:70">
      <c r="D190" s="68"/>
      <c r="E190" s="68"/>
      <c r="F190" s="68"/>
      <c r="G190" s="68"/>
      <c r="H190" s="68"/>
      <c r="I190" s="68"/>
      <c r="J190" s="68"/>
      <c r="K190" s="68"/>
      <c r="L190" s="68"/>
      <c r="M190" s="68"/>
      <c r="N190" s="68"/>
      <c r="O190" s="68"/>
      <c r="P190" s="68"/>
      <c r="Q190" s="67"/>
      <c r="R190" s="67"/>
      <c r="S190" s="67"/>
      <c r="T190" s="67"/>
      <c r="U190" s="67"/>
      <c r="V190" s="67"/>
      <c r="W190" s="67"/>
      <c r="X190" s="67"/>
      <c r="Y190" s="67"/>
      <c r="Z190" s="67"/>
      <c r="AA190" s="68"/>
      <c r="AB190" s="68"/>
      <c r="AC190" s="67"/>
      <c r="AD190" s="67"/>
      <c r="AE190" s="67"/>
      <c r="AF190" s="67"/>
      <c r="AG190" s="67"/>
      <c r="AH190" s="67"/>
      <c r="AI190" s="67"/>
      <c r="AJ190" s="67"/>
      <c r="AK190" s="67"/>
      <c r="AL190" s="67"/>
      <c r="AM190" s="67"/>
      <c r="AN190" s="72"/>
      <c r="AO190" s="72"/>
      <c r="AP190" s="72"/>
      <c r="AQ190" s="72"/>
      <c r="AR190" s="72"/>
      <c r="AS190" s="72"/>
      <c r="AT190" s="72"/>
      <c r="AU190" s="72"/>
      <c r="AV190" s="72"/>
      <c r="AW190" s="72"/>
      <c r="AX190" s="72"/>
      <c r="AY190" s="72"/>
      <c r="AZ190" s="72"/>
      <c r="BA190" s="72"/>
      <c r="BB190" s="72"/>
      <c r="BC190" s="72"/>
      <c r="BD190" s="72"/>
      <c r="BE190" s="72"/>
      <c r="BF190" s="72"/>
      <c r="BG190" s="72"/>
      <c r="BH190" s="72"/>
      <c r="BI190" s="72"/>
      <c r="BJ190" s="72"/>
      <c r="BK190" s="72"/>
      <c r="BL190" s="72"/>
      <c r="BM190" s="72"/>
      <c r="BN190" s="72"/>
      <c r="BO190" s="72"/>
      <c r="BP190" s="72"/>
      <c r="BQ190" s="72"/>
      <c r="BR190" s="72"/>
    </row>
    <row r="191" spans="4:70">
      <c r="D191" s="68"/>
      <c r="E191" s="68"/>
      <c r="F191" s="68"/>
      <c r="G191" s="68"/>
      <c r="H191" s="68"/>
      <c r="I191" s="68"/>
      <c r="J191" s="68"/>
      <c r="K191" s="68"/>
      <c r="L191" s="68"/>
      <c r="M191" s="68"/>
      <c r="N191" s="68"/>
      <c r="O191" s="68"/>
      <c r="P191" s="68"/>
      <c r="Q191" s="67"/>
      <c r="R191" s="67"/>
      <c r="S191" s="67"/>
      <c r="T191" s="67"/>
      <c r="U191" s="67"/>
      <c r="V191" s="67"/>
      <c r="W191" s="67"/>
      <c r="X191" s="67"/>
      <c r="Y191" s="67"/>
      <c r="Z191" s="67"/>
      <c r="AA191" s="68"/>
      <c r="AB191" s="68"/>
      <c r="AC191" s="67"/>
      <c r="AD191" s="67"/>
      <c r="AE191" s="67"/>
      <c r="AF191" s="67"/>
      <c r="AG191" s="67"/>
      <c r="AH191" s="67"/>
      <c r="AI191" s="67"/>
      <c r="AJ191" s="67"/>
      <c r="AK191" s="67"/>
      <c r="AL191" s="67"/>
      <c r="AM191" s="67"/>
      <c r="AN191" s="72"/>
      <c r="AO191" s="72"/>
      <c r="AP191" s="72"/>
      <c r="AQ191" s="72"/>
      <c r="AR191" s="72"/>
      <c r="AS191" s="72"/>
      <c r="AT191" s="72"/>
      <c r="AU191" s="72"/>
      <c r="AV191" s="72"/>
      <c r="AW191" s="72"/>
      <c r="AX191" s="72"/>
      <c r="AY191" s="72"/>
      <c r="AZ191" s="72"/>
      <c r="BA191" s="72"/>
      <c r="BB191" s="72"/>
      <c r="BC191" s="72"/>
      <c r="BD191" s="72"/>
      <c r="BE191" s="72"/>
      <c r="BF191" s="72"/>
      <c r="BG191" s="72"/>
      <c r="BH191" s="72"/>
      <c r="BI191" s="72"/>
      <c r="BJ191" s="72"/>
      <c r="BK191" s="72"/>
      <c r="BL191" s="72"/>
      <c r="BM191" s="72"/>
      <c r="BN191" s="72"/>
      <c r="BO191" s="72"/>
      <c r="BP191" s="72"/>
      <c r="BQ191" s="72"/>
      <c r="BR191" s="72"/>
    </row>
    <row r="192" spans="4:70">
      <c r="D192" s="68"/>
      <c r="E192" s="68"/>
      <c r="F192" s="68"/>
      <c r="G192" s="68"/>
      <c r="H192" s="68"/>
      <c r="I192" s="68"/>
      <c r="J192" s="68"/>
      <c r="K192" s="68"/>
      <c r="L192" s="68"/>
      <c r="M192" s="68"/>
      <c r="N192" s="68"/>
      <c r="O192" s="68"/>
      <c r="P192" s="68"/>
      <c r="Q192" s="67"/>
      <c r="R192" s="67"/>
      <c r="S192" s="67"/>
      <c r="T192" s="67"/>
      <c r="U192" s="67"/>
      <c r="V192" s="67"/>
      <c r="W192" s="67"/>
      <c r="X192" s="67"/>
      <c r="Y192" s="67"/>
      <c r="Z192" s="67"/>
      <c r="AA192" s="68"/>
      <c r="AB192" s="68"/>
      <c r="AC192" s="67"/>
      <c r="AD192" s="67"/>
      <c r="AE192" s="67"/>
      <c r="AF192" s="67"/>
      <c r="AG192" s="67"/>
      <c r="AH192" s="67"/>
      <c r="AI192" s="67"/>
      <c r="AJ192" s="67"/>
      <c r="AK192" s="67"/>
      <c r="AL192" s="67"/>
      <c r="AM192" s="67"/>
      <c r="AN192" s="72"/>
      <c r="AO192" s="72"/>
      <c r="AP192" s="72"/>
      <c r="AQ192" s="72"/>
      <c r="AR192" s="72"/>
      <c r="AS192" s="72"/>
      <c r="AT192" s="72"/>
      <c r="AU192" s="72"/>
      <c r="AV192" s="72"/>
      <c r="AW192" s="72"/>
      <c r="AX192" s="72"/>
      <c r="AY192" s="72"/>
      <c r="AZ192" s="72"/>
      <c r="BA192" s="72"/>
      <c r="BB192" s="72"/>
      <c r="BC192" s="72"/>
      <c r="BD192" s="72"/>
      <c r="BE192" s="72"/>
      <c r="BF192" s="72"/>
      <c r="BG192" s="72"/>
      <c r="BH192" s="72"/>
      <c r="BI192" s="72"/>
      <c r="BJ192" s="72"/>
      <c r="BK192" s="72"/>
      <c r="BL192" s="72"/>
      <c r="BM192" s="72"/>
      <c r="BN192" s="72"/>
      <c r="BO192" s="72"/>
      <c r="BP192" s="72"/>
      <c r="BQ192" s="72"/>
      <c r="BR192" s="72"/>
    </row>
    <row r="193" spans="4:70">
      <c r="D193" s="68"/>
      <c r="E193" s="68"/>
      <c r="F193" s="68"/>
      <c r="G193" s="68"/>
      <c r="H193" s="68"/>
      <c r="I193" s="68"/>
      <c r="J193" s="68"/>
      <c r="K193" s="68"/>
      <c r="L193" s="68"/>
      <c r="M193" s="68"/>
      <c r="N193" s="68"/>
      <c r="O193" s="68"/>
      <c r="P193" s="68"/>
      <c r="Q193" s="67"/>
      <c r="R193" s="67"/>
      <c r="S193" s="67"/>
      <c r="T193" s="67"/>
      <c r="U193" s="67"/>
      <c r="V193" s="67"/>
      <c r="W193" s="67"/>
      <c r="X193" s="67"/>
      <c r="Y193" s="67"/>
      <c r="Z193" s="67"/>
      <c r="AA193" s="68"/>
      <c r="AB193" s="68"/>
      <c r="AC193" s="67"/>
      <c r="AD193" s="67"/>
      <c r="AE193" s="67"/>
      <c r="AF193" s="67"/>
      <c r="AG193" s="67"/>
      <c r="AH193" s="67"/>
      <c r="AI193" s="67"/>
      <c r="AJ193" s="67"/>
      <c r="AK193" s="67"/>
      <c r="AL193" s="67"/>
      <c r="AM193" s="67"/>
      <c r="AN193" s="72"/>
      <c r="AO193" s="72"/>
      <c r="AP193" s="72"/>
      <c r="AQ193" s="72"/>
      <c r="AR193" s="72"/>
      <c r="AS193" s="72"/>
      <c r="AT193" s="72"/>
      <c r="AU193" s="72"/>
      <c r="AV193" s="72"/>
      <c r="AW193" s="72"/>
      <c r="AX193" s="72"/>
      <c r="AY193" s="72"/>
      <c r="AZ193" s="72"/>
      <c r="BA193" s="72"/>
      <c r="BB193" s="72"/>
      <c r="BC193" s="72"/>
      <c r="BD193" s="72"/>
      <c r="BE193" s="72"/>
      <c r="BF193" s="72"/>
      <c r="BG193" s="72"/>
      <c r="BH193" s="72"/>
      <c r="BI193" s="72"/>
      <c r="BJ193" s="72"/>
      <c r="BK193" s="72"/>
      <c r="BL193" s="72"/>
      <c r="BM193" s="72"/>
      <c r="BN193" s="72"/>
      <c r="BO193" s="72"/>
      <c r="BP193" s="72"/>
      <c r="BQ193" s="72"/>
      <c r="BR193" s="72"/>
    </row>
    <row r="194" spans="4:70">
      <c r="D194" s="68"/>
      <c r="E194" s="68"/>
      <c r="F194" s="68"/>
      <c r="G194" s="68"/>
      <c r="H194" s="68"/>
      <c r="I194" s="68"/>
      <c r="J194" s="68"/>
      <c r="K194" s="68"/>
      <c r="L194" s="68"/>
      <c r="M194" s="68"/>
      <c r="N194" s="68"/>
      <c r="O194" s="68"/>
      <c r="P194" s="68"/>
      <c r="Q194" s="67"/>
      <c r="R194" s="67"/>
      <c r="S194" s="67"/>
      <c r="T194" s="67"/>
      <c r="U194" s="67"/>
      <c r="V194" s="67"/>
      <c r="W194" s="67"/>
      <c r="X194" s="67"/>
      <c r="Y194" s="67"/>
      <c r="Z194" s="67"/>
      <c r="AA194" s="68"/>
      <c r="AB194" s="68"/>
      <c r="AC194" s="67"/>
      <c r="AD194" s="67"/>
      <c r="AE194" s="67"/>
      <c r="AF194" s="67"/>
      <c r="AG194" s="67"/>
      <c r="AH194" s="67"/>
      <c r="AI194" s="67"/>
      <c r="AJ194" s="67"/>
      <c r="AK194" s="67"/>
      <c r="AL194" s="67"/>
      <c r="AM194" s="67"/>
      <c r="AN194" s="72"/>
      <c r="AO194" s="72"/>
      <c r="AP194" s="72"/>
      <c r="AQ194" s="72"/>
      <c r="AR194" s="72"/>
      <c r="AS194" s="72"/>
      <c r="AT194" s="72"/>
      <c r="AU194" s="72"/>
      <c r="AV194" s="72"/>
      <c r="AW194" s="72"/>
      <c r="AX194" s="72"/>
      <c r="AY194" s="72"/>
      <c r="AZ194" s="72"/>
      <c r="BA194" s="72"/>
      <c r="BB194" s="72"/>
      <c r="BC194" s="72"/>
      <c r="BD194" s="72"/>
      <c r="BE194" s="72"/>
      <c r="BF194" s="72"/>
      <c r="BG194" s="72"/>
      <c r="BH194" s="72"/>
      <c r="BI194" s="72"/>
      <c r="BJ194" s="72"/>
      <c r="BK194" s="72"/>
      <c r="BL194" s="72"/>
      <c r="BM194" s="72"/>
      <c r="BN194" s="72"/>
      <c r="BO194" s="72"/>
      <c r="BP194" s="72"/>
      <c r="BQ194" s="72"/>
      <c r="BR194" s="72"/>
    </row>
    <row r="195" spans="4:70">
      <c r="D195" s="68"/>
      <c r="E195" s="68"/>
      <c r="F195" s="68"/>
      <c r="G195" s="68"/>
      <c r="H195" s="68"/>
      <c r="I195" s="68"/>
      <c r="J195" s="68"/>
      <c r="K195" s="68"/>
      <c r="L195" s="68"/>
      <c r="M195" s="68"/>
      <c r="N195" s="68"/>
      <c r="O195" s="68"/>
      <c r="P195" s="68"/>
      <c r="Q195" s="67"/>
      <c r="R195" s="67"/>
      <c r="S195" s="67"/>
      <c r="T195" s="67"/>
      <c r="U195" s="67"/>
      <c r="V195" s="67"/>
      <c r="W195" s="67"/>
      <c r="X195" s="67"/>
      <c r="Y195" s="67"/>
      <c r="Z195" s="67"/>
      <c r="AA195" s="68"/>
      <c r="AB195" s="68"/>
      <c r="AC195" s="67"/>
      <c r="AD195" s="67"/>
      <c r="AE195" s="67"/>
      <c r="AF195" s="67"/>
      <c r="AG195" s="67"/>
      <c r="AH195" s="67"/>
      <c r="AI195" s="67"/>
      <c r="AJ195" s="67"/>
      <c r="AK195" s="67"/>
      <c r="AL195" s="67"/>
      <c r="AM195" s="67"/>
      <c r="AN195" s="72"/>
      <c r="AO195" s="72"/>
      <c r="AP195" s="72"/>
      <c r="AQ195" s="72"/>
      <c r="AR195" s="72"/>
      <c r="AS195" s="72"/>
      <c r="AT195" s="72"/>
      <c r="AU195" s="72"/>
      <c r="AV195" s="72"/>
      <c r="AW195" s="72"/>
      <c r="AX195" s="72"/>
      <c r="AY195" s="72"/>
      <c r="AZ195" s="72"/>
      <c r="BA195" s="72"/>
      <c r="BB195" s="72"/>
      <c r="BC195" s="72"/>
      <c r="BD195" s="72"/>
      <c r="BE195" s="72"/>
      <c r="BF195" s="72"/>
      <c r="BG195" s="72"/>
      <c r="BH195" s="72"/>
      <c r="BI195" s="72"/>
      <c r="BJ195" s="72"/>
      <c r="BK195" s="72"/>
      <c r="BL195" s="72"/>
      <c r="BM195" s="72"/>
      <c r="BN195" s="72"/>
      <c r="BO195" s="72"/>
      <c r="BP195" s="72"/>
      <c r="BQ195" s="72"/>
      <c r="BR195" s="72"/>
    </row>
    <row r="196" spans="4:70">
      <c r="D196" s="68"/>
      <c r="E196" s="68"/>
      <c r="F196" s="68"/>
      <c r="G196" s="68"/>
      <c r="H196" s="68"/>
      <c r="I196" s="68"/>
      <c r="J196" s="68"/>
      <c r="K196" s="68"/>
      <c r="L196" s="68"/>
      <c r="M196" s="68"/>
      <c r="N196" s="68"/>
      <c r="O196" s="68"/>
      <c r="P196" s="68"/>
      <c r="Q196" s="67"/>
      <c r="R196" s="67"/>
      <c r="S196" s="67"/>
      <c r="T196" s="67"/>
      <c r="U196" s="67"/>
      <c r="V196" s="67"/>
      <c r="W196" s="67"/>
      <c r="X196" s="67"/>
      <c r="Y196" s="67"/>
      <c r="Z196" s="67"/>
      <c r="AA196" s="68"/>
      <c r="AB196" s="68"/>
      <c r="AC196" s="67"/>
      <c r="AD196" s="67"/>
      <c r="AE196" s="67"/>
      <c r="AF196" s="67"/>
      <c r="AG196" s="67"/>
      <c r="AH196" s="67"/>
      <c r="AI196" s="67"/>
      <c r="AJ196" s="67"/>
      <c r="AK196" s="67"/>
      <c r="AL196" s="67"/>
      <c r="AM196" s="67"/>
      <c r="AN196" s="72"/>
      <c r="AO196" s="72"/>
      <c r="AP196" s="72"/>
      <c r="AQ196" s="72"/>
      <c r="AR196" s="72"/>
      <c r="AS196" s="72"/>
      <c r="AT196" s="72"/>
      <c r="AU196" s="72"/>
      <c r="AV196" s="72"/>
      <c r="AW196" s="72"/>
      <c r="AX196" s="72"/>
      <c r="AY196" s="72"/>
      <c r="AZ196" s="72"/>
      <c r="BA196" s="72"/>
      <c r="BB196" s="72"/>
      <c r="BC196" s="72"/>
      <c r="BD196" s="72"/>
      <c r="BE196" s="72"/>
      <c r="BF196" s="72"/>
      <c r="BG196" s="72"/>
      <c r="BH196" s="72"/>
      <c r="BI196" s="72"/>
      <c r="BJ196" s="72"/>
      <c r="BK196" s="72"/>
      <c r="BL196" s="72"/>
      <c r="BM196" s="72"/>
      <c r="BN196" s="72"/>
      <c r="BO196" s="72"/>
      <c r="BP196" s="72"/>
      <c r="BQ196" s="72"/>
      <c r="BR196" s="72"/>
    </row>
    <row r="197" spans="4:70">
      <c r="D197" s="68"/>
      <c r="E197" s="68"/>
      <c r="F197" s="68"/>
      <c r="G197" s="68"/>
      <c r="H197" s="68"/>
      <c r="I197" s="68"/>
      <c r="J197" s="68"/>
      <c r="K197" s="68"/>
      <c r="L197" s="68"/>
      <c r="M197" s="68"/>
      <c r="N197" s="68"/>
      <c r="O197" s="68"/>
      <c r="P197" s="68"/>
      <c r="Q197" s="67"/>
      <c r="R197" s="67"/>
      <c r="S197" s="67"/>
      <c r="T197" s="67"/>
      <c r="U197" s="67"/>
      <c r="V197" s="67"/>
      <c r="W197" s="67"/>
      <c r="X197" s="67"/>
      <c r="Y197" s="67"/>
      <c r="Z197" s="67"/>
      <c r="AA197" s="68"/>
      <c r="AB197" s="68"/>
      <c r="AC197" s="67"/>
      <c r="AD197" s="67"/>
      <c r="AE197" s="67"/>
      <c r="AF197" s="67"/>
      <c r="AG197" s="67"/>
      <c r="AH197" s="67"/>
      <c r="AI197" s="67"/>
      <c r="AJ197" s="67"/>
      <c r="AK197" s="67"/>
      <c r="AL197" s="67"/>
      <c r="AM197" s="67"/>
      <c r="AN197" s="72"/>
      <c r="AO197" s="72"/>
      <c r="AP197" s="72"/>
      <c r="AQ197" s="72"/>
      <c r="AR197" s="72"/>
      <c r="AS197" s="72"/>
      <c r="AT197" s="72"/>
      <c r="AU197" s="72"/>
      <c r="AV197" s="72"/>
      <c r="AW197" s="72"/>
      <c r="AX197" s="72"/>
      <c r="AY197" s="72"/>
      <c r="AZ197" s="72"/>
      <c r="BA197" s="72"/>
      <c r="BB197" s="72"/>
      <c r="BC197" s="72"/>
      <c r="BD197" s="72"/>
      <c r="BE197" s="72"/>
      <c r="BF197" s="72"/>
      <c r="BG197" s="72"/>
      <c r="BH197" s="72"/>
      <c r="BI197" s="72"/>
      <c r="BJ197" s="72"/>
      <c r="BK197" s="72"/>
      <c r="BL197" s="72"/>
      <c r="BM197" s="72"/>
      <c r="BN197" s="72"/>
      <c r="BO197" s="72"/>
      <c r="BP197" s="72"/>
      <c r="BQ197" s="72"/>
      <c r="BR197" s="72"/>
    </row>
    <row r="198" spans="4:70">
      <c r="D198" s="68"/>
      <c r="E198" s="68"/>
      <c r="F198" s="68"/>
      <c r="G198" s="68"/>
      <c r="H198" s="68"/>
      <c r="I198" s="68"/>
      <c r="J198" s="68"/>
      <c r="K198" s="68"/>
      <c r="L198" s="68"/>
      <c r="M198" s="68"/>
      <c r="N198" s="68"/>
      <c r="O198" s="68"/>
      <c r="P198" s="68"/>
      <c r="Q198" s="67"/>
      <c r="R198" s="67"/>
      <c r="S198" s="67"/>
      <c r="T198" s="67"/>
      <c r="U198" s="67"/>
      <c r="V198" s="67"/>
      <c r="W198" s="67"/>
      <c r="X198" s="67"/>
      <c r="Y198" s="67"/>
      <c r="Z198" s="67"/>
      <c r="AA198" s="68"/>
      <c r="AB198" s="68"/>
      <c r="AC198" s="67"/>
      <c r="AD198" s="67"/>
      <c r="AE198" s="67"/>
      <c r="AF198" s="67"/>
      <c r="AG198" s="67"/>
      <c r="AH198" s="67"/>
      <c r="AI198" s="67"/>
      <c r="AJ198" s="67"/>
      <c r="AK198" s="67"/>
      <c r="AL198" s="67"/>
      <c r="AM198" s="67"/>
      <c r="AN198" s="72"/>
      <c r="AO198" s="72"/>
      <c r="AP198" s="72"/>
      <c r="AQ198" s="72"/>
      <c r="AR198" s="72"/>
      <c r="AS198" s="72"/>
      <c r="AT198" s="72"/>
      <c r="AU198" s="72"/>
      <c r="AV198" s="72"/>
      <c r="AW198" s="72"/>
      <c r="AX198" s="72"/>
      <c r="AY198" s="72"/>
      <c r="AZ198" s="72"/>
      <c r="BA198" s="72"/>
      <c r="BB198" s="72"/>
      <c r="BC198" s="72"/>
      <c r="BD198" s="72"/>
      <c r="BE198" s="72"/>
      <c r="BF198" s="72"/>
      <c r="BG198" s="72"/>
      <c r="BH198" s="72"/>
      <c r="BI198" s="72"/>
      <c r="BJ198" s="72"/>
      <c r="BK198" s="72"/>
      <c r="BL198" s="72"/>
      <c r="BM198" s="72"/>
      <c r="BN198" s="72"/>
      <c r="BO198" s="72"/>
      <c r="BP198" s="72"/>
      <c r="BQ198" s="72"/>
      <c r="BR198" s="72"/>
    </row>
    <row r="199" spans="4:70">
      <c r="D199" s="68"/>
      <c r="E199" s="68"/>
      <c r="F199" s="68"/>
      <c r="G199" s="68"/>
      <c r="H199" s="68"/>
      <c r="I199" s="68"/>
      <c r="J199" s="68"/>
      <c r="K199" s="68"/>
      <c r="L199" s="68"/>
      <c r="M199" s="68"/>
      <c r="N199" s="68"/>
      <c r="O199" s="68"/>
      <c r="P199" s="68"/>
      <c r="Q199" s="67"/>
      <c r="R199" s="67"/>
      <c r="S199" s="67"/>
      <c r="T199" s="67"/>
      <c r="U199" s="67"/>
      <c r="V199" s="67"/>
      <c r="W199" s="67"/>
      <c r="X199" s="67"/>
      <c r="Y199" s="67"/>
      <c r="Z199" s="67"/>
      <c r="AA199" s="68"/>
      <c r="AB199" s="68"/>
      <c r="AC199" s="67"/>
      <c r="AD199" s="67"/>
      <c r="AE199" s="67"/>
      <c r="AF199" s="67"/>
      <c r="AG199" s="67"/>
      <c r="AH199" s="67"/>
      <c r="AI199" s="67"/>
      <c r="AJ199" s="67"/>
      <c r="AK199" s="67"/>
      <c r="AL199" s="67"/>
      <c r="AM199" s="67"/>
      <c r="AN199" s="72"/>
      <c r="AO199" s="72"/>
      <c r="AP199" s="72"/>
      <c r="AQ199" s="72"/>
      <c r="AR199" s="72"/>
      <c r="AS199" s="72"/>
      <c r="AT199" s="72"/>
      <c r="AU199" s="72"/>
      <c r="AV199" s="72"/>
      <c r="AW199" s="72"/>
      <c r="AX199" s="72"/>
      <c r="AY199" s="72"/>
      <c r="AZ199" s="72"/>
      <c r="BA199" s="72"/>
      <c r="BB199" s="72"/>
      <c r="BC199" s="72"/>
      <c r="BD199" s="72"/>
      <c r="BE199" s="72"/>
      <c r="BF199" s="72"/>
      <c r="BG199" s="72"/>
      <c r="BH199" s="72"/>
      <c r="BI199" s="72"/>
      <c r="BJ199" s="72"/>
      <c r="BK199" s="72"/>
      <c r="BL199" s="72"/>
      <c r="BM199" s="72"/>
      <c r="BN199" s="72"/>
      <c r="BO199" s="72"/>
      <c r="BP199" s="72"/>
      <c r="BQ199" s="72"/>
      <c r="BR199" s="72"/>
    </row>
    <row r="200" spans="4:70">
      <c r="D200" s="68"/>
      <c r="E200" s="68"/>
      <c r="F200" s="68"/>
      <c r="G200" s="68"/>
      <c r="H200" s="68"/>
      <c r="I200" s="68"/>
      <c r="J200" s="68"/>
      <c r="K200" s="68"/>
      <c r="L200" s="68"/>
      <c r="M200" s="68"/>
      <c r="N200" s="68"/>
      <c r="O200" s="68"/>
      <c r="P200" s="68"/>
      <c r="Q200" s="67"/>
      <c r="R200" s="67"/>
      <c r="S200" s="67"/>
      <c r="T200" s="67"/>
      <c r="U200" s="67"/>
      <c r="V200" s="67"/>
      <c r="W200" s="67"/>
      <c r="X200" s="67"/>
      <c r="Y200" s="67"/>
      <c r="Z200" s="67"/>
      <c r="AA200" s="68"/>
      <c r="AB200" s="68"/>
      <c r="AC200" s="67"/>
      <c r="AD200" s="67"/>
      <c r="AE200" s="67"/>
      <c r="AF200" s="67"/>
      <c r="AG200" s="67"/>
      <c r="AH200" s="67"/>
      <c r="AI200" s="67"/>
      <c r="AJ200" s="67"/>
      <c r="AK200" s="67"/>
      <c r="AL200" s="67"/>
      <c r="AM200" s="67"/>
      <c r="AN200" s="72"/>
      <c r="AO200" s="72"/>
      <c r="AP200" s="72"/>
      <c r="AQ200" s="72"/>
      <c r="AR200" s="72"/>
      <c r="AS200" s="72"/>
      <c r="AT200" s="72"/>
      <c r="AU200" s="72"/>
      <c r="AV200" s="72"/>
      <c r="AW200" s="72"/>
      <c r="AX200" s="72"/>
      <c r="AY200" s="72"/>
      <c r="AZ200" s="72"/>
      <c r="BA200" s="72"/>
      <c r="BB200" s="72"/>
      <c r="BC200" s="72"/>
      <c r="BD200" s="72"/>
      <c r="BE200" s="72"/>
      <c r="BF200" s="72"/>
      <c r="BG200" s="72"/>
      <c r="BH200" s="72"/>
      <c r="BI200" s="72"/>
      <c r="BJ200" s="72"/>
      <c r="BK200" s="72"/>
      <c r="BL200" s="72"/>
      <c r="BM200" s="72"/>
      <c r="BN200" s="72"/>
      <c r="BO200" s="72"/>
      <c r="BP200" s="72"/>
      <c r="BQ200" s="72"/>
      <c r="BR200" s="72"/>
    </row>
    <row r="201" spans="4:70">
      <c r="D201" s="68"/>
      <c r="E201" s="68"/>
      <c r="F201" s="68"/>
      <c r="G201" s="68"/>
      <c r="H201" s="68"/>
      <c r="I201" s="68"/>
      <c r="J201" s="68"/>
      <c r="K201" s="68"/>
      <c r="L201" s="68"/>
      <c r="M201" s="68"/>
      <c r="N201" s="68"/>
      <c r="O201" s="68"/>
      <c r="P201" s="68"/>
      <c r="Q201" s="67"/>
      <c r="R201" s="67"/>
      <c r="S201" s="67"/>
      <c r="T201" s="67"/>
      <c r="U201" s="67"/>
      <c r="V201" s="67"/>
      <c r="W201" s="67"/>
      <c r="X201" s="67"/>
      <c r="Y201" s="67"/>
      <c r="Z201" s="67"/>
      <c r="AA201" s="68"/>
      <c r="AB201" s="68"/>
      <c r="AC201" s="67"/>
      <c r="AD201" s="67"/>
      <c r="AE201" s="67"/>
      <c r="AF201" s="67"/>
      <c r="AG201" s="67"/>
      <c r="AH201" s="67"/>
      <c r="AI201" s="67"/>
      <c r="AJ201" s="67"/>
      <c r="AK201" s="67"/>
      <c r="AL201" s="67"/>
      <c r="AM201" s="67"/>
      <c r="AN201" s="72"/>
      <c r="AO201" s="72"/>
      <c r="AP201" s="72"/>
      <c r="AQ201" s="72"/>
      <c r="AR201" s="72"/>
      <c r="AS201" s="72"/>
      <c r="AT201" s="72"/>
      <c r="AU201" s="72"/>
      <c r="AV201" s="72"/>
      <c r="AW201" s="72"/>
      <c r="AX201" s="72"/>
      <c r="AY201" s="72"/>
      <c r="AZ201" s="72"/>
      <c r="BA201" s="72"/>
      <c r="BB201" s="72"/>
      <c r="BC201" s="72"/>
      <c r="BD201" s="72"/>
      <c r="BE201" s="72"/>
      <c r="BF201" s="72"/>
      <c r="BG201" s="72"/>
      <c r="BH201" s="72"/>
      <c r="BI201" s="72"/>
      <c r="BJ201" s="72"/>
      <c r="BK201" s="72"/>
      <c r="BL201" s="72"/>
      <c r="BM201" s="72"/>
      <c r="BN201" s="72"/>
      <c r="BO201" s="72"/>
      <c r="BP201" s="72"/>
      <c r="BQ201" s="72"/>
      <c r="BR201" s="72"/>
    </row>
    <row r="202" spans="4:70">
      <c r="D202" s="68"/>
      <c r="E202" s="68"/>
      <c r="F202" s="68"/>
      <c r="G202" s="68"/>
      <c r="H202" s="68"/>
      <c r="I202" s="68"/>
      <c r="J202" s="68"/>
      <c r="K202" s="68"/>
      <c r="L202" s="68"/>
      <c r="M202" s="68"/>
      <c r="N202" s="68"/>
      <c r="O202" s="68"/>
      <c r="P202" s="68"/>
      <c r="Q202" s="67"/>
      <c r="R202" s="67"/>
      <c r="S202" s="67"/>
      <c r="T202" s="67"/>
      <c r="U202" s="67"/>
      <c r="V202" s="67"/>
      <c r="W202" s="67"/>
      <c r="X202" s="67"/>
      <c r="Y202" s="67"/>
      <c r="Z202" s="67"/>
      <c r="AA202" s="68"/>
      <c r="AB202" s="68"/>
      <c r="AC202" s="67"/>
      <c r="AD202" s="67"/>
      <c r="AE202" s="67"/>
      <c r="AF202" s="67"/>
      <c r="AG202" s="67"/>
      <c r="AH202" s="67"/>
      <c r="AI202" s="67"/>
      <c r="AJ202" s="67"/>
      <c r="AK202" s="67"/>
      <c r="AL202" s="67"/>
      <c r="AM202" s="67"/>
      <c r="AN202" s="72"/>
      <c r="AO202" s="72"/>
      <c r="AP202" s="72"/>
      <c r="AQ202" s="72"/>
      <c r="AR202" s="72"/>
      <c r="AS202" s="72"/>
      <c r="AT202" s="72"/>
      <c r="AU202" s="72"/>
      <c r="AV202" s="72"/>
      <c r="AW202" s="72"/>
      <c r="AX202" s="72"/>
      <c r="AY202" s="72"/>
      <c r="AZ202" s="72"/>
      <c r="BA202" s="72"/>
      <c r="BB202" s="72"/>
      <c r="BC202" s="72"/>
      <c r="BD202" s="72"/>
      <c r="BE202" s="72"/>
      <c r="BF202" s="72"/>
      <c r="BG202" s="72"/>
      <c r="BH202" s="72"/>
      <c r="BI202" s="72"/>
      <c r="BJ202" s="72"/>
      <c r="BK202" s="72"/>
      <c r="BL202" s="72"/>
      <c r="BM202" s="72"/>
      <c r="BN202" s="72"/>
      <c r="BO202" s="72"/>
      <c r="BP202" s="72"/>
      <c r="BQ202" s="72"/>
      <c r="BR202" s="72"/>
    </row>
    <row r="203" spans="4:70">
      <c r="D203" s="68"/>
      <c r="E203" s="68"/>
      <c r="F203" s="68"/>
      <c r="G203" s="68"/>
      <c r="H203" s="68"/>
      <c r="I203" s="68"/>
      <c r="J203" s="68"/>
      <c r="K203" s="68"/>
      <c r="L203" s="68"/>
      <c r="M203" s="68"/>
      <c r="N203" s="68"/>
      <c r="O203" s="68"/>
      <c r="P203" s="68"/>
      <c r="Q203" s="67"/>
      <c r="R203" s="67"/>
      <c r="S203" s="67"/>
      <c r="T203" s="67"/>
      <c r="U203" s="67"/>
      <c r="V203" s="67"/>
      <c r="W203" s="67"/>
      <c r="X203" s="67"/>
      <c r="Y203" s="67"/>
      <c r="Z203" s="67"/>
      <c r="AA203" s="68"/>
      <c r="AB203" s="68"/>
      <c r="AC203" s="67"/>
      <c r="AD203" s="67"/>
      <c r="AE203" s="67"/>
      <c r="AF203" s="67"/>
      <c r="AG203" s="67"/>
      <c r="AH203" s="67"/>
      <c r="AI203" s="67"/>
      <c r="AJ203" s="67"/>
      <c r="AK203" s="67"/>
      <c r="AL203" s="67"/>
      <c r="AM203" s="67"/>
      <c r="AN203" s="72"/>
      <c r="AO203" s="72"/>
      <c r="AP203" s="72"/>
      <c r="AQ203" s="72"/>
      <c r="AR203" s="72"/>
      <c r="AS203" s="72"/>
      <c r="AT203" s="72"/>
      <c r="AU203" s="72"/>
      <c r="AV203" s="72"/>
      <c r="AW203" s="72"/>
      <c r="AX203" s="72"/>
      <c r="AY203" s="72"/>
      <c r="AZ203" s="72"/>
      <c r="BA203" s="72"/>
      <c r="BB203" s="72"/>
      <c r="BC203" s="72"/>
      <c r="BD203" s="72"/>
      <c r="BE203" s="72"/>
      <c r="BF203" s="72"/>
      <c r="BG203" s="72"/>
      <c r="BH203" s="72"/>
      <c r="BI203" s="72"/>
      <c r="BJ203" s="72"/>
      <c r="BK203" s="72"/>
      <c r="BL203" s="72"/>
      <c r="BM203" s="72"/>
      <c r="BN203" s="72"/>
      <c r="BO203" s="72"/>
      <c r="BP203" s="72"/>
      <c r="BQ203" s="72"/>
      <c r="BR203" s="72"/>
    </row>
    <row r="204" spans="4:70">
      <c r="D204" s="68"/>
      <c r="E204" s="68"/>
      <c r="F204" s="68"/>
      <c r="G204" s="68"/>
      <c r="H204" s="68"/>
      <c r="I204" s="68"/>
      <c r="J204" s="68"/>
      <c r="K204" s="68"/>
      <c r="L204" s="68"/>
      <c r="M204" s="68"/>
      <c r="N204" s="68"/>
      <c r="O204" s="68"/>
      <c r="P204" s="68"/>
      <c r="Q204" s="67"/>
      <c r="R204" s="67"/>
      <c r="S204" s="67"/>
      <c r="T204" s="67"/>
      <c r="U204" s="67"/>
      <c r="V204" s="67"/>
      <c r="W204" s="67"/>
      <c r="X204" s="67"/>
      <c r="Y204" s="67"/>
      <c r="Z204" s="67"/>
      <c r="AA204" s="68"/>
      <c r="AB204" s="68"/>
      <c r="AC204" s="67"/>
      <c r="AD204" s="67"/>
      <c r="AE204" s="67"/>
      <c r="AF204" s="67"/>
      <c r="AG204" s="67"/>
      <c r="AH204" s="67"/>
      <c r="AI204" s="67"/>
      <c r="AJ204" s="67"/>
      <c r="AK204" s="67"/>
      <c r="AL204" s="67"/>
      <c r="AM204" s="67"/>
      <c r="AN204" s="72"/>
      <c r="AO204" s="72"/>
      <c r="AP204" s="72"/>
      <c r="AQ204" s="72"/>
      <c r="AR204" s="72"/>
      <c r="AS204" s="72"/>
      <c r="AT204" s="72"/>
      <c r="AU204" s="72"/>
      <c r="AV204" s="72"/>
      <c r="AW204" s="72"/>
      <c r="AX204" s="72"/>
      <c r="AY204" s="72"/>
      <c r="AZ204" s="72"/>
      <c r="BA204" s="72"/>
      <c r="BB204" s="72"/>
      <c r="BC204" s="72"/>
      <c r="BD204" s="72"/>
      <c r="BE204" s="72"/>
      <c r="BF204" s="72"/>
      <c r="BG204" s="72"/>
      <c r="BH204" s="72"/>
      <c r="BI204" s="72"/>
      <c r="BJ204" s="72"/>
      <c r="BK204" s="72"/>
      <c r="BL204" s="72"/>
      <c r="BM204" s="72"/>
      <c r="BN204" s="72"/>
      <c r="BO204" s="72"/>
      <c r="BP204" s="72"/>
      <c r="BQ204" s="72"/>
      <c r="BR204" s="72"/>
    </row>
    <row r="205" spans="4:70">
      <c r="D205" s="68"/>
      <c r="E205" s="68"/>
      <c r="F205" s="68"/>
      <c r="G205" s="68"/>
      <c r="H205" s="68"/>
      <c r="I205" s="68"/>
      <c r="J205" s="68"/>
      <c r="K205" s="68"/>
      <c r="L205" s="68"/>
      <c r="M205" s="68"/>
      <c r="N205" s="68"/>
      <c r="O205" s="68"/>
      <c r="P205" s="68"/>
      <c r="Q205" s="67"/>
      <c r="R205" s="67"/>
      <c r="S205" s="67"/>
      <c r="T205" s="67"/>
      <c r="U205" s="67"/>
      <c r="V205" s="67"/>
      <c r="W205" s="67"/>
      <c r="X205" s="67"/>
      <c r="Y205" s="67"/>
      <c r="Z205" s="67"/>
      <c r="AA205" s="68"/>
      <c r="AB205" s="68"/>
      <c r="AC205" s="67"/>
      <c r="AD205" s="67"/>
      <c r="AE205" s="67"/>
      <c r="AF205" s="67"/>
      <c r="AG205" s="67"/>
      <c r="AH205" s="67"/>
      <c r="AI205" s="67"/>
      <c r="AJ205" s="67"/>
      <c r="AK205" s="67"/>
      <c r="AL205" s="67"/>
      <c r="AM205" s="67"/>
      <c r="AN205" s="72"/>
      <c r="AO205" s="72"/>
      <c r="AP205" s="72"/>
      <c r="AQ205" s="72"/>
      <c r="AR205" s="72"/>
      <c r="AS205" s="72"/>
      <c r="AT205" s="72"/>
      <c r="AU205" s="72"/>
      <c r="AV205" s="72"/>
      <c r="AW205" s="72"/>
      <c r="AX205" s="72"/>
      <c r="AY205" s="72"/>
      <c r="AZ205" s="72"/>
      <c r="BA205" s="72"/>
      <c r="BB205" s="72"/>
      <c r="BC205" s="72"/>
      <c r="BD205" s="72"/>
      <c r="BE205" s="72"/>
      <c r="BF205" s="72"/>
      <c r="BG205" s="72"/>
      <c r="BH205" s="72"/>
      <c r="BI205" s="72"/>
      <c r="BJ205" s="72"/>
      <c r="BK205" s="72"/>
      <c r="BL205" s="72"/>
      <c r="BM205" s="72"/>
      <c r="BN205" s="72"/>
      <c r="BO205" s="72"/>
      <c r="BP205" s="72"/>
      <c r="BQ205" s="72"/>
      <c r="BR205" s="72"/>
    </row>
    <row r="206" spans="4:70">
      <c r="D206" s="68"/>
      <c r="E206" s="68"/>
      <c r="F206" s="68"/>
      <c r="G206" s="68"/>
      <c r="H206" s="68"/>
      <c r="I206" s="68"/>
      <c r="J206" s="68"/>
      <c r="K206" s="68"/>
      <c r="L206" s="68"/>
      <c r="M206" s="68"/>
      <c r="N206" s="68"/>
      <c r="O206" s="68"/>
      <c r="P206" s="68"/>
      <c r="Q206" s="67"/>
      <c r="R206" s="67"/>
      <c r="S206" s="67"/>
      <c r="T206" s="67"/>
      <c r="U206" s="67"/>
      <c r="V206" s="67"/>
      <c r="W206" s="67"/>
      <c r="X206" s="67"/>
      <c r="Y206" s="67"/>
      <c r="Z206" s="67"/>
      <c r="AA206" s="68"/>
      <c r="AB206" s="68"/>
      <c r="AC206" s="67"/>
      <c r="AD206" s="67"/>
      <c r="AE206" s="67"/>
      <c r="AF206" s="67"/>
      <c r="AG206" s="67"/>
      <c r="AH206" s="67"/>
      <c r="AI206" s="67"/>
      <c r="AJ206" s="67"/>
      <c r="AK206" s="67"/>
      <c r="AL206" s="67"/>
      <c r="AM206" s="67"/>
      <c r="AN206" s="72"/>
      <c r="AO206" s="72"/>
      <c r="AP206" s="72"/>
      <c r="AQ206" s="72"/>
      <c r="AR206" s="72"/>
      <c r="AS206" s="72"/>
      <c r="AT206" s="72"/>
      <c r="AU206" s="72"/>
      <c r="AV206" s="72"/>
      <c r="AW206" s="72"/>
      <c r="AX206" s="72"/>
      <c r="AY206" s="72"/>
      <c r="AZ206" s="72"/>
      <c r="BA206" s="72"/>
      <c r="BB206" s="72"/>
      <c r="BC206" s="72"/>
      <c r="BD206" s="72"/>
      <c r="BE206" s="72"/>
      <c r="BF206" s="72"/>
      <c r="BG206" s="72"/>
      <c r="BH206" s="72"/>
      <c r="BI206" s="72"/>
      <c r="BJ206" s="72"/>
      <c r="BK206" s="72"/>
      <c r="BL206" s="72"/>
      <c r="BM206" s="72"/>
      <c r="BN206" s="72"/>
      <c r="BO206" s="72"/>
      <c r="BP206" s="72"/>
      <c r="BQ206" s="72"/>
      <c r="BR206" s="72"/>
    </row>
    <row r="207" spans="4:70">
      <c r="D207" s="68"/>
      <c r="E207" s="68"/>
      <c r="F207" s="68"/>
      <c r="G207" s="68"/>
      <c r="H207" s="68"/>
      <c r="I207" s="68"/>
      <c r="J207" s="68"/>
      <c r="K207" s="68"/>
      <c r="L207" s="68"/>
      <c r="M207" s="68"/>
      <c r="N207" s="68"/>
      <c r="O207" s="68"/>
      <c r="P207" s="68"/>
      <c r="Q207" s="67"/>
      <c r="R207" s="67"/>
      <c r="S207" s="67"/>
      <c r="T207" s="67"/>
      <c r="U207" s="67"/>
      <c r="V207" s="67"/>
      <c r="W207" s="67"/>
      <c r="X207" s="67"/>
      <c r="Y207" s="67"/>
      <c r="Z207" s="67"/>
      <c r="AA207" s="68"/>
      <c r="AB207" s="68"/>
      <c r="AC207" s="67"/>
      <c r="AD207" s="67"/>
      <c r="AE207" s="67"/>
      <c r="AF207" s="67"/>
      <c r="AG207" s="67"/>
      <c r="AH207" s="67"/>
      <c r="AI207" s="67"/>
      <c r="AJ207" s="67"/>
      <c r="AK207" s="67"/>
      <c r="AL207" s="67"/>
      <c r="AM207" s="67"/>
      <c r="AN207" s="72"/>
      <c r="AO207" s="72"/>
      <c r="AP207" s="72"/>
      <c r="AQ207" s="72"/>
      <c r="AR207" s="72"/>
      <c r="AS207" s="72"/>
      <c r="AT207" s="72"/>
      <c r="AU207" s="72"/>
      <c r="AV207" s="72"/>
      <c r="AW207" s="72"/>
      <c r="AX207" s="72"/>
      <c r="AY207" s="72"/>
      <c r="AZ207" s="72"/>
      <c r="BA207" s="72"/>
      <c r="BB207" s="72"/>
      <c r="BC207" s="72"/>
      <c r="BD207" s="72"/>
      <c r="BE207" s="72"/>
      <c r="BF207" s="72"/>
      <c r="BG207" s="72"/>
      <c r="BH207" s="72"/>
      <c r="BI207" s="72"/>
      <c r="BJ207" s="72"/>
      <c r="BK207" s="72"/>
      <c r="BL207" s="72"/>
      <c r="BM207" s="72"/>
      <c r="BN207" s="72"/>
      <c r="BO207" s="72"/>
      <c r="BP207" s="72"/>
      <c r="BQ207" s="72"/>
      <c r="BR207" s="72"/>
    </row>
    <row r="208" spans="4:70">
      <c r="D208" s="68"/>
      <c r="E208" s="68"/>
      <c r="F208" s="68"/>
      <c r="G208" s="68"/>
      <c r="H208" s="68"/>
      <c r="I208" s="68"/>
      <c r="J208" s="68"/>
      <c r="K208" s="68"/>
      <c r="L208" s="68"/>
      <c r="M208" s="68"/>
      <c r="N208" s="68"/>
      <c r="O208" s="68"/>
      <c r="P208" s="68"/>
      <c r="Q208" s="67"/>
      <c r="R208" s="67"/>
      <c r="S208" s="67"/>
      <c r="T208" s="67"/>
      <c r="U208" s="67"/>
      <c r="V208" s="67"/>
      <c r="W208" s="67"/>
      <c r="X208" s="67"/>
      <c r="Y208" s="67"/>
      <c r="Z208" s="67"/>
      <c r="AA208" s="68"/>
      <c r="AB208" s="68"/>
      <c r="AC208" s="67"/>
      <c r="AD208" s="67"/>
      <c r="AE208" s="67"/>
      <c r="AF208" s="67"/>
      <c r="AG208" s="67"/>
      <c r="AH208" s="67"/>
      <c r="AI208" s="67"/>
      <c r="AJ208" s="67"/>
      <c r="AK208" s="67"/>
      <c r="AL208" s="67"/>
      <c r="AM208" s="67"/>
      <c r="AN208" s="72"/>
      <c r="AO208" s="72"/>
      <c r="AP208" s="72"/>
      <c r="AQ208" s="72"/>
      <c r="AR208" s="72"/>
      <c r="AS208" s="72"/>
      <c r="AT208" s="72"/>
      <c r="AU208" s="72"/>
      <c r="AV208" s="72"/>
      <c r="AW208" s="72"/>
      <c r="AX208" s="72"/>
      <c r="AY208" s="72"/>
      <c r="AZ208" s="72"/>
      <c r="BA208" s="72"/>
      <c r="BB208" s="72"/>
      <c r="BC208" s="72"/>
      <c r="BD208" s="72"/>
      <c r="BE208" s="72"/>
      <c r="BF208" s="72"/>
      <c r="BG208" s="72"/>
      <c r="BH208" s="72"/>
      <c r="BI208" s="72"/>
      <c r="BJ208" s="72"/>
      <c r="BK208" s="72"/>
      <c r="BL208" s="72"/>
      <c r="BM208" s="72"/>
      <c r="BN208" s="72"/>
      <c r="BO208" s="72"/>
      <c r="BP208" s="72"/>
      <c r="BQ208" s="72"/>
      <c r="BR208" s="72"/>
    </row>
    <row r="209" spans="4:70">
      <c r="D209" s="68"/>
      <c r="E209" s="68"/>
      <c r="F209" s="68"/>
      <c r="G209" s="68"/>
      <c r="H209" s="68"/>
      <c r="I209" s="68"/>
      <c r="J209" s="68"/>
      <c r="K209" s="68"/>
      <c r="L209" s="68"/>
      <c r="M209" s="68"/>
      <c r="N209" s="68"/>
      <c r="O209" s="68"/>
      <c r="P209" s="68"/>
      <c r="Q209" s="67"/>
      <c r="R209" s="67"/>
      <c r="S209" s="67"/>
      <c r="T209" s="67"/>
      <c r="U209" s="67"/>
      <c r="V209" s="67"/>
      <c r="W209" s="67"/>
      <c r="X209" s="67"/>
      <c r="Y209" s="67"/>
      <c r="Z209" s="67"/>
      <c r="AA209" s="68"/>
      <c r="AB209" s="68"/>
      <c r="AC209" s="67"/>
      <c r="AD209" s="67"/>
      <c r="AE209" s="67"/>
      <c r="AF209" s="67"/>
      <c r="AG209" s="67"/>
      <c r="AH209" s="67"/>
      <c r="AI209" s="67"/>
      <c r="AJ209" s="67"/>
      <c r="AK209" s="67"/>
      <c r="AL209" s="67"/>
      <c r="AM209" s="67"/>
      <c r="AN209" s="72"/>
      <c r="AO209" s="72"/>
      <c r="AP209" s="72"/>
      <c r="AQ209" s="72"/>
      <c r="AR209" s="72"/>
      <c r="AS209" s="72"/>
      <c r="AT209" s="72"/>
      <c r="AU209" s="72"/>
      <c r="AV209" s="72"/>
      <c r="AW209" s="72"/>
      <c r="AX209" s="72"/>
      <c r="AY209" s="72"/>
      <c r="AZ209" s="72"/>
      <c r="BA209" s="72"/>
      <c r="BB209" s="72"/>
      <c r="BC209" s="72"/>
      <c r="BD209" s="72"/>
      <c r="BE209" s="72"/>
      <c r="BF209" s="72"/>
      <c r="BG209" s="72"/>
      <c r="BH209" s="72"/>
      <c r="BI209" s="72"/>
      <c r="BJ209" s="72"/>
      <c r="BK209" s="72"/>
      <c r="BL209" s="72"/>
      <c r="BM209" s="72"/>
      <c r="BN209" s="72"/>
      <c r="BO209" s="72"/>
      <c r="BP209" s="72"/>
      <c r="BQ209" s="72"/>
      <c r="BR209" s="72"/>
    </row>
    <row r="210" spans="4:70">
      <c r="O210" s="19"/>
      <c r="AA210" s="19"/>
    </row>
    <row r="211" spans="4:70">
      <c r="AA211" s="19"/>
    </row>
    <row r="212" spans="4:70">
      <c r="AA212" s="19"/>
    </row>
    <row r="213" spans="4:70">
      <c r="AA213" s="19"/>
    </row>
    <row r="214" spans="4:70">
      <c r="AA214" s="19"/>
    </row>
    <row r="215" spans="4:70">
      <c r="AA215" s="19"/>
    </row>
    <row r="216" spans="4:70">
      <c r="AA216" s="19"/>
    </row>
    <row r="217" spans="4:70">
      <c r="AA217" s="19"/>
    </row>
    <row r="218" spans="4:70">
      <c r="AA218" s="19"/>
    </row>
    <row r="219" spans="4:70">
      <c r="AA219" s="19"/>
    </row>
    <row r="220" spans="4:70">
      <c r="AA220" s="19"/>
    </row>
    <row r="221" spans="4:70">
      <c r="AA221" s="19"/>
    </row>
    <row r="222" spans="4:70">
      <c r="AA222" s="19"/>
    </row>
    <row r="223" spans="4:70">
      <c r="AA223" s="19"/>
    </row>
    <row r="224" spans="4:70">
      <c r="AA224" s="19"/>
    </row>
    <row r="225" spans="27:27">
      <c r="AA225" s="19"/>
    </row>
    <row r="226" spans="27:27">
      <c r="AA226" s="19"/>
    </row>
    <row r="227" spans="27:27">
      <c r="AA227" s="19"/>
    </row>
    <row r="228" spans="27:27">
      <c r="AA228" s="19"/>
    </row>
    <row r="229" spans="27:27">
      <c r="AA229" s="19"/>
    </row>
    <row r="230" spans="27:27">
      <c r="AA230" s="19"/>
    </row>
    <row r="231" spans="27:27">
      <c r="AA231" s="19"/>
    </row>
    <row r="232" spans="27:27">
      <c r="AA232" s="19"/>
    </row>
    <row r="233" spans="27:27">
      <c r="AA233" s="19"/>
    </row>
    <row r="234" spans="27:27">
      <c r="AA234" s="19"/>
    </row>
    <row r="235" spans="27:27">
      <c r="AA235" s="19"/>
    </row>
    <row r="236" spans="27:27">
      <c r="AA236" s="19"/>
    </row>
    <row r="237" spans="27:27">
      <c r="AA237" s="19"/>
    </row>
    <row r="238" spans="27:27">
      <c r="AA238" s="19"/>
    </row>
    <row r="239" spans="27:27">
      <c r="AA239" s="19"/>
    </row>
    <row r="240" spans="27:27">
      <c r="AA240" s="19"/>
    </row>
    <row r="241" spans="27:27">
      <c r="AA241" s="19"/>
    </row>
    <row r="242" spans="27:27">
      <c r="AA242" s="19"/>
    </row>
    <row r="956" spans="1:70" s="18" customFormat="1">
      <c r="A956" s="6">
        <v>30217</v>
      </c>
      <c r="C956" s="19"/>
      <c r="D956" s="19"/>
      <c r="E956" s="19"/>
      <c r="F956" s="19"/>
      <c r="G956" s="19"/>
      <c r="H956" s="19"/>
      <c r="I956" s="19"/>
      <c r="J956" s="19"/>
      <c r="K956" s="19"/>
      <c r="L956" s="19"/>
      <c r="M956" s="19"/>
      <c r="N956" s="19"/>
      <c r="O956" s="1036"/>
      <c r="P956" s="19"/>
      <c r="Q956" s="19"/>
      <c r="R956" s="19"/>
      <c r="S956" s="19"/>
      <c r="T956" s="19"/>
      <c r="U956" s="19"/>
      <c r="V956" s="19"/>
      <c r="W956" s="19"/>
      <c r="X956" s="19"/>
      <c r="Y956" s="19"/>
      <c r="Z956" s="19"/>
      <c r="AA956" s="1036"/>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19"/>
      <c r="BL956" s="19"/>
      <c r="BM956" s="19"/>
      <c r="BN956" s="19"/>
      <c r="BO956" s="19"/>
      <c r="BP956" s="19"/>
      <c r="BQ956" s="19"/>
      <c r="BR956" s="19"/>
    </row>
  </sheetData>
  <sheetProtection formatCells="0" formatColumns="0" formatRows="0" insertColumns="0" insertRows="0" insertHyperlinks="0" deleteColumns="0" deleteRows="0" sort="0" autoFilter="0" pivotTables="0"/>
  <mergeCells count="6">
    <mergeCell ref="D6:O6"/>
    <mergeCell ref="P6:AA6"/>
    <mergeCell ref="AB6:AM6"/>
    <mergeCell ref="D74:O74"/>
    <mergeCell ref="P74:AA74"/>
    <mergeCell ref="AB74:AM74"/>
  </mergeCells>
  <pageMargins left="0.75000000000000011" right="0.75000000000000011" top="1" bottom="1" header="0.5" footer="0.5"/>
  <pageSetup paperSize="9" orientation="portrait" horizontalDpi="4294967292" verticalDpi="4294967292"/>
  <colBreaks count="3" manualBreakCount="3">
    <brk id="15" max="1048575" man="1"/>
    <brk id="27" max="1048575" man="1"/>
    <brk id="39" max="1048575" man="1"/>
  </colBreaks>
  <ignoredErrors>
    <ignoredError sqref="D90:E90 F90:AM90" formula="1"/>
  </ignoredErrors>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rgb="FF2222FE"/>
  </sheetPr>
  <dimension ref="A1:EC1033"/>
  <sheetViews>
    <sheetView showGridLines="0" zoomScale="73" zoomScaleNormal="55" zoomScalePageLayoutView="125" workbookViewId="0">
      <selection activeCell="AQ33" sqref="AQ33"/>
    </sheetView>
  </sheetViews>
  <sheetFormatPr defaultColWidth="10" defaultRowHeight="15.6" outlineLevelRow="1"/>
  <cols>
    <col min="1" max="1" width="6.5" style="19" customWidth="1"/>
    <col min="2" max="2" width="29" style="18" customWidth="1"/>
    <col min="3" max="3" width="11.296875" style="19" customWidth="1"/>
    <col min="4" max="15" width="11.19921875" style="19" customWidth="1"/>
    <col min="16" max="16" width="12.69921875" style="1108" customWidth="1"/>
    <col min="17" max="26" width="11.19921875" style="19" customWidth="1"/>
    <col min="27" max="27" width="11.19921875" style="1036" customWidth="1"/>
    <col min="28" max="28" width="14.69921875" style="19" customWidth="1"/>
    <col min="29" max="29" width="20.69921875" style="19" customWidth="1"/>
    <col min="30" max="30" width="15" style="19" customWidth="1"/>
    <col min="31" max="31" width="17" style="19" customWidth="1"/>
    <col min="32" max="34" width="14.296875" style="19" customWidth="1"/>
    <col min="35" max="35" width="13.5" style="19" customWidth="1"/>
    <col min="36" max="36" width="15.796875" style="19" customWidth="1"/>
    <col min="37" max="37" width="14.69921875" style="19" customWidth="1"/>
    <col min="38" max="38" width="16" style="19" customWidth="1"/>
    <col min="39" max="39" width="15.19921875" style="19" customWidth="1"/>
    <col min="40" max="133" width="10" style="19" customWidth="1"/>
    <col min="134" max="16384" width="10" style="19"/>
  </cols>
  <sheetData>
    <row r="1" spans="1:71" s="261" customFormat="1" ht="27" customHeight="1">
      <c r="A1" s="260" t="str">
        <f>"v"&amp;'COPYRIGHT PROTECTION'!C14&amp;" "&amp;'COPYRIGHT PROTECTION'!C6</f>
        <v xml:space="preserve">v2023.2 © Simon Hulme and Chris Drew, 2011-2023     IF PART OF AN ACADEMIC ASSIGNMENT, PLEASE DO NOT DELETE THIS SINGLE LINE.  DELETING IT MAY INVALIDATE YOUR SUBMISSION. </v>
      </c>
    </row>
    <row r="2" spans="1:71" s="532" customFormat="1" ht="28.8">
      <c r="B2" s="531" t="s">
        <v>306</v>
      </c>
      <c r="F2" s="533"/>
      <c r="G2" s="534"/>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row>
    <row r="3" spans="1:71">
      <c r="P3" s="19"/>
      <c r="AA3" s="19"/>
    </row>
    <row r="4" spans="1:71" ht="4.8" customHeight="1">
      <c r="P4" s="19"/>
      <c r="AA4" s="19"/>
    </row>
    <row r="5" spans="1:71" hidden="1">
      <c r="P5" s="19"/>
      <c r="AA5" s="19"/>
    </row>
    <row r="6" spans="1:71" hidden="1">
      <c r="P6" s="19"/>
      <c r="AA6" s="19"/>
    </row>
    <row r="7" spans="1:71" hidden="1">
      <c r="P7" s="19"/>
      <c r="AA7" s="19"/>
    </row>
    <row r="8" spans="1:71" hidden="1">
      <c r="P8" s="19"/>
      <c r="AA8" s="19"/>
    </row>
    <row r="9" spans="1:71" hidden="1">
      <c r="P9" s="19"/>
      <c r="AA9" s="19"/>
    </row>
    <row r="10" spans="1:71" hidden="1">
      <c r="P10" s="19"/>
      <c r="AA10" s="19"/>
    </row>
    <row r="11" spans="1:71" hidden="1">
      <c r="P11" s="19"/>
      <c r="AA11" s="19"/>
    </row>
    <row r="12" spans="1:71" hidden="1">
      <c r="P12" s="19"/>
      <c r="AA12" s="19"/>
    </row>
    <row r="13" spans="1:71" s="532" customFormat="1" ht="25.8">
      <c r="B13" s="573" t="s">
        <v>87</v>
      </c>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row>
    <row r="14" spans="1:71">
      <c r="B14" s="190"/>
      <c r="P14" s="19"/>
      <c r="AA14" s="19"/>
    </row>
    <row r="15" spans="1:71">
      <c r="D15" s="1217"/>
      <c r="E15" s="1217"/>
      <c r="F15" s="1217"/>
      <c r="G15" s="1217"/>
      <c r="H15" s="1217"/>
      <c r="I15" s="1217"/>
      <c r="J15" s="1217"/>
      <c r="K15" s="1217"/>
      <c r="L15" s="1217"/>
      <c r="M15" s="1217"/>
      <c r="N15" s="1217"/>
      <c r="O15" s="1229"/>
      <c r="P15" s="1246"/>
      <c r="Q15" s="1247"/>
      <c r="R15" s="1247"/>
      <c r="S15" s="1247"/>
      <c r="T15" s="1247"/>
      <c r="U15" s="1247"/>
      <c r="V15" s="1247"/>
      <c r="W15" s="1247"/>
      <c r="X15" s="1247"/>
      <c r="Y15" s="1247"/>
      <c r="Z15" s="1247"/>
      <c r="AA15" s="1248"/>
      <c r="AB15" s="1247"/>
      <c r="AC15" s="1247"/>
      <c r="AD15" s="1247"/>
      <c r="AE15" s="1247"/>
      <c r="AF15" s="1247"/>
      <c r="AG15" s="1247"/>
      <c r="AH15" s="1247"/>
      <c r="AI15" s="1247"/>
      <c r="AJ15" s="1247"/>
      <c r="AK15" s="1247"/>
      <c r="AL15" s="1247"/>
      <c r="AM15" s="1247"/>
    </row>
    <row r="16" spans="1:71" s="24" customFormat="1" ht="16.2" thickBot="1">
      <c r="B16" s="23"/>
      <c r="C16" s="47" t="s">
        <v>33</v>
      </c>
      <c r="D16" s="142">
        <f>'Sales Forecast'!E22</f>
        <v>45292</v>
      </c>
      <c r="E16" s="142">
        <f>'Sales Forecast'!F22</f>
        <v>45323</v>
      </c>
      <c r="F16" s="142">
        <f>'Sales Forecast'!G22</f>
        <v>45352</v>
      </c>
      <c r="G16" s="142">
        <f>'Sales Forecast'!H22</f>
        <v>45383</v>
      </c>
      <c r="H16" s="142">
        <f>'Sales Forecast'!I22</f>
        <v>45413</v>
      </c>
      <c r="I16" s="142">
        <f>'Sales Forecast'!J22</f>
        <v>45444</v>
      </c>
      <c r="J16" s="142">
        <f>'Sales Forecast'!K22</f>
        <v>45474</v>
      </c>
      <c r="K16" s="142">
        <f>'Sales Forecast'!L22</f>
        <v>45505</v>
      </c>
      <c r="L16" s="142">
        <f>'Sales Forecast'!M22</f>
        <v>45536</v>
      </c>
      <c r="M16" s="142">
        <f>'Sales Forecast'!N22</f>
        <v>45566</v>
      </c>
      <c r="N16" s="142">
        <f>'Sales Forecast'!O22</f>
        <v>45597</v>
      </c>
      <c r="O16" s="142">
        <f>'Sales Forecast'!P22</f>
        <v>45627</v>
      </c>
      <c r="P16" s="1109">
        <f>'Sales Forecast'!Q22</f>
        <v>45658</v>
      </c>
      <c r="Q16" s="142">
        <f>'Sales Forecast'!R22</f>
        <v>45689</v>
      </c>
      <c r="R16" s="142">
        <f>'Sales Forecast'!S22</f>
        <v>45717</v>
      </c>
      <c r="S16" s="142">
        <f>'Sales Forecast'!T22</f>
        <v>45748</v>
      </c>
      <c r="T16" s="142">
        <f>'Sales Forecast'!U22</f>
        <v>45778</v>
      </c>
      <c r="U16" s="142">
        <f>'Sales Forecast'!V22</f>
        <v>45809</v>
      </c>
      <c r="V16" s="142">
        <f>'Sales Forecast'!W22</f>
        <v>45839</v>
      </c>
      <c r="W16" s="142">
        <f>'Sales Forecast'!X22</f>
        <v>45870</v>
      </c>
      <c r="X16" s="142">
        <f>'Sales Forecast'!Y22</f>
        <v>45901</v>
      </c>
      <c r="Y16" s="142">
        <f>'Sales Forecast'!Z22</f>
        <v>45931</v>
      </c>
      <c r="Z16" s="142">
        <f>'Sales Forecast'!AA22</f>
        <v>45962</v>
      </c>
      <c r="AA16" s="1101">
        <f>'Sales Forecast'!AB22</f>
        <v>45992</v>
      </c>
      <c r="AB16" s="142">
        <f>'Sales Forecast'!AC22</f>
        <v>46023</v>
      </c>
      <c r="AC16" s="142">
        <f>'Sales Forecast'!AD22</f>
        <v>46054</v>
      </c>
      <c r="AD16" s="142">
        <f>'Sales Forecast'!AE22</f>
        <v>46082</v>
      </c>
      <c r="AE16" s="142">
        <f>'Sales Forecast'!AF22</f>
        <v>46113</v>
      </c>
      <c r="AF16" s="142">
        <f>'Sales Forecast'!AG22</f>
        <v>46143</v>
      </c>
      <c r="AG16" s="142">
        <f>'Sales Forecast'!AH22</f>
        <v>46174</v>
      </c>
      <c r="AH16" s="142">
        <f>'Sales Forecast'!AI22</f>
        <v>46204</v>
      </c>
      <c r="AI16" s="142">
        <f>'Sales Forecast'!AJ22</f>
        <v>46235</v>
      </c>
      <c r="AJ16" s="142">
        <f>'Sales Forecast'!AK22</f>
        <v>46266</v>
      </c>
      <c r="AK16" s="142">
        <f>'Sales Forecast'!AL22</f>
        <v>46296</v>
      </c>
      <c r="AL16" s="142">
        <f>'Sales Forecast'!AM22</f>
        <v>46327</v>
      </c>
      <c r="AM16" s="142">
        <f>'Sales Forecast'!AN22+2022.3-2022.3</f>
        <v>46357.899999999994</v>
      </c>
    </row>
    <row r="17" spans="2:64" s="168" customFormat="1" ht="16.2" thickTop="1">
      <c r="B17" s="1060" t="s">
        <v>13</v>
      </c>
      <c r="C17" s="1061"/>
      <c r="D17" s="72"/>
      <c r="E17" s="72"/>
      <c r="F17" s="72"/>
      <c r="G17" s="72"/>
      <c r="H17" s="72"/>
      <c r="I17" s="72"/>
      <c r="J17" s="72"/>
      <c r="K17" s="72"/>
      <c r="L17" s="72"/>
      <c r="M17" s="72"/>
      <c r="N17" s="72"/>
      <c r="O17" s="71"/>
      <c r="P17" s="1110"/>
      <c r="Q17" s="71"/>
      <c r="R17" s="71"/>
      <c r="S17" s="71"/>
      <c r="T17" s="71"/>
      <c r="U17" s="71"/>
      <c r="V17" s="71"/>
      <c r="W17" s="71"/>
      <c r="X17" s="71"/>
      <c r="Y17" s="71"/>
      <c r="Z17" s="71"/>
      <c r="AA17" s="1058"/>
      <c r="AB17" s="72"/>
      <c r="AC17" s="72"/>
      <c r="AD17" s="72"/>
      <c r="AE17" s="72"/>
      <c r="AF17" s="72"/>
      <c r="AG17" s="72"/>
      <c r="AH17" s="72"/>
      <c r="AI17" s="72"/>
      <c r="AJ17" s="72"/>
      <c r="AK17" s="72"/>
      <c r="AL17" s="72"/>
      <c r="AM17" s="72"/>
      <c r="AN17" s="72"/>
      <c r="AO17" s="72"/>
      <c r="AP17" s="72"/>
      <c r="AQ17" s="72"/>
      <c r="AR17" s="72"/>
      <c r="AS17" s="72"/>
      <c r="AT17" s="72"/>
      <c r="AU17" s="72"/>
      <c r="AV17" s="72"/>
      <c r="AW17" s="72"/>
    </row>
    <row r="18" spans="2:64">
      <c r="B18" s="1062" t="str">
        <f>'Profit &amp; Loss Ecommerce'!B130</f>
        <v>Property (not depreciated)</v>
      </c>
      <c r="C18" s="1030"/>
      <c r="D18" s="995">
        <f>'Profit &amp; Loss Store'!D84/12</f>
        <v>0</v>
      </c>
      <c r="E18" s="995">
        <f>'Profit &amp; Loss Store'!E84/12</f>
        <v>0</v>
      </c>
      <c r="F18" s="995">
        <f>'Profit &amp; Loss Store'!F84/12</f>
        <v>0</v>
      </c>
      <c r="G18" s="995">
        <f>'Profit &amp; Loss Store'!G84/12</f>
        <v>0</v>
      </c>
      <c r="H18" s="995">
        <f>'Profit &amp; Loss Store'!H84/12</f>
        <v>0</v>
      </c>
      <c r="I18" s="995">
        <f>'Profit &amp; Loss Store'!I84/12</f>
        <v>0</v>
      </c>
      <c r="J18" s="995">
        <f>'Profit &amp; Loss Store'!J84/12</f>
        <v>0</v>
      </c>
      <c r="K18" s="995">
        <f>'Profit &amp; Loss Store'!K84/12</f>
        <v>0</v>
      </c>
      <c r="L18" s="995">
        <f>'Profit &amp; Loss Store'!L84/12</f>
        <v>0</v>
      </c>
      <c r="M18" s="995">
        <f>'Profit &amp; Loss Store'!M84/12</f>
        <v>0</v>
      </c>
      <c r="N18" s="995">
        <f>'Profit &amp; Loss Store'!N84/12</f>
        <v>0</v>
      </c>
      <c r="O18" s="995">
        <f>'Profit &amp; Loss Store'!O84/12</f>
        <v>0</v>
      </c>
      <c r="P18" s="1111">
        <f>'Profit &amp; Loss Store'!P84/12</f>
        <v>0</v>
      </c>
      <c r="Q18" s="995">
        <f>'Profit &amp; Loss Store'!Q84/12</f>
        <v>0</v>
      </c>
      <c r="R18" s="995">
        <f>'Profit &amp; Loss Store'!R84/12</f>
        <v>0</v>
      </c>
      <c r="S18" s="995">
        <f>'Profit &amp; Loss Store'!S84/12</f>
        <v>0</v>
      </c>
      <c r="T18" s="995">
        <f>'Profit &amp; Loss Store'!T84/12</f>
        <v>0</v>
      </c>
      <c r="U18" s="995">
        <f>'Profit &amp; Loss Store'!U84/12</f>
        <v>0</v>
      </c>
      <c r="V18" s="995">
        <f>'Profit &amp; Loss Store'!V84/12</f>
        <v>0</v>
      </c>
      <c r="W18" s="995">
        <f>'Profit &amp; Loss Store'!W84/12</f>
        <v>0</v>
      </c>
      <c r="X18" s="995">
        <f>'Profit &amp; Loss Store'!X84/12</f>
        <v>0</v>
      </c>
      <c r="Y18" s="995">
        <f>'Profit &amp; Loss Store'!Y84/12</f>
        <v>0</v>
      </c>
      <c r="Z18" s="995">
        <f>'Profit &amp; Loss Store'!Z84/12</f>
        <v>0</v>
      </c>
      <c r="AA18" s="1043">
        <f>'Profit &amp; Loss Store'!AA84/12</f>
        <v>0</v>
      </c>
      <c r="AB18" s="995">
        <f>'Profit &amp; Loss Store'!AB84/12</f>
        <v>0</v>
      </c>
      <c r="AC18" s="995">
        <f>'Profit &amp; Loss Store'!AC84/12</f>
        <v>0</v>
      </c>
      <c r="AD18" s="995">
        <f>'Profit &amp; Loss Store'!AD84/12</f>
        <v>0</v>
      </c>
      <c r="AE18" s="995">
        <f>'Profit &amp; Loss Store'!AE84/12</f>
        <v>0</v>
      </c>
      <c r="AF18" s="995">
        <f>'Profit &amp; Loss Store'!AF84/12</f>
        <v>0</v>
      </c>
      <c r="AG18" s="995">
        <f>'Profit &amp; Loss Store'!AG84/12</f>
        <v>0</v>
      </c>
      <c r="AH18" s="995">
        <f>'Profit &amp; Loss Store'!AH84/12</f>
        <v>0</v>
      </c>
      <c r="AI18" s="995">
        <f>'Profit &amp; Loss Store'!AI84/12</f>
        <v>0</v>
      </c>
      <c r="AJ18" s="995">
        <f>'Profit &amp; Loss Store'!AJ84/12</f>
        <v>0</v>
      </c>
      <c r="AK18" s="995">
        <f>'Profit &amp; Loss Store'!AK84/12</f>
        <v>0</v>
      </c>
      <c r="AL18" s="995">
        <f>'Profit &amp; Loss Store'!AL84/12</f>
        <v>0</v>
      </c>
      <c r="AM18" s="995">
        <f>'Profit &amp; Loss Store'!AM84/12</f>
        <v>0</v>
      </c>
      <c r="AN18" s="72"/>
      <c r="AO18" s="72"/>
      <c r="AP18" s="72"/>
      <c r="AQ18" s="72"/>
      <c r="AR18" s="72"/>
      <c r="AS18" s="72"/>
      <c r="AT18" s="72"/>
      <c r="AU18" s="72"/>
      <c r="AV18" s="72"/>
      <c r="AW18" s="72"/>
      <c r="AX18" s="72"/>
      <c r="AY18" s="72"/>
      <c r="AZ18" s="72"/>
      <c r="BA18" s="72"/>
      <c r="BB18" s="72"/>
      <c r="BC18" s="72"/>
      <c r="BD18" s="72"/>
      <c r="BE18" s="72"/>
      <c r="BF18" s="72"/>
      <c r="BG18" s="72"/>
      <c r="BH18" s="72"/>
    </row>
    <row r="19" spans="2:64" ht="15" customHeight="1">
      <c r="B19" s="1062" t="str">
        <f>'Profit &amp; Loss Ecommerce'!B132</f>
        <v xml:space="preserve">Computers </v>
      </c>
      <c r="C19" s="1030"/>
      <c r="D19" s="995">
        <f>'Profit &amp; Loss Ecommerce'!D137+'Profit &amp; Loss Store'!D146</f>
        <v>9400</v>
      </c>
      <c r="E19" s="995">
        <f>'Profit &amp; Loss Ecommerce'!E137+'Profit &amp; Loss Store'!E146</f>
        <v>9200</v>
      </c>
      <c r="F19" s="995">
        <f>'Profit &amp; Loss Ecommerce'!F137+'Profit &amp; Loss Store'!F146</f>
        <v>9000</v>
      </c>
      <c r="G19" s="995">
        <f>'Profit &amp; Loss Ecommerce'!G137+'Profit &amp; Loss Store'!G146</f>
        <v>8800</v>
      </c>
      <c r="H19" s="995">
        <f>'Profit &amp; Loss Ecommerce'!H137+'Profit &amp; Loss Store'!H146</f>
        <v>8600</v>
      </c>
      <c r="I19" s="995">
        <f>'Profit &amp; Loss Ecommerce'!I137+'Profit &amp; Loss Store'!I146</f>
        <v>8400</v>
      </c>
      <c r="J19" s="995">
        <f>'Profit &amp; Loss Ecommerce'!J137+'Profit &amp; Loss Store'!J146</f>
        <v>8200</v>
      </c>
      <c r="K19" s="995">
        <f>'Profit &amp; Loss Ecommerce'!K137+'Profit &amp; Loss Store'!K146</f>
        <v>8000</v>
      </c>
      <c r="L19" s="995">
        <f>'Profit &amp; Loss Ecommerce'!L137+'Profit &amp; Loss Store'!L146</f>
        <v>7800</v>
      </c>
      <c r="M19" s="995">
        <f>'Profit &amp; Loss Ecommerce'!M137+'Profit &amp; Loss Store'!M146</f>
        <v>7600</v>
      </c>
      <c r="N19" s="995">
        <f>'Profit &amp; Loss Ecommerce'!N137+'Profit &amp; Loss Store'!N146</f>
        <v>7400</v>
      </c>
      <c r="O19" s="995">
        <f>'Profit &amp; Loss Ecommerce'!O137+'Profit &amp; Loss Store'!O146</f>
        <v>7200</v>
      </c>
      <c r="P19" s="1111">
        <f>'Profit &amp; Loss Ecommerce'!P137+'Profit &amp; Loss Store'!P146</f>
        <v>17183.333333333332</v>
      </c>
      <c r="Q19" s="995">
        <f>'Profit &amp; Loss Ecommerce'!Q137+'Profit &amp; Loss Store'!Q146</f>
        <v>16766.666666666664</v>
      </c>
      <c r="R19" s="995">
        <f>'Profit &amp; Loss Ecommerce'!R137+'Profit &amp; Loss Store'!R146</f>
        <v>16349.999999999998</v>
      </c>
      <c r="S19" s="995">
        <f>'Profit &amp; Loss Ecommerce'!S137+'Profit &amp; Loss Store'!S146</f>
        <v>15933.333333333332</v>
      </c>
      <c r="T19" s="995">
        <f>'Profit &amp; Loss Ecommerce'!T137+'Profit &amp; Loss Store'!T146</f>
        <v>15516.666666666666</v>
      </c>
      <c r="U19" s="995">
        <f>'Profit &amp; Loss Ecommerce'!U137+'Profit &amp; Loss Store'!U146</f>
        <v>15100</v>
      </c>
      <c r="V19" s="995">
        <f>'Profit &amp; Loss Ecommerce'!V137+'Profit &amp; Loss Store'!V146</f>
        <v>14683.333333333334</v>
      </c>
      <c r="W19" s="995">
        <f>'Profit &amp; Loss Ecommerce'!W137+'Profit &amp; Loss Store'!W146</f>
        <v>14266.666666666668</v>
      </c>
      <c r="X19" s="995">
        <f>'Profit &amp; Loss Ecommerce'!X137+'Profit &amp; Loss Store'!X146</f>
        <v>13850.000000000002</v>
      </c>
      <c r="Y19" s="995">
        <f>'Profit &amp; Loss Ecommerce'!Y137+'Profit &amp; Loss Store'!Y146</f>
        <v>13433.333333333336</v>
      </c>
      <c r="Z19" s="995">
        <f>'Profit &amp; Loss Ecommerce'!Z137+'Profit &amp; Loss Store'!Z146</f>
        <v>13016.66666666667</v>
      </c>
      <c r="AA19" s="1043">
        <f>'Profit &amp; Loss Ecommerce'!AA137+'Profit &amp; Loss Store'!AA146</f>
        <v>12600.000000000004</v>
      </c>
      <c r="AB19" s="995">
        <f>'Profit &amp; Loss Ecommerce'!AB137+'Profit &amp; Loss Store'!AB146</f>
        <v>33333.333333333336</v>
      </c>
      <c r="AC19" s="995">
        <f>'Profit &amp; Loss Ecommerce'!AC137+'Profit &amp; Loss Store'!AC146</f>
        <v>32466.666666666672</v>
      </c>
      <c r="AD19" s="995">
        <f>'Profit &amp; Loss Ecommerce'!AD137+'Profit &amp; Loss Store'!AD146</f>
        <v>31600.000000000007</v>
      </c>
      <c r="AE19" s="995">
        <f>'Profit &amp; Loss Ecommerce'!AE137+'Profit &amp; Loss Store'!AE146</f>
        <v>30733.333333333343</v>
      </c>
      <c r="AF19" s="995">
        <f>'Profit &amp; Loss Ecommerce'!AF137+'Profit &amp; Loss Store'!AF146</f>
        <v>29866.666666666675</v>
      </c>
      <c r="AG19" s="995">
        <f>'Profit &amp; Loss Ecommerce'!AG137+'Profit &amp; Loss Store'!AG146</f>
        <v>29000.000000000011</v>
      </c>
      <c r="AH19" s="995">
        <f>'Profit &amp; Loss Ecommerce'!AH137+'Profit &amp; Loss Store'!AH146</f>
        <v>28133.333333333343</v>
      </c>
      <c r="AI19" s="995">
        <f>'Profit &amp; Loss Ecommerce'!AI137+'Profit &amp; Loss Store'!AI146</f>
        <v>27266.666666666679</v>
      </c>
      <c r="AJ19" s="995">
        <f>'Profit &amp; Loss Ecommerce'!AJ137+'Profit &amp; Loss Store'!AJ146</f>
        <v>26400.000000000015</v>
      </c>
      <c r="AK19" s="995">
        <f>'Profit &amp; Loss Ecommerce'!AK137+'Profit &amp; Loss Store'!AK146</f>
        <v>25533.333333333347</v>
      </c>
      <c r="AL19" s="995">
        <f>'Profit &amp; Loss Ecommerce'!AL137+'Profit &amp; Loss Store'!AL146</f>
        <v>24666.666666666682</v>
      </c>
      <c r="AM19" s="995">
        <f>'Profit &amp; Loss Ecommerce'!AM137+'Profit &amp; Loss Store'!AM146</f>
        <v>23800.000000000015</v>
      </c>
      <c r="AN19" s="72"/>
      <c r="AO19" s="72"/>
      <c r="AP19" s="72"/>
      <c r="AQ19" s="72"/>
      <c r="AR19" s="72"/>
      <c r="AS19" s="72"/>
      <c r="AT19" s="72"/>
      <c r="AU19" s="72"/>
      <c r="AV19" s="72"/>
      <c r="AW19" s="72"/>
      <c r="AX19" s="72"/>
      <c r="AY19" s="72"/>
      <c r="AZ19" s="72"/>
      <c r="BA19" s="72"/>
      <c r="BB19" s="72"/>
      <c r="BC19" s="72"/>
      <c r="BD19" s="72"/>
      <c r="BE19" s="72"/>
      <c r="BF19" s="72"/>
      <c r="BG19" s="72"/>
      <c r="BH19" s="72"/>
    </row>
    <row r="20" spans="2:64" s="191" customFormat="1" ht="15" customHeight="1">
      <c r="B20" s="1062" t="str">
        <f>'Profit &amp; Loss Ecommerce'!B139</f>
        <v>Camera</v>
      </c>
      <c r="C20" s="1063"/>
      <c r="D20" s="995">
        <f>'Profit &amp; Loss Ecommerce'!D144+'Profit &amp; Loss Store'!D153</f>
        <v>1180</v>
      </c>
      <c r="E20" s="995">
        <f>'Profit &amp; Loss Ecommerce'!E144+'Profit &amp; Loss Store'!E153</f>
        <v>1160</v>
      </c>
      <c r="F20" s="995">
        <f>'Profit &amp; Loss Ecommerce'!F144+'Profit &amp; Loss Store'!F153</f>
        <v>1140</v>
      </c>
      <c r="G20" s="995">
        <f>'Profit &amp; Loss Ecommerce'!G144+'Profit &amp; Loss Store'!G153</f>
        <v>1120</v>
      </c>
      <c r="H20" s="995">
        <f>'Profit &amp; Loss Ecommerce'!H144+'Profit &amp; Loss Store'!H153</f>
        <v>1100</v>
      </c>
      <c r="I20" s="995">
        <f>'Profit &amp; Loss Ecommerce'!I144+'Profit &amp; Loss Store'!I153</f>
        <v>1080</v>
      </c>
      <c r="J20" s="995">
        <f>'Profit &amp; Loss Ecommerce'!J144+'Profit &amp; Loss Store'!J153</f>
        <v>1060</v>
      </c>
      <c r="K20" s="995">
        <f>'Profit &amp; Loss Ecommerce'!K144+'Profit &amp; Loss Store'!K153</f>
        <v>1040</v>
      </c>
      <c r="L20" s="995">
        <f>'Profit &amp; Loss Ecommerce'!L144+'Profit &amp; Loss Store'!L153</f>
        <v>1020</v>
      </c>
      <c r="M20" s="995">
        <f>'Profit &amp; Loss Ecommerce'!M144+'Profit &amp; Loss Store'!M153</f>
        <v>1000</v>
      </c>
      <c r="N20" s="995">
        <f>'Profit &amp; Loss Ecommerce'!N144+'Profit &amp; Loss Store'!N153</f>
        <v>980</v>
      </c>
      <c r="O20" s="995">
        <f>'Profit &amp; Loss Ecommerce'!O144+'Profit &amp; Loss Store'!O153</f>
        <v>960</v>
      </c>
      <c r="P20" s="1111">
        <f>'Profit &amp; Loss Ecommerce'!P144+'Profit &amp; Loss Store'!P153</f>
        <v>940</v>
      </c>
      <c r="Q20" s="995">
        <f>'Profit &amp; Loss Ecommerce'!Q144+'Profit &amp; Loss Store'!Q153</f>
        <v>920</v>
      </c>
      <c r="R20" s="995">
        <f>'Profit &amp; Loss Ecommerce'!R144+'Profit &amp; Loss Store'!R153</f>
        <v>900</v>
      </c>
      <c r="S20" s="995">
        <f>'Profit &amp; Loss Ecommerce'!S144+'Profit &amp; Loss Store'!S153</f>
        <v>880</v>
      </c>
      <c r="T20" s="995">
        <f>'Profit &amp; Loss Ecommerce'!T144+'Profit &amp; Loss Store'!T153</f>
        <v>860</v>
      </c>
      <c r="U20" s="995">
        <f>'Profit &amp; Loss Ecommerce'!U144+'Profit &amp; Loss Store'!U153</f>
        <v>840</v>
      </c>
      <c r="V20" s="995">
        <f>'Profit &amp; Loss Ecommerce'!V144+'Profit &amp; Loss Store'!V153</f>
        <v>820</v>
      </c>
      <c r="W20" s="995">
        <f>'Profit &amp; Loss Ecommerce'!W144+'Profit &amp; Loss Store'!W153</f>
        <v>800</v>
      </c>
      <c r="X20" s="995">
        <f>'Profit &amp; Loss Ecommerce'!X144+'Profit &amp; Loss Store'!X153</f>
        <v>780</v>
      </c>
      <c r="Y20" s="995">
        <f>'Profit &amp; Loss Ecommerce'!Y144+'Profit &amp; Loss Store'!Y153</f>
        <v>760</v>
      </c>
      <c r="Z20" s="995">
        <f>'Profit &amp; Loss Ecommerce'!Z144+'Profit &amp; Loss Store'!Z153</f>
        <v>740</v>
      </c>
      <c r="AA20" s="1043">
        <f>'Profit &amp; Loss Ecommerce'!AA144+'Profit &amp; Loss Store'!AA153</f>
        <v>720</v>
      </c>
      <c r="AB20" s="995">
        <f>'Profit &amp; Loss Ecommerce'!AB144+'Profit &amp; Loss Store'!AB153</f>
        <v>1880</v>
      </c>
      <c r="AC20" s="995">
        <f>'Profit &amp; Loss Ecommerce'!AC144+'Profit &amp; Loss Store'!AC153</f>
        <v>1840</v>
      </c>
      <c r="AD20" s="995">
        <f>'Profit &amp; Loss Ecommerce'!AD144+'Profit &amp; Loss Store'!AD153</f>
        <v>1800</v>
      </c>
      <c r="AE20" s="995">
        <f>'Profit &amp; Loss Ecommerce'!AE144+'Profit &amp; Loss Store'!AE153</f>
        <v>1760</v>
      </c>
      <c r="AF20" s="995">
        <f>'Profit &amp; Loss Ecommerce'!AF144+'Profit &amp; Loss Store'!AF153</f>
        <v>1720</v>
      </c>
      <c r="AG20" s="995">
        <f>'Profit &amp; Loss Ecommerce'!AG144+'Profit &amp; Loss Store'!AG153</f>
        <v>1680</v>
      </c>
      <c r="AH20" s="995">
        <f>'Profit &amp; Loss Ecommerce'!AH144+'Profit &amp; Loss Store'!AH153</f>
        <v>1640</v>
      </c>
      <c r="AI20" s="995">
        <f>'Profit &amp; Loss Ecommerce'!AI144+'Profit &amp; Loss Store'!AI153</f>
        <v>1600</v>
      </c>
      <c r="AJ20" s="995">
        <f>'Profit &amp; Loss Ecommerce'!AJ144+'Profit &amp; Loss Store'!AJ153</f>
        <v>1560</v>
      </c>
      <c r="AK20" s="995">
        <f>'Profit &amp; Loss Ecommerce'!AK144+'Profit &amp; Loss Store'!AK153</f>
        <v>1520</v>
      </c>
      <c r="AL20" s="995">
        <f>'Profit &amp; Loss Ecommerce'!AL144+'Profit &amp; Loss Store'!AL153</f>
        <v>1480</v>
      </c>
      <c r="AM20" s="995">
        <f>'Profit &amp; Loss Ecommerce'!AM144+'Profit &amp; Loss Store'!AM153</f>
        <v>1440</v>
      </c>
      <c r="AN20" s="72"/>
      <c r="AO20" s="72"/>
      <c r="AP20" s="72"/>
      <c r="AQ20" s="72"/>
      <c r="AR20" s="72"/>
      <c r="AS20" s="72"/>
      <c r="AT20" s="72"/>
      <c r="AU20" s="72"/>
      <c r="AV20" s="72"/>
      <c r="AW20" s="72"/>
      <c r="AX20" s="193"/>
      <c r="AY20" s="193"/>
      <c r="AZ20" s="193"/>
      <c r="BA20" s="193"/>
      <c r="BB20" s="193"/>
      <c r="BC20" s="193"/>
      <c r="BD20" s="193"/>
      <c r="BE20" s="193"/>
      <c r="BF20" s="193"/>
      <c r="BG20" s="193"/>
      <c r="BH20" s="193"/>
      <c r="BI20" s="192"/>
      <c r="BJ20" s="192"/>
      <c r="BK20" s="192"/>
      <c r="BL20" s="192"/>
    </row>
    <row r="21" spans="2:64" s="191" customFormat="1" ht="15" customHeight="1">
      <c r="B21" s="1062" t="str">
        <f>'Profit &amp; Loss Ecommerce'!B146</f>
        <v>Printer</v>
      </c>
      <c r="C21" s="1063"/>
      <c r="D21" s="995">
        <f>'Profit &amp; Loss Ecommerce'!D151+'Profit &amp; Loss Store'!D160</f>
        <v>236</v>
      </c>
      <c r="E21" s="995">
        <f>'Profit &amp; Loss Ecommerce'!E151+'Profit &amp; Loss Store'!E160</f>
        <v>232</v>
      </c>
      <c r="F21" s="995">
        <f>'Profit &amp; Loss Ecommerce'!F151+'Profit &amp; Loss Store'!F160</f>
        <v>228</v>
      </c>
      <c r="G21" s="995">
        <f>'Profit &amp; Loss Ecommerce'!G151+'Profit &amp; Loss Store'!G160</f>
        <v>224</v>
      </c>
      <c r="H21" s="995">
        <f>'Profit &amp; Loss Ecommerce'!H151+'Profit &amp; Loss Store'!H160</f>
        <v>220</v>
      </c>
      <c r="I21" s="995">
        <f>'Profit &amp; Loss Ecommerce'!I151+'Profit &amp; Loss Store'!I160</f>
        <v>216</v>
      </c>
      <c r="J21" s="995">
        <f>'Profit &amp; Loss Ecommerce'!J151+'Profit &amp; Loss Store'!J160</f>
        <v>212</v>
      </c>
      <c r="K21" s="995">
        <f>'Profit &amp; Loss Ecommerce'!K151+'Profit &amp; Loss Store'!K160</f>
        <v>208</v>
      </c>
      <c r="L21" s="995">
        <f>'Profit &amp; Loss Ecommerce'!L151+'Profit &amp; Loss Store'!L160</f>
        <v>204</v>
      </c>
      <c r="M21" s="995">
        <f>'Profit &amp; Loss Ecommerce'!M151+'Profit &amp; Loss Store'!M160</f>
        <v>200</v>
      </c>
      <c r="N21" s="995">
        <f>'Profit &amp; Loss Ecommerce'!N151+'Profit &amp; Loss Store'!N160</f>
        <v>196</v>
      </c>
      <c r="O21" s="995">
        <f>'Profit &amp; Loss Ecommerce'!O151+'Profit &amp; Loss Store'!O160</f>
        <v>192</v>
      </c>
      <c r="P21" s="1111">
        <f>'Profit &amp; Loss Ecommerce'!P151+'Profit &amp; Loss Store'!P160</f>
        <v>188</v>
      </c>
      <c r="Q21" s="995">
        <f>'Profit &amp; Loss Ecommerce'!Q151+'Profit &amp; Loss Store'!Q160</f>
        <v>184</v>
      </c>
      <c r="R21" s="995">
        <f>'Profit &amp; Loss Ecommerce'!R151+'Profit &amp; Loss Store'!R160</f>
        <v>180</v>
      </c>
      <c r="S21" s="995">
        <f>'Profit &amp; Loss Ecommerce'!S151+'Profit &amp; Loss Store'!S160</f>
        <v>176</v>
      </c>
      <c r="T21" s="995">
        <f>'Profit &amp; Loss Ecommerce'!T151+'Profit &amp; Loss Store'!T160</f>
        <v>172</v>
      </c>
      <c r="U21" s="995">
        <f>'Profit &amp; Loss Ecommerce'!U151+'Profit &amp; Loss Store'!U160</f>
        <v>168</v>
      </c>
      <c r="V21" s="995">
        <f>'Profit &amp; Loss Ecommerce'!V151+'Profit &amp; Loss Store'!V160</f>
        <v>164</v>
      </c>
      <c r="W21" s="995">
        <f>'Profit &amp; Loss Ecommerce'!W151+'Profit &amp; Loss Store'!W160</f>
        <v>160</v>
      </c>
      <c r="X21" s="995">
        <f>'Profit &amp; Loss Ecommerce'!X151+'Profit &amp; Loss Store'!X160</f>
        <v>156</v>
      </c>
      <c r="Y21" s="995">
        <f>'Profit &amp; Loss Ecommerce'!Y151+'Profit &amp; Loss Store'!Y160</f>
        <v>152</v>
      </c>
      <c r="Z21" s="995">
        <f>'Profit &amp; Loss Ecommerce'!Z151+'Profit &amp; Loss Store'!Z160</f>
        <v>148</v>
      </c>
      <c r="AA21" s="1043">
        <f>'Profit &amp; Loss Ecommerce'!AA151+'Profit &amp; Loss Store'!AA160</f>
        <v>144</v>
      </c>
      <c r="AB21" s="995">
        <f>'Profit &amp; Loss Ecommerce'!AB151+'Profit &amp; Loss Store'!AB160</f>
        <v>612</v>
      </c>
      <c r="AC21" s="995">
        <f>'Profit &amp; Loss Ecommerce'!AC151+'Profit &amp; Loss Store'!AC160</f>
        <v>600</v>
      </c>
      <c r="AD21" s="995">
        <f>'Profit &amp; Loss Ecommerce'!AD151+'Profit &amp; Loss Store'!AD160</f>
        <v>587.99999999999989</v>
      </c>
      <c r="AE21" s="995">
        <f>'Profit &amp; Loss Ecommerce'!AE151+'Profit &amp; Loss Store'!AE160</f>
        <v>575.99999999999989</v>
      </c>
      <c r="AF21" s="995">
        <f>'Profit &amp; Loss Ecommerce'!AF151+'Profit &amp; Loss Store'!AF160</f>
        <v>563.99999999999989</v>
      </c>
      <c r="AG21" s="995">
        <f>'Profit &amp; Loss Ecommerce'!AG151+'Profit &amp; Loss Store'!AG160</f>
        <v>551.99999999999977</v>
      </c>
      <c r="AH21" s="995">
        <f>'Profit &amp; Loss Ecommerce'!AH151+'Profit &amp; Loss Store'!AH160</f>
        <v>539.99999999999977</v>
      </c>
      <c r="AI21" s="995">
        <f>'Profit &amp; Loss Ecommerce'!AI151+'Profit &amp; Loss Store'!AI160</f>
        <v>527.99999999999977</v>
      </c>
      <c r="AJ21" s="995">
        <f>'Profit &amp; Loss Ecommerce'!AJ151+'Profit &amp; Loss Store'!AJ160</f>
        <v>515.99999999999977</v>
      </c>
      <c r="AK21" s="995">
        <f>'Profit &amp; Loss Ecommerce'!AK151+'Profit &amp; Loss Store'!AK160</f>
        <v>503.99999999999972</v>
      </c>
      <c r="AL21" s="995">
        <f>'Profit &amp; Loss Ecommerce'!AL151+'Profit &amp; Loss Store'!AL160</f>
        <v>491.99999999999966</v>
      </c>
      <c r="AM21" s="995">
        <f>'Profit &amp; Loss Ecommerce'!AM151+'Profit &amp; Loss Store'!AM160</f>
        <v>479.99999999999966</v>
      </c>
      <c r="AN21" s="72"/>
      <c r="AO21" s="72"/>
      <c r="AP21" s="72"/>
      <c r="AQ21" s="72"/>
      <c r="AR21" s="72"/>
      <c r="AS21" s="72"/>
      <c r="AT21" s="72"/>
      <c r="AU21" s="72"/>
      <c r="AV21" s="72"/>
      <c r="AW21" s="72"/>
      <c r="AX21" s="193"/>
      <c r="AY21" s="193"/>
      <c r="AZ21" s="193"/>
      <c r="BA21" s="193"/>
      <c r="BB21" s="193"/>
      <c r="BC21" s="193"/>
      <c r="BD21" s="193"/>
      <c r="BE21" s="193"/>
      <c r="BF21" s="193"/>
      <c r="BG21" s="193"/>
      <c r="BH21" s="193"/>
      <c r="BI21" s="192"/>
      <c r="BJ21" s="192"/>
      <c r="BK21" s="192"/>
      <c r="BL21" s="192"/>
    </row>
    <row r="22" spans="2:64" s="191" customFormat="1" ht="15" customHeight="1">
      <c r="B22" s="1062" t="str">
        <f>'Profit &amp; Loss Ecommerce'!B153</f>
        <v>Inventory Scanner</v>
      </c>
      <c r="C22" s="1063"/>
      <c r="D22" s="995">
        <f>'Profit &amp; Loss Ecommerce'!D158+'Profit &amp; Loss Store'!D167</f>
        <v>587.5</v>
      </c>
      <c r="E22" s="995">
        <f>'Profit &amp; Loss Ecommerce'!E158+'Profit &amp; Loss Store'!E167</f>
        <v>575</v>
      </c>
      <c r="F22" s="995">
        <f>'Profit &amp; Loss Ecommerce'!F158+'Profit &amp; Loss Store'!F167</f>
        <v>562.5</v>
      </c>
      <c r="G22" s="995">
        <f>'Profit &amp; Loss Ecommerce'!G158+'Profit &amp; Loss Store'!G167</f>
        <v>550</v>
      </c>
      <c r="H22" s="995">
        <f>'Profit &amp; Loss Ecommerce'!H158+'Profit &amp; Loss Store'!H167</f>
        <v>537.5</v>
      </c>
      <c r="I22" s="995">
        <f>'Profit &amp; Loss Ecommerce'!I158+'Profit &amp; Loss Store'!I167</f>
        <v>525</v>
      </c>
      <c r="J22" s="995">
        <f>'Profit &amp; Loss Ecommerce'!J158+'Profit &amp; Loss Store'!J167</f>
        <v>512.5</v>
      </c>
      <c r="K22" s="995">
        <f>'Profit &amp; Loss Ecommerce'!K158+'Profit &amp; Loss Store'!K167</f>
        <v>500</v>
      </c>
      <c r="L22" s="995">
        <f>'Profit &amp; Loss Ecommerce'!L158+'Profit &amp; Loss Store'!L167</f>
        <v>487.5</v>
      </c>
      <c r="M22" s="995">
        <f>'Profit &amp; Loss Ecommerce'!M158+'Profit &amp; Loss Store'!M167</f>
        <v>475</v>
      </c>
      <c r="N22" s="995">
        <f>'Profit &amp; Loss Ecommerce'!N158+'Profit &amp; Loss Store'!N167</f>
        <v>462.5</v>
      </c>
      <c r="O22" s="995">
        <f>'Profit &amp; Loss Ecommerce'!O158+'Profit &amp; Loss Store'!O167</f>
        <v>450</v>
      </c>
      <c r="P22" s="1111">
        <f>'Profit &amp; Loss Ecommerce'!P158+'Profit &amp; Loss Store'!P167</f>
        <v>2200</v>
      </c>
      <c r="Q22" s="995">
        <f>'Profit &amp; Loss Ecommerce'!Q158+'Profit &amp; Loss Store'!Q167</f>
        <v>2150</v>
      </c>
      <c r="R22" s="995">
        <f>'Profit &amp; Loss Ecommerce'!R158+'Profit &amp; Loss Store'!R167</f>
        <v>2100</v>
      </c>
      <c r="S22" s="995">
        <f>'Profit &amp; Loss Ecommerce'!S158+'Profit &amp; Loss Store'!S167</f>
        <v>2050</v>
      </c>
      <c r="T22" s="995">
        <f>'Profit &amp; Loss Ecommerce'!T158+'Profit &amp; Loss Store'!T167</f>
        <v>2000</v>
      </c>
      <c r="U22" s="995">
        <f>'Profit &amp; Loss Ecommerce'!U158+'Profit &amp; Loss Store'!U167</f>
        <v>1950</v>
      </c>
      <c r="V22" s="995">
        <f>'Profit &amp; Loss Ecommerce'!V158+'Profit &amp; Loss Store'!V167</f>
        <v>1900</v>
      </c>
      <c r="W22" s="995">
        <f>'Profit &amp; Loss Ecommerce'!W158+'Profit &amp; Loss Store'!W167</f>
        <v>1850</v>
      </c>
      <c r="X22" s="995">
        <f>'Profit &amp; Loss Ecommerce'!X158+'Profit &amp; Loss Store'!X167</f>
        <v>1800</v>
      </c>
      <c r="Y22" s="995">
        <f>'Profit &amp; Loss Ecommerce'!Y158+'Profit &amp; Loss Store'!Y167</f>
        <v>1750</v>
      </c>
      <c r="Z22" s="995">
        <f>'Profit &amp; Loss Ecommerce'!Z158+'Profit &amp; Loss Store'!Z167</f>
        <v>1700</v>
      </c>
      <c r="AA22" s="1043">
        <f>'Profit &amp; Loss Ecommerce'!AA158+'Profit &amp; Loss Store'!AA167</f>
        <v>1650</v>
      </c>
      <c r="AB22" s="995">
        <f>'Profit &amp; Loss Ecommerce'!AB158+'Profit &amp; Loss Store'!AB167</f>
        <v>6006.25</v>
      </c>
      <c r="AC22" s="995">
        <f>'Profit &amp; Loss Ecommerce'!AC158+'Profit &amp; Loss Store'!AC167</f>
        <v>5862.5</v>
      </c>
      <c r="AD22" s="995">
        <f>'Profit &amp; Loss Ecommerce'!AD158+'Profit &amp; Loss Store'!AD167</f>
        <v>5718.75</v>
      </c>
      <c r="AE22" s="995">
        <f>'Profit &amp; Loss Ecommerce'!AE158+'Profit &amp; Loss Store'!AE167</f>
        <v>5575</v>
      </c>
      <c r="AF22" s="995">
        <f>'Profit &amp; Loss Ecommerce'!AF158+'Profit &amp; Loss Store'!AF167</f>
        <v>5431.25</v>
      </c>
      <c r="AG22" s="995">
        <f>'Profit &amp; Loss Ecommerce'!AG158+'Profit &amp; Loss Store'!AG167</f>
        <v>5287.5</v>
      </c>
      <c r="AH22" s="995">
        <f>'Profit &amp; Loss Ecommerce'!AH158+'Profit &amp; Loss Store'!AH167</f>
        <v>5143.75</v>
      </c>
      <c r="AI22" s="995">
        <f>'Profit &amp; Loss Ecommerce'!AI158+'Profit &amp; Loss Store'!AI167</f>
        <v>5000</v>
      </c>
      <c r="AJ22" s="995">
        <f>'Profit &amp; Loss Ecommerce'!AJ158+'Profit &amp; Loss Store'!AJ167</f>
        <v>4856.25</v>
      </c>
      <c r="AK22" s="995">
        <f>'Profit &amp; Loss Ecommerce'!AK158+'Profit &amp; Loss Store'!AK167</f>
        <v>4712.5</v>
      </c>
      <c r="AL22" s="995">
        <f>'Profit &amp; Loss Ecommerce'!AL158+'Profit &amp; Loss Store'!AL167</f>
        <v>4568.75</v>
      </c>
      <c r="AM22" s="995">
        <f>'Profit &amp; Loss Ecommerce'!AM158+'Profit &amp; Loss Store'!AM167</f>
        <v>4425</v>
      </c>
      <c r="AN22" s="72"/>
      <c r="AO22" s="72"/>
      <c r="AP22" s="72"/>
      <c r="AQ22" s="72"/>
      <c r="AR22" s="72"/>
      <c r="AS22" s="72"/>
      <c r="AT22" s="72"/>
      <c r="AU22" s="72"/>
      <c r="AV22" s="72"/>
      <c r="AW22" s="72"/>
      <c r="AX22" s="193"/>
      <c r="AY22" s="193"/>
      <c r="AZ22" s="193"/>
      <c r="BA22" s="193"/>
      <c r="BB22" s="193"/>
      <c r="BC22" s="193"/>
      <c r="BD22" s="193"/>
      <c r="BE22" s="193"/>
      <c r="BF22" s="193"/>
      <c r="BG22" s="193"/>
      <c r="BH22" s="193"/>
      <c r="BI22" s="192"/>
      <c r="BJ22" s="192"/>
      <c r="BK22" s="192"/>
      <c r="BL22" s="192"/>
    </row>
    <row r="23" spans="2:64" s="191" customFormat="1" ht="15" customHeight="1">
      <c r="B23" s="1062" t="str">
        <f>'Profit &amp; Loss Ecommerce'!B160</f>
        <v>Additive Manufacturing Printer</v>
      </c>
      <c r="C23" s="1063"/>
      <c r="D23" s="995">
        <f>'Profit &amp; Loss Ecommerce'!D165+'Profit &amp; Loss Store'!D174</f>
        <v>29000</v>
      </c>
      <c r="E23" s="995">
        <f>'Profit &amp; Loss Ecommerce'!E165+'Profit &amp; Loss Store'!E174</f>
        <v>28000</v>
      </c>
      <c r="F23" s="995">
        <f>'Profit &amp; Loss Ecommerce'!F165+'Profit &amp; Loss Store'!F174</f>
        <v>27000</v>
      </c>
      <c r="G23" s="995">
        <f>'Profit &amp; Loss Ecommerce'!G165+'Profit &amp; Loss Store'!G174</f>
        <v>26000</v>
      </c>
      <c r="H23" s="995">
        <f>'Profit &amp; Loss Ecommerce'!H165+'Profit &amp; Loss Store'!H174</f>
        <v>25000</v>
      </c>
      <c r="I23" s="995">
        <f>'Profit &amp; Loss Ecommerce'!I165+'Profit &amp; Loss Store'!I174</f>
        <v>24000</v>
      </c>
      <c r="J23" s="995">
        <f>'Profit &amp; Loss Ecommerce'!J165+'Profit &amp; Loss Store'!J174</f>
        <v>23000</v>
      </c>
      <c r="K23" s="995">
        <f>'Profit &amp; Loss Ecommerce'!K165+'Profit &amp; Loss Store'!K174</f>
        <v>22000</v>
      </c>
      <c r="L23" s="995">
        <f>'Profit &amp; Loss Ecommerce'!L165+'Profit &amp; Loss Store'!L174</f>
        <v>21000</v>
      </c>
      <c r="M23" s="995">
        <f>'Profit &amp; Loss Ecommerce'!M165+'Profit &amp; Loss Store'!M174</f>
        <v>20000</v>
      </c>
      <c r="N23" s="995">
        <f>'Profit &amp; Loss Ecommerce'!N165+'Profit &amp; Loss Store'!N174</f>
        <v>19000</v>
      </c>
      <c r="O23" s="995">
        <f>'Profit &amp; Loss Ecommerce'!O165+'Profit &amp; Loss Store'!O174</f>
        <v>18000</v>
      </c>
      <c r="P23" s="1111">
        <f>'Profit &amp; Loss Ecommerce'!P165+'Profit &amp; Loss Store'!P174</f>
        <v>46000</v>
      </c>
      <c r="Q23" s="995">
        <f>'Profit &amp; Loss Ecommerce'!Q165+'Profit &amp; Loss Store'!Q174</f>
        <v>44000</v>
      </c>
      <c r="R23" s="995">
        <f>'Profit &amp; Loss Ecommerce'!R165+'Profit &amp; Loss Store'!R174</f>
        <v>42000</v>
      </c>
      <c r="S23" s="995">
        <f>'Profit &amp; Loss Ecommerce'!S165+'Profit &amp; Loss Store'!S174</f>
        <v>40000</v>
      </c>
      <c r="T23" s="995">
        <f>'Profit &amp; Loss Ecommerce'!T165+'Profit &amp; Loss Store'!T174</f>
        <v>38000</v>
      </c>
      <c r="U23" s="995">
        <f>'Profit &amp; Loss Ecommerce'!U165+'Profit &amp; Loss Store'!U174</f>
        <v>36000</v>
      </c>
      <c r="V23" s="995">
        <f>'Profit &amp; Loss Ecommerce'!V165+'Profit &amp; Loss Store'!V174</f>
        <v>34000</v>
      </c>
      <c r="W23" s="995">
        <f>'Profit &amp; Loss Ecommerce'!W165+'Profit &amp; Loss Store'!W174</f>
        <v>32000</v>
      </c>
      <c r="X23" s="995">
        <f>'Profit &amp; Loss Ecommerce'!X165+'Profit &amp; Loss Store'!X174</f>
        <v>30000</v>
      </c>
      <c r="Y23" s="995">
        <f>'Profit &amp; Loss Ecommerce'!Y165+'Profit &amp; Loss Store'!Y174</f>
        <v>28000</v>
      </c>
      <c r="Z23" s="995">
        <f>'Profit &amp; Loss Ecommerce'!Z165+'Profit &amp; Loss Store'!Z174</f>
        <v>26000</v>
      </c>
      <c r="AA23" s="1043">
        <f>'Profit &amp; Loss Ecommerce'!AA165+'Profit &amp; Loss Store'!AA174</f>
        <v>24000</v>
      </c>
      <c r="AB23" s="995">
        <f>'Profit &amp; Loss Ecommerce'!AB165+'Profit &amp; Loss Store'!AB174</f>
        <v>138000</v>
      </c>
      <c r="AC23" s="995">
        <f>'Profit &amp; Loss Ecommerce'!AC165+'Profit &amp; Loss Store'!AC174</f>
        <v>132000</v>
      </c>
      <c r="AD23" s="995">
        <f>'Profit &amp; Loss Ecommerce'!AD165+'Profit &amp; Loss Store'!AD174</f>
        <v>126000</v>
      </c>
      <c r="AE23" s="995">
        <f>'Profit &amp; Loss Ecommerce'!AE165+'Profit &amp; Loss Store'!AE174</f>
        <v>120000</v>
      </c>
      <c r="AF23" s="995">
        <f>'Profit &amp; Loss Ecommerce'!AF165+'Profit &amp; Loss Store'!AF174</f>
        <v>114000</v>
      </c>
      <c r="AG23" s="995">
        <f>'Profit &amp; Loss Ecommerce'!AG165+'Profit &amp; Loss Store'!AG174</f>
        <v>108000</v>
      </c>
      <c r="AH23" s="995">
        <f>'Profit &amp; Loss Ecommerce'!AH165+'Profit &amp; Loss Store'!AH174</f>
        <v>102000</v>
      </c>
      <c r="AI23" s="995">
        <f>'Profit &amp; Loss Ecommerce'!AI165+'Profit &amp; Loss Store'!AI174</f>
        <v>96000</v>
      </c>
      <c r="AJ23" s="995">
        <f>'Profit &amp; Loss Ecommerce'!AJ165+'Profit &amp; Loss Store'!AJ174</f>
        <v>90000</v>
      </c>
      <c r="AK23" s="995">
        <f>'Profit &amp; Loss Ecommerce'!AK165+'Profit &amp; Loss Store'!AK174</f>
        <v>84000</v>
      </c>
      <c r="AL23" s="995">
        <f>'Profit &amp; Loss Ecommerce'!AL165+'Profit &amp; Loss Store'!AL174</f>
        <v>78000</v>
      </c>
      <c r="AM23" s="995">
        <f>'Profit &amp; Loss Ecommerce'!AM165+'Profit &amp; Loss Store'!AM174</f>
        <v>72000</v>
      </c>
      <c r="AN23" s="72"/>
      <c r="AO23" s="72"/>
      <c r="AP23" s="72"/>
      <c r="AQ23" s="72"/>
      <c r="AR23" s="72"/>
      <c r="AS23" s="72"/>
      <c r="AT23" s="72"/>
      <c r="AU23" s="72"/>
      <c r="AV23" s="72"/>
      <c r="AW23" s="72"/>
      <c r="AX23" s="193"/>
      <c r="AY23" s="193"/>
      <c r="AZ23" s="193"/>
      <c r="BA23" s="193"/>
      <c r="BB23" s="193"/>
      <c r="BC23" s="193"/>
      <c r="BD23" s="193"/>
      <c r="BE23" s="193"/>
      <c r="BF23" s="193"/>
      <c r="BG23" s="193"/>
      <c r="BH23" s="193"/>
      <c r="BI23" s="192"/>
      <c r="BJ23" s="192"/>
      <c r="BK23" s="192"/>
      <c r="BL23" s="192"/>
    </row>
    <row r="24" spans="2:64" s="191" customFormat="1" ht="15" customHeight="1">
      <c r="B24" s="1062" t="str">
        <f>'Profit &amp; Loss Ecommerce'!B167</f>
        <v>Office Desks</v>
      </c>
      <c r="C24" s="1063"/>
      <c r="D24" s="995">
        <f>'Profit &amp; Loss Ecommerce'!D172+'Profit &amp; Loss Store'!D181</f>
        <v>1175</v>
      </c>
      <c r="E24" s="995">
        <f>'Profit &amp; Loss Ecommerce'!E172+'Profit &amp; Loss Store'!E181</f>
        <v>1150</v>
      </c>
      <c r="F24" s="995">
        <f>'Profit &amp; Loss Ecommerce'!F172+'Profit &amp; Loss Store'!F181</f>
        <v>1125</v>
      </c>
      <c r="G24" s="995">
        <f>'Profit &amp; Loss Ecommerce'!G172+'Profit &amp; Loss Store'!G181</f>
        <v>1100</v>
      </c>
      <c r="H24" s="995">
        <f>'Profit &amp; Loss Ecommerce'!H172+'Profit &amp; Loss Store'!H181</f>
        <v>1075</v>
      </c>
      <c r="I24" s="995">
        <f>'Profit &amp; Loss Ecommerce'!I172+'Profit &amp; Loss Store'!I181</f>
        <v>1050</v>
      </c>
      <c r="J24" s="995">
        <f>'Profit &amp; Loss Ecommerce'!J172+'Profit &amp; Loss Store'!J181</f>
        <v>1025</v>
      </c>
      <c r="K24" s="995">
        <f>'Profit &amp; Loss Ecommerce'!K172+'Profit &amp; Loss Store'!K181</f>
        <v>1000</v>
      </c>
      <c r="L24" s="995">
        <f>'Profit &amp; Loss Ecommerce'!L172+'Profit &amp; Loss Store'!L181</f>
        <v>975</v>
      </c>
      <c r="M24" s="995">
        <f>'Profit &amp; Loss Ecommerce'!M172+'Profit &amp; Loss Store'!M181</f>
        <v>950</v>
      </c>
      <c r="N24" s="995">
        <f>'Profit &amp; Loss Ecommerce'!N172+'Profit &amp; Loss Store'!N181</f>
        <v>925</v>
      </c>
      <c r="O24" s="995">
        <f>'Profit &amp; Loss Ecommerce'!O172+'Profit &amp; Loss Store'!O181</f>
        <v>900</v>
      </c>
      <c r="P24" s="1111">
        <f>'Profit &amp; Loss Ecommerce'!P172+'Profit &amp; Loss Store'!P181</f>
        <v>972.91666666666663</v>
      </c>
      <c r="Q24" s="995">
        <f>'Profit &amp; Loss Ecommerce'!Q172+'Profit &amp; Loss Store'!Q181</f>
        <v>945.83333333333326</v>
      </c>
      <c r="R24" s="995">
        <f>'Profit &amp; Loss Ecommerce'!R172+'Profit &amp; Loss Store'!R181</f>
        <v>918.74999999999989</v>
      </c>
      <c r="S24" s="995">
        <f>'Profit &amp; Loss Ecommerce'!S172+'Profit &amp; Loss Store'!S181</f>
        <v>891.66666666666652</v>
      </c>
      <c r="T24" s="995">
        <f>'Profit &amp; Loss Ecommerce'!T172+'Profit &amp; Loss Store'!T181</f>
        <v>864.58333333333314</v>
      </c>
      <c r="U24" s="995">
        <f>'Profit &amp; Loss Ecommerce'!U172+'Profit &amp; Loss Store'!U181</f>
        <v>837.49999999999977</v>
      </c>
      <c r="V24" s="995">
        <f>'Profit &amp; Loss Ecommerce'!V172+'Profit &amp; Loss Store'!V181</f>
        <v>810.4166666666664</v>
      </c>
      <c r="W24" s="995">
        <f>'Profit &amp; Loss Ecommerce'!W172+'Profit &amp; Loss Store'!W181</f>
        <v>783.33333333333303</v>
      </c>
      <c r="X24" s="995">
        <f>'Profit &amp; Loss Ecommerce'!X172+'Profit &amp; Loss Store'!X181</f>
        <v>756.24999999999966</v>
      </c>
      <c r="Y24" s="995">
        <f>'Profit &amp; Loss Ecommerce'!Y172+'Profit &amp; Loss Store'!Y181</f>
        <v>729.16666666666629</v>
      </c>
      <c r="Z24" s="995">
        <f>'Profit &amp; Loss Ecommerce'!Z172+'Profit &amp; Loss Store'!Z181</f>
        <v>702.08333333333292</v>
      </c>
      <c r="AA24" s="1043">
        <f>'Profit &amp; Loss Ecommerce'!AA172+'Profit &amp; Loss Store'!AA181</f>
        <v>674.99999999999955</v>
      </c>
      <c r="AB24" s="995">
        <f>'Profit &amp; Loss Ecommerce'!AB172+'Profit &amp; Loss Store'!AB181</f>
        <v>2606.2499999999995</v>
      </c>
      <c r="AC24" s="995">
        <f>'Profit &amp; Loss Ecommerce'!AC172+'Profit &amp; Loss Store'!AC181</f>
        <v>2537.4999999999991</v>
      </c>
      <c r="AD24" s="995">
        <f>'Profit &amp; Loss Ecommerce'!AD172+'Profit &amp; Loss Store'!AD181</f>
        <v>2468.7499999999991</v>
      </c>
      <c r="AE24" s="995">
        <f>'Profit &amp; Loss Ecommerce'!AE172+'Profit &amp; Loss Store'!AE181</f>
        <v>2399.9999999999991</v>
      </c>
      <c r="AF24" s="995">
        <f>'Profit &amp; Loss Ecommerce'!AF172+'Profit &amp; Loss Store'!AF181</f>
        <v>2331.2499999999991</v>
      </c>
      <c r="AG24" s="995">
        <f>'Profit &amp; Loss Ecommerce'!AG172+'Profit &amp; Loss Store'!AG181</f>
        <v>2262.4999999999991</v>
      </c>
      <c r="AH24" s="995">
        <f>'Profit &amp; Loss Ecommerce'!AH172+'Profit &amp; Loss Store'!AH181</f>
        <v>2193.7499999999986</v>
      </c>
      <c r="AI24" s="995">
        <f>'Profit &amp; Loss Ecommerce'!AI172+'Profit &amp; Loss Store'!AI181</f>
        <v>2124.9999999999986</v>
      </c>
      <c r="AJ24" s="995">
        <f>'Profit &amp; Loss Ecommerce'!AJ172+'Profit &amp; Loss Store'!AJ181</f>
        <v>2056.2499999999986</v>
      </c>
      <c r="AK24" s="995">
        <f>'Profit &amp; Loss Ecommerce'!AK172+'Profit &amp; Loss Store'!AK181</f>
        <v>1987.4999999999984</v>
      </c>
      <c r="AL24" s="995">
        <f>'Profit &amp; Loss Ecommerce'!AL172+'Profit &amp; Loss Store'!AL181</f>
        <v>1918.7499999999982</v>
      </c>
      <c r="AM24" s="995">
        <f>'Profit &amp; Loss Ecommerce'!AM172+'Profit &amp; Loss Store'!AM181</f>
        <v>1849.9999999999982</v>
      </c>
      <c r="AN24" s="72"/>
      <c r="AO24" s="72"/>
      <c r="AP24" s="72"/>
      <c r="AQ24" s="72"/>
      <c r="AR24" s="72"/>
      <c r="AS24" s="72"/>
      <c r="AT24" s="72"/>
      <c r="AU24" s="72"/>
      <c r="AV24" s="72"/>
      <c r="AW24" s="72"/>
      <c r="AX24" s="193"/>
      <c r="AY24" s="193"/>
      <c r="AZ24" s="193"/>
      <c r="BA24" s="193"/>
      <c r="BB24" s="193"/>
      <c r="BC24" s="193"/>
      <c r="BD24" s="193"/>
      <c r="BE24" s="193"/>
      <c r="BF24" s="193"/>
      <c r="BG24" s="193"/>
      <c r="BH24" s="193"/>
      <c r="BI24" s="192"/>
      <c r="BJ24" s="192"/>
      <c r="BK24" s="192"/>
      <c r="BL24" s="192"/>
    </row>
    <row r="25" spans="2:64" s="191" customFormat="1" ht="15" customHeight="1">
      <c r="B25" s="1062" t="str">
        <f>'Profit &amp; Loss Ecommerce'!B174</f>
        <v>Office Chairs</v>
      </c>
      <c r="C25" s="1063"/>
      <c r="D25" s="995">
        <f>'Profit &amp; Loss Ecommerce'!D179+'Profit &amp; Loss Store'!D188</f>
        <v>948.57142857142856</v>
      </c>
      <c r="E25" s="995">
        <f>'Profit &amp; Loss Ecommerce'!E179+'Profit &amp; Loss Store'!E188</f>
        <v>937.14285714285711</v>
      </c>
      <c r="F25" s="995">
        <f>'Profit &amp; Loss Ecommerce'!F179+'Profit &amp; Loss Store'!F188</f>
        <v>925.71428571428567</v>
      </c>
      <c r="G25" s="995">
        <f>'Profit &amp; Loss Ecommerce'!G179+'Profit &amp; Loss Store'!G188</f>
        <v>914.28571428571422</v>
      </c>
      <c r="H25" s="995">
        <f>'Profit &amp; Loss Ecommerce'!H179+'Profit &amp; Loss Store'!H188</f>
        <v>902.85714285714278</v>
      </c>
      <c r="I25" s="995">
        <f>'Profit &amp; Loss Ecommerce'!I179+'Profit &amp; Loss Store'!I188</f>
        <v>891.42857142857133</v>
      </c>
      <c r="J25" s="995">
        <f>'Profit &amp; Loss Ecommerce'!J179+'Profit &amp; Loss Store'!J188</f>
        <v>879.99999999999989</v>
      </c>
      <c r="K25" s="995">
        <f>'Profit &amp; Loss Ecommerce'!K179+'Profit &amp; Loss Store'!K188</f>
        <v>868.57142857142844</v>
      </c>
      <c r="L25" s="995">
        <f>'Profit &amp; Loss Ecommerce'!L179+'Profit &amp; Loss Store'!L188</f>
        <v>857.142857142857</v>
      </c>
      <c r="M25" s="995">
        <f>'Profit &amp; Loss Ecommerce'!M179+'Profit &amp; Loss Store'!M188</f>
        <v>845.71428571428555</v>
      </c>
      <c r="N25" s="995">
        <f>'Profit &amp; Loss Ecommerce'!N179+'Profit &amp; Loss Store'!N188</f>
        <v>834.28571428571411</v>
      </c>
      <c r="O25" s="995">
        <f>'Profit &amp; Loss Ecommerce'!O179+'Profit &amp; Loss Store'!O188</f>
        <v>822.85714285714266</v>
      </c>
      <c r="P25" s="1111">
        <f>'Profit &amp; Loss Ecommerce'!P179+'Profit &amp; Loss Store'!P188</f>
        <v>890.47619047619025</v>
      </c>
      <c r="Q25" s="995">
        <f>'Profit &amp; Loss Ecommerce'!Q179+'Profit &amp; Loss Store'!Q188</f>
        <v>878.09523809523785</v>
      </c>
      <c r="R25" s="995">
        <f>'Profit &amp; Loss Ecommerce'!R179+'Profit &amp; Loss Store'!R188</f>
        <v>865.71428571428544</v>
      </c>
      <c r="S25" s="995">
        <f>'Profit &amp; Loss Ecommerce'!S179+'Profit &amp; Loss Store'!S188</f>
        <v>853.33333333333303</v>
      </c>
      <c r="T25" s="995">
        <f>'Profit &amp; Loss Ecommerce'!T179+'Profit &amp; Loss Store'!T188</f>
        <v>840.95238095238062</v>
      </c>
      <c r="U25" s="995">
        <f>'Profit &amp; Loss Ecommerce'!U179+'Profit &amp; Loss Store'!U188</f>
        <v>828.57142857142821</v>
      </c>
      <c r="V25" s="995">
        <f>'Profit &amp; Loss Ecommerce'!V179+'Profit &amp; Loss Store'!V188</f>
        <v>816.19047619047581</v>
      </c>
      <c r="W25" s="995">
        <f>'Profit &amp; Loss Ecommerce'!W179+'Profit &amp; Loss Store'!W188</f>
        <v>803.8095238095234</v>
      </c>
      <c r="X25" s="995">
        <f>'Profit &amp; Loss Ecommerce'!X179+'Profit &amp; Loss Store'!X188</f>
        <v>791.42857142857099</v>
      </c>
      <c r="Y25" s="995">
        <f>'Profit &amp; Loss Ecommerce'!Y179+'Profit &amp; Loss Store'!Y188</f>
        <v>779.04761904761858</v>
      </c>
      <c r="Z25" s="995">
        <f>'Profit &amp; Loss Ecommerce'!Z179+'Profit &amp; Loss Store'!Z188</f>
        <v>766.66666666666617</v>
      </c>
      <c r="AA25" s="1043">
        <f>'Profit &amp; Loss Ecommerce'!AA179+'Profit &amp; Loss Store'!AA188</f>
        <v>754.28571428571377</v>
      </c>
      <c r="AB25" s="995">
        <f>'Profit &amp; Loss Ecommerce'!AB179+'Profit &amp; Loss Store'!AB188</f>
        <v>2322.8571428571422</v>
      </c>
      <c r="AC25" s="995">
        <f>'Profit &amp; Loss Ecommerce'!AC179+'Profit &amp; Loss Store'!AC188</f>
        <v>2291.4285714285706</v>
      </c>
      <c r="AD25" s="995">
        <f>'Profit &amp; Loss Ecommerce'!AD179+'Profit &amp; Loss Store'!AD188</f>
        <v>2259.9999999999995</v>
      </c>
      <c r="AE25" s="995">
        <f>'Profit &amp; Loss Ecommerce'!AE179+'Profit &amp; Loss Store'!AE188</f>
        <v>2228.571428571428</v>
      </c>
      <c r="AF25" s="995">
        <f>'Profit &amp; Loss Ecommerce'!AF179+'Profit &amp; Loss Store'!AF188</f>
        <v>2197.1428571428564</v>
      </c>
      <c r="AG25" s="995">
        <f>'Profit &amp; Loss Ecommerce'!AG179+'Profit &amp; Loss Store'!AG188</f>
        <v>2165.7142857142853</v>
      </c>
      <c r="AH25" s="995">
        <f>'Profit &amp; Loss Ecommerce'!AH179+'Profit &amp; Loss Store'!AH188</f>
        <v>2134.2857142857138</v>
      </c>
      <c r="AI25" s="995">
        <f>'Profit &amp; Loss Ecommerce'!AI179+'Profit &amp; Loss Store'!AI188</f>
        <v>2102.8571428571422</v>
      </c>
      <c r="AJ25" s="995">
        <f>'Profit &amp; Loss Ecommerce'!AJ179+'Profit &amp; Loss Store'!AJ188</f>
        <v>2071.4285714285706</v>
      </c>
      <c r="AK25" s="995">
        <f>'Profit &amp; Loss Ecommerce'!AK179+'Profit &amp; Loss Store'!AK188</f>
        <v>2039.9999999999993</v>
      </c>
      <c r="AL25" s="995">
        <f>'Profit &amp; Loss Ecommerce'!AL179+'Profit &amp; Loss Store'!AL188</f>
        <v>2008.571428571428</v>
      </c>
      <c r="AM25" s="995">
        <f>'Profit &amp; Loss Ecommerce'!AM179+'Profit &amp; Loss Store'!AM188</f>
        <v>1977.1428571428564</v>
      </c>
      <c r="AN25" s="72"/>
      <c r="AO25" s="72"/>
      <c r="AP25" s="72"/>
      <c r="AQ25" s="72"/>
      <c r="AR25" s="72"/>
      <c r="AS25" s="72"/>
      <c r="AT25" s="72"/>
      <c r="AU25" s="72"/>
      <c r="AV25" s="72"/>
      <c r="AW25" s="72"/>
      <c r="AX25" s="193"/>
      <c r="AY25" s="193"/>
      <c r="AZ25" s="193"/>
      <c r="BA25" s="193"/>
      <c r="BB25" s="193"/>
      <c r="BC25" s="193"/>
      <c r="BD25" s="193"/>
      <c r="BE25" s="193"/>
      <c r="BF25" s="193"/>
      <c r="BG25" s="193"/>
      <c r="BH25" s="193"/>
      <c r="BI25" s="192"/>
      <c r="BJ25" s="192"/>
      <c r="BK25" s="192"/>
      <c r="BL25" s="192"/>
    </row>
    <row r="26" spans="2:64" s="191" customFormat="1" ht="15" customHeight="1">
      <c r="B26" s="1062" t="str">
        <f>'Profit &amp; Loss Ecommerce'!B181</f>
        <v>Welding Apparatus</v>
      </c>
      <c r="C26" s="1063"/>
      <c r="D26" s="995">
        <f>'Profit &amp; Loss Ecommerce'!D186+'Profit &amp; Loss Store'!D195</f>
        <v>1983.3333333333333</v>
      </c>
      <c r="E26" s="995">
        <f>'Profit &amp; Loss Ecommerce'!E186+'Profit &amp; Loss Store'!E195</f>
        <v>1966.6666666666665</v>
      </c>
      <c r="F26" s="995">
        <f>'Profit &amp; Loss Ecommerce'!F186+'Profit &amp; Loss Store'!F195</f>
        <v>1949.9999999999998</v>
      </c>
      <c r="G26" s="995">
        <f>'Profit &amp; Loss Ecommerce'!G186+'Profit &amp; Loss Store'!G195</f>
        <v>1933.333333333333</v>
      </c>
      <c r="H26" s="995">
        <f>'Profit &amp; Loss Ecommerce'!H186+'Profit &amp; Loss Store'!H195</f>
        <v>1916.6666666666663</v>
      </c>
      <c r="I26" s="995">
        <f>'Profit &amp; Loss Ecommerce'!I186+'Profit &amp; Loss Store'!I195</f>
        <v>1899.9999999999995</v>
      </c>
      <c r="J26" s="995">
        <f>'Profit &amp; Loss Ecommerce'!J186+'Profit &amp; Loss Store'!J195</f>
        <v>1883.3333333333328</v>
      </c>
      <c r="K26" s="995">
        <f>'Profit &amp; Loss Ecommerce'!K186+'Profit &amp; Loss Store'!K195</f>
        <v>1866.6666666666661</v>
      </c>
      <c r="L26" s="995">
        <f>'Profit &amp; Loss Ecommerce'!L186+'Profit &amp; Loss Store'!L195</f>
        <v>1849.9999999999993</v>
      </c>
      <c r="M26" s="995">
        <f>'Profit &amp; Loss Ecommerce'!M186+'Profit &amp; Loss Store'!M195</f>
        <v>1833.3333333333326</v>
      </c>
      <c r="N26" s="995">
        <f>'Profit &amp; Loss Ecommerce'!N186+'Profit &amp; Loss Store'!N195</f>
        <v>1816.6666666666658</v>
      </c>
      <c r="O26" s="995">
        <f>'Profit &amp; Loss Ecommerce'!O186+'Profit &amp; Loss Store'!O195</f>
        <v>1799.9999999999991</v>
      </c>
      <c r="P26" s="1111">
        <f>'Profit &amp; Loss Ecommerce'!P186+'Profit &amp; Loss Store'!P195</f>
        <v>3766.6666666666656</v>
      </c>
      <c r="Q26" s="995">
        <f>'Profit &amp; Loss Ecommerce'!Q186+'Profit &amp; Loss Store'!Q195</f>
        <v>3733.3333333333321</v>
      </c>
      <c r="R26" s="995">
        <f>'Profit &amp; Loss Ecommerce'!R186+'Profit &amp; Loss Store'!R195</f>
        <v>3699.9999999999986</v>
      </c>
      <c r="S26" s="995">
        <f>'Profit &amp; Loss Ecommerce'!S186+'Profit &amp; Loss Store'!S195</f>
        <v>3666.6666666666652</v>
      </c>
      <c r="T26" s="995">
        <f>'Profit &amp; Loss Ecommerce'!T186+'Profit &amp; Loss Store'!T195</f>
        <v>3633.3333333333317</v>
      </c>
      <c r="U26" s="995">
        <f>'Profit &amp; Loss Ecommerce'!U186+'Profit &amp; Loss Store'!U195</f>
        <v>3599.9999999999982</v>
      </c>
      <c r="V26" s="995">
        <f>'Profit &amp; Loss Ecommerce'!V186+'Profit &amp; Loss Store'!V195</f>
        <v>3566.6666666666647</v>
      </c>
      <c r="W26" s="995">
        <f>'Profit &amp; Loss Ecommerce'!W186+'Profit &amp; Loss Store'!W195</f>
        <v>3533.3333333333312</v>
      </c>
      <c r="X26" s="995">
        <f>'Profit &amp; Loss Ecommerce'!X186+'Profit &amp; Loss Store'!X195</f>
        <v>3499.9999999999977</v>
      </c>
      <c r="Y26" s="995">
        <f>'Profit &amp; Loss Ecommerce'!Y186+'Profit &amp; Loss Store'!Y195</f>
        <v>3466.6666666666642</v>
      </c>
      <c r="Z26" s="995">
        <f>'Profit &amp; Loss Ecommerce'!Z186+'Profit &amp; Loss Store'!Z195</f>
        <v>3433.3333333333308</v>
      </c>
      <c r="AA26" s="1043">
        <f>'Profit &amp; Loss Ecommerce'!AA186+'Profit &amp; Loss Store'!AA195</f>
        <v>3399.9999999999973</v>
      </c>
      <c r="AB26" s="995">
        <f>'Profit &amp; Loss Ecommerce'!AB186+'Profit &amp; Loss Store'!AB195</f>
        <v>9316.6666666666642</v>
      </c>
      <c r="AC26" s="995">
        <f>'Profit &amp; Loss Ecommerce'!AC186+'Profit &amp; Loss Store'!AC195</f>
        <v>9233.3333333333303</v>
      </c>
      <c r="AD26" s="995">
        <f>'Profit &amp; Loss Ecommerce'!AD186+'Profit &amp; Loss Store'!AD195</f>
        <v>9149.9999999999964</v>
      </c>
      <c r="AE26" s="995">
        <f>'Profit &amp; Loss Ecommerce'!AE186+'Profit &amp; Loss Store'!AE195</f>
        <v>9066.6666666666642</v>
      </c>
      <c r="AF26" s="995">
        <f>'Profit &amp; Loss Ecommerce'!AF186+'Profit &amp; Loss Store'!AF195</f>
        <v>8983.3333333333303</v>
      </c>
      <c r="AG26" s="995">
        <f>'Profit &amp; Loss Ecommerce'!AG186+'Profit &amp; Loss Store'!AG195</f>
        <v>8899.9999999999964</v>
      </c>
      <c r="AH26" s="995">
        <f>'Profit &amp; Loss Ecommerce'!AH186+'Profit &amp; Loss Store'!AH195</f>
        <v>8816.6666666666624</v>
      </c>
      <c r="AI26" s="995">
        <f>'Profit &amp; Loss Ecommerce'!AI186+'Profit &amp; Loss Store'!AI195</f>
        <v>8733.3333333333285</v>
      </c>
      <c r="AJ26" s="995">
        <f>'Profit &amp; Loss Ecommerce'!AJ186+'Profit &amp; Loss Store'!AJ195</f>
        <v>8649.9999999999964</v>
      </c>
      <c r="AK26" s="995">
        <f>'Profit &amp; Loss Ecommerce'!AK186+'Profit &amp; Loss Store'!AK195</f>
        <v>8566.6666666666624</v>
      </c>
      <c r="AL26" s="995">
        <f>'Profit &amp; Loss Ecommerce'!AL186+'Profit &amp; Loss Store'!AL195</f>
        <v>8483.3333333333285</v>
      </c>
      <c r="AM26" s="995">
        <f>'Profit &amp; Loss Ecommerce'!AM186+'Profit &amp; Loss Store'!AM195</f>
        <v>8399.9999999999964</v>
      </c>
      <c r="AN26" s="72"/>
      <c r="AO26" s="72"/>
      <c r="AP26" s="72"/>
      <c r="AQ26" s="72"/>
      <c r="AR26" s="72"/>
      <c r="AS26" s="72"/>
      <c r="AT26" s="72"/>
      <c r="AU26" s="72"/>
      <c r="AV26" s="72"/>
      <c r="AW26" s="72"/>
      <c r="AX26" s="193"/>
      <c r="AY26" s="193"/>
      <c r="AZ26" s="193"/>
      <c r="BA26" s="193"/>
      <c r="BB26" s="193"/>
      <c r="BC26" s="193"/>
      <c r="BD26" s="193"/>
      <c r="BE26" s="193"/>
      <c r="BF26" s="193"/>
      <c r="BG26" s="193"/>
      <c r="BH26" s="193"/>
      <c r="BI26" s="192"/>
      <c r="BJ26" s="192"/>
      <c r="BK26" s="192"/>
      <c r="BL26" s="192"/>
    </row>
    <row r="27" spans="2:64" s="191" customFormat="1" ht="15" customHeight="1">
      <c r="B27" s="1062" t="str">
        <f>'Profit &amp; Loss Ecommerce'!B188</f>
        <v>Painting Equipment</v>
      </c>
      <c r="C27" s="1063"/>
      <c r="D27" s="995">
        <f>'Profit &amp; Loss Ecommerce'!D193+'Profit &amp; Loss Store'!D202</f>
        <v>3540</v>
      </c>
      <c r="E27" s="995">
        <f>'Profit &amp; Loss Ecommerce'!E193+'Profit &amp; Loss Store'!E202</f>
        <v>3480</v>
      </c>
      <c r="F27" s="995">
        <f>'Profit &amp; Loss Ecommerce'!F193+'Profit &amp; Loss Store'!F202</f>
        <v>3420</v>
      </c>
      <c r="G27" s="995">
        <f>'Profit &amp; Loss Ecommerce'!G193+'Profit &amp; Loss Store'!G202</f>
        <v>3360</v>
      </c>
      <c r="H27" s="995">
        <f>'Profit &amp; Loss Ecommerce'!H193+'Profit &amp; Loss Store'!H202</f>
        <v>3300</v>
      </c>
      <c r="I27" s="995">
        <f>'Profit &amp; Loss Ecommerce'!I193+'Profit &amp; Loss Store'!I202</f>
        <v>3240</v>
      </c>
      <c r="J27" s="995">
        <f>'Profit &amp; Loss Ecommerce'!J193+'Profit &amp; Loss Store'!J202</f>
        <v>3180</v>
      </c>
      <c r="K27" s="995">
        <f>'Profit &amp; Loss Ecommerce'!K193+'Profit &amp; Loss Store'!K202</f>
        <v>3120</v>
      </c>
      <c r="L27" s="995">
        <f>'Profit &amp; Loss Ecommerce'!L193+'Profit &amp; Loss Store'!L202</f>
        <v>3060</v>
      </c>
      <c r="M27" s="995">
        <f>'Profit &amp; Loss Ecommerce'!M193+'Profit &amp; Loss Store'!M202</f>
        <v>3000</v>
      </c>
      <c r="N27" s="995">
        <f>'Profit &amp; Loss Ecommerce'!N193+'Profit &amp; Loss Store'!N202</f>
        <v>2940</v>
      </c>
      <c r="O27" s="995">
        <f>'Profit &amp; Loss Ecommerce'!O193+'Profit &amp; Loss Store'!O202</f>
        <v>2880</v>
      </c>
      <c r="P27" s="1111">
        <f>'Profit &amp; Loss Ecommerce'!P193+'Profit &amp; Loss Store'!P202</f>
        <v>2820</v>
      </c>
      <c r="Q27" s="995">
        <f>'Profit &amp; Loss Ecommerce'!Q193+'Profit &amp; Loss Store'!Q202</f>
        <v>2760</v>
      </c>
      <c r="R27" s="995">
        <f>'Profit &amp; Loss Ecommerce'!R193+'Profit &amp; Loss Store'!R202</f>
        <v>2700</v>
      </c>
      <c r="S27" s="995">
        <f>'Profit &amp; Loss Ecommerce'!S193+'Profit &amp; Loss Store'!S202</f>
        <v>2640</v>
      </c>
      <c r="T27" s="995">
        <f>'Profit &amp; Loss Ecommerce'!T193+'Profit &amp; Loss Store'!T202</f>
        <v>2580</v>
      </c>
      <c r="U27" s="995">
        <f>'Profit &amp; Loss Ecommerce'!U193+'Profit &amp; Loss Store'!U202</f>
        <v>2520</v>
      </c>
      <c r="V27" s="995">
        <f>'Profit &amp; Loss Ecommerce'!V193+'Profit &amp; Loss Store'!V202</f>
        <v>2460</v>
      </c>
      <c r="W27" s="995">
        <f>'Profit &amp; Loss Ecommerce'!W193+'Profit &amp; Loss Store'!W202</f>
        <v>2400</v>
      </c>
      <c r="X27" s="995">
        <f>'Profit &amp; Loss Ecommerce'!X193+'Profit &amp; Loss Store'!X202</f>
        <v>2340</v>
      </c>
      <c r="Y27" s="995">
        <f>'Profit &amp; Loss Ecommerce'!Y193+'Profit &amp; Loss Store'!Y202</f>
        <v>2280</v>
      </c>
      <c r="Z27" s="995">
        <f>'Profit &amp; Loss Ecommerce'!Z193+'Profit &amp; Loss Store'!Z202</f>
        <v>2220</v>
      </c>
      <c r="AA27" s="1043">
        <f>'Profit &amp; Loss Ecommerce'!AA193+'Profit &amp; Loss Store'!AA202</f>
        <v>2160</v>
      </c>
      <c r="AB27" s="995">
        <f>'Profit &amp; Loss Ecommerce'!AB193+'Profit &amp; Loss Store'!AB202</f>
        <v>4755</v>
      </c>
      <c r="AC27" s="995">
        <f>'Profit &amp; Loss Ecommerce'!AC193+'Profit &amp; Loss Store'!AC202</f>
        <v>4650</v>
      </c>
      <c r="AD27" s="995">
        <f>'Profit &amp; Loss Ecommerce'!AD193+'Profit &amp; Loss Store'!AD202</f>
        <v>4545</v>
      </c>
      <c r="AE27" s="995">
        <f>'Profit &amp; Loss Ecommerce'!AE193+'Profit &amp; Loss Store'!AE202</f>
        <v>4440</v>
      </c>
      <c r="AF27" s="995">
        <f>'Profit &amp; Loss Ecommerce'!AF193+'Profit &amp; Loss Store'!AF202</f>
        <v>4335</v>
      </c>
      <c r="AG27" s="995">
        <f>'Profit &amp; Loss Ecommerce'!AG193+'Profit &amp; Loss Store'!AG202</f>
        <v>4230</v>
      </c>
      <c r="AH27" s="995">
        <f>'Profit &amp; Loss Ecommerce'!AH193+'Profit &amp; Loss Store'!AH202</f>
        <v>4125</v>
      </c>
      <c r="AI27" s="995">
        <f>'Profit &amp; Loss Ecommerce'!AI193+'Profit &amp; Loss Store'!AI202</f>
        <v>4020</v>
      </c>
      <c r="AJ27" s="995">
        <f>'Profit &amp; Loss Ecommerce'!AJ193+'Profit &amp; Loss Store'!AJ202</f>
        <v>3915</v>
      </c>
      <c r="AK27" s="995">
        <f>'Profit &amp; Loss Ecommerce'!AK193+'Profit &amp; Loss Store'!AK202</f>
        <v>3810</v>
      </c>
      <c r="AL27" s="995">
        <f>'Profit &amp; Loss Ecommerce'!AL193+'Profit &amp; Loss Store'!AL202</f>
        <v>3705</v>
      </c>
      <c r="AM27" s="995">
        <f>'Profit &amp; Loss Ecommerce'!AM193+'Profit &amp; Loss Store'!AM202</f>
        <v>3600</v>
      </c>
      <c r="AN27" s="72"/>
      <c r="AO27" s="72"/>
      <c r="AP27" s="72"/>
      <c r="AQ27" s="72"/>
      <c r="AR27" s="72"/>
      <c r="AS27" s="72"/>
      <c r="AT27" s="72"/>
      <c r="AU27" s="72"/>
      <c r="AV27" s="72"/>
      <c r="AW27" s="72"/>
      <c r="AX27" s="193"/>
      <c r="AY27" s="193"/>
      <c r="AZ27" s="193"/>
      <c r="BA27" s="193"/>
      <c r="BB27" s="193"/>
      <c r="BC27" s="193"/>
      <c r="BD27" s="193"/>
      <c r="BE27" s="193"/>
      <c r="BF27" s="193"/>
      <c r="BG27" s="193"/>
      <c r="BH27" s="193"/>
      <c r="BI27" s="192"/>
      <c r="BJ27" s="192"/>
      <c r="BK27" s="192"/>
      <c r="BL27" s="192"/>
    </row>
    <row r="28" spans="2:64" s="191" customFormat="1" ht="15" customHeight="1">
      <c r="B28" s="1062" t="str">
        <f>'Profit &amp; Loss Ecommerce'!B195</f>
        <v>Walkie Talkies</v>
      </c>
      <c r="C28" s="1063"/>
      <c r="D28" s="995">
        <f>'Profit &amp; Loss Ecommerce'!D200+'Profit &amp; Loss Store'!D209</f>
        <v>395.83333333333331</v>
      </c>
      <c r="E28" s="995">
        <f>'Profit &amp; Loss Ecommerce'!E200+'Profit &amp; Loss Store'!E209</f>
        <v>391.66666666666663</v>
      </c>
      <c r="F28" s="995">
        <f>'Profit &amp; Loss Ecommerce'!F200+'Profit &amp; Loss Store'!F209</f>
        <v>387.49999999999994</v>
      </c>
      <c r="G28" s="995">
        <f>'Profit &amp; Loss Ecommerce'!G200+'Profit &amp; Loss Store'!G209</f>
        <v>383.33333333333326</v>
      </c>
      <c r="H28" s="995">
        <f>'Profit &amp; Loss Ecommerce'!H200+'Profit &amp; Loss Store'!H209</f>
        <v>379.16666666666657</v>
      </c>
      <c r="I28" s="995">
        <f>'Profit &amp; Loss Ecommerce'!I200+'Profit &amp; Loss Store'!I209</f>
        <v>374.99999999999989</v>
      </c>
      <c r="J28" s="995">
        <f>'Profit &amp; Loss Ecommerce'!J200+'Profit &amp; Loss Store'!J209</f>
        <v>370.8333333333332</v>
      </c>
      <c r="K28" s="995">
        <f>'Profit &amp; Loss Ecommerce'!K200+'Profit &amp; Loss Store'!K209</f>
        <v>366.66666666666652</v>
      </c>
      <c r="L28" s="995">
        <f>'Profit &amp; Loss Ecommerce'!L200+'Profit &amp; Loss Store'!L209</f>
        <v>362.49999999999983</v>
      </c>
      <c r="M28" s="995">
        <f>'Profit &amp; Loss Ecommerce'!M200+'Profit &amp; Loss Store'!M209</f>
        <v>358.33333333333314</v>
      </c>
      <c r="N28" s="995">
        <f>'Profit &amp; Loss Ecommerce'!N200+'Profit &amp; Loss Store'!N209</f>
        <v>354.16666666666646</v>
      </c>
      <c r="O28" s="995">
        <f>'Profit &amp; Loss Ecommerce'!O200+'Profit &amp; Loss Store'!O209</f>
        <v>349.99999999999977</v>
      </c>
      <c r="P28" s="1111">
        <f>'Profit &amp; Loss Ecommerce'!P200+'Profit &amp; Loss Store'!P209</f>
        <v>345.83333333333309</v>
      </c>
      <c r="Q28" s="995">
        <f>'Profit &amp; Loss Ecommerce'!Q200+'Profit &amp; Loss Store'!Q209</f>
        <v>341.6666666666664</v>
      </c>
      <c r="R28" s="995">
        <f>'Profit &amp; Loss Ecommerce'!R200+'Profit &amp; Loss Store'!R209</f>
        <v>337.49999999999972</v>
      </c>
      <c r="S28" s="995">
        <f>'Profit &amp; Loss Ecommerce'!S200+'Profit &amp; Loss Store'!S209</f>
        <v>333.33333333333303</v>
      </c>
      <c r="T28" s="995">
        <f>'Profit &amp; Loss Ecommerce'!T200+'Profit &amp; Loss Store'!T209</f>
        <v>329.16666666666634</v>
      </c>
      <c r="U28" s="995">
        <f>'Profit &amp; Loss Ecommerce'!U200+'Profit &amp; Loss Store'!U209</f>
        <v>324.99999999999966</v>
      </c>
      <c r="V28" s="995">
        <f>'Profit &amp; Loss Ecommerce'!V200+'Profit &amp; Loss Store'!V209</f>
        <v>320.83333333333297</v>
      </c>
      <c r="W28" s="995">
        <f>'Profit &amp; Loss Ecommerce'!W200+'Profit &amp; Loss Store'!W209</f>
        <v>316.66666666666629</v>
      </c>
      <c r="X28" s="995">
        <f>'Profit &amp; Loss Ecommerce'!X200+'Profit &amp; Loss Store'!X209</f>
        <v>312.4999999999996</v>
      </c>
      <c r="Y28" s="995">
        <f>'Profit &amp; Loss Ecommerce'!Y200+'Profit &amp; Loss Store'!Y209</f>
        <v>308.33333333333292</v>
      </c>
      <c r="Z28" s="995">
        <f>'Profit &amp; Loss Ecommerce'!Z200+'Profit &amp; Loss Store'!Z209</f>
        <v>304.16666666666623</v>
      </c>
      <c r="AA28" s="1043">
        <f>'Profit &amp; Loss Ecommerce'!AA200+'Profit &amp; Loss Store'!AA209</f>
        <v>299.99999999999955</v>
      </c>
      <c r="AB28" s="995">
        <f>'Profit &amp; Loss Ecommerce'!AB200+'Profit &amp; Loss Store'!AB209</f>
        <v>493.74999999999955</v>
      </c>
      <c r="AC28" s="995">
        <f>'Profit &amp; Loss Ecommerce'!AC200+'Profit &amp; Loss Store'!AC209</f>
        <v>487.49999999999949</v>
      </c>
      <c r="AD28" s="995">
        <f>'Profit &amp; Loss Ecommerce'!AD200+'Profit &amp; Loss Store'!AD209</f>
        <v>481.24999999999943</v>
      </c>
      <c r="AE28" s="995">
        <f>'Profit &amp; Loss Ecommerce'!AE200+'Profit &amp; Loss Store'!AE209</f>
        <v>474.99999999999943</v>
      </c>
      <c r="AF28" s="995">
        <f>'Profit &amp; Loss Ecommerce'!AF200+'Profit &amp; Loss Store'!AF209</f>
        <v>468.74999999999943</v>
      </c>
      <c r="AG28" s="995">
        <f>'Profit &amp; Loss Ecommerce'!AG200+'Profit &amp; Loss Store'!AG209</f>
        <v>462.49999999999937</v>
      </c>
      <c r="AH28" s="995">
        <f>'Profit &amp; Loss Ecommerce'!AH200+'Profit &amp; Loss Store'!AH209</f>
        <v>456.24999999999932</v>
      </c>
      <c r="AI28" s="995">
        <f>'Profit &amp; Loss Ecommerce'!AI200+'Profit &amp; Loss Store'!AI209</f>
        <v>449.99999999999932</v>
      </c>
      <c r="AJ28" s="995">
        <f>'Profit &amp; Loss Ecommerce'!AJ200+'Profit &amp; Loss Store'!AJ209</f>
        <v>443.74999999999932</v>
      </c>
      <c r="AK28" s="995">
        <f>'Profit &amp; Loss Ecommerce'!AK200+'Profit &amp; Loss Store'!AK209</f>
        <v>437.49999999999926</v>
      </c>
      <c r="AL28" s="995">
        <f>'Profit &amp; Loss Ecommerce'!AL200+'Profit &amp; Loss Store'!AL209</f>
        <v>431.24999999999926</v>
      </c>
      <c r="AM28" s="995">
        <f>'Profit &amp; Loss Ecommerce'!AM200+'Profit &amp; Loss Store'!AM209</f>
        <v>424.99999999999926</v>
      </c>
      <c r="AN28" s="72"/>
      <c r="AO28" s="72"/>
      <c r="AP28" s="72"/>
      <c r="AQ28" s="72"/>
      <c r="AR28" s="72"/>
      <c r="AS28" s="72"/>
      <c r="AT28" s="72"/>
      <c r="AU28" s="72"/>
      <c r="AV28" s="72"/>
      <c r="AW28" s="72"/>
      <c r="AX28" s="193"/>
      <c r="AY28" s="193"/>
      <c r="AZ28" s="193"/>
      <c r="BA28" s="193"/>
      <c r="BB28" s="193"/>
      <c r="BC28" s="193"/>
      <c r="BD28" s="193"/>
      <c r="BE28" s="193"/>
      <c r="BF28" s="193"/>
      <c r="BG28" s="193"/>
      <c r="BH28" s="193"/>
      <c r="BI28" s="192"/>
      <c r="BJ28" s="192"/>
      <c r="BK28" s="192"/>
      <c r="BL28" s="192"/>
    </row>
    <row r="29" spans="2:64" s="191" customFormat="1" ht="15" customHeight="1">
      <c r="B29" s="1062" t="str">
        <f>'Profit &amp; Loss Store'!B64</f>
        <v>Cleaning Equipment</v>
      </c>
      <c r="C29" s="1063"/>
      <c r="D29" s="995">
        <f>'Profit &amp; Loss Store'!D216</f>
        <v>0</v>
      </c>
      <c r="E29" s="995">
        <f>'Profit &amp; Loss Store'!E216</f>
        <v>0</v>
      </c>
      <c r="F29" s="995">
        <f>'Profit &amp; Loss Store'!F216</f>
        <v>0</v>
      </c>
      <c r="G29" s="995">
        <f>'Profit &amp; Loss Store'!G216</f>
        <v>0</v>
      </c>
      <c r="H29" s="995">
        <f>'Profit &amp; Loss Store'!H216</f>
        <v>0</v>
      </c>
      <c r="I29" s="995">
        <f>'Profit &amp; Loss Store'!I216</f>
        <v>0</v>
      </c>
      <c r="J29" s="995">
        <f>'Profit &amp; Loss Store'!J216</f>
        <v>0</v>
      </c>
      <c r="K29" s="995">
        <f>'Profit &amp; Loss Store'!K216</f>
        <v>0</v>
      </c>
      <c r="L29" s="995">
        <f>'Profit &amp; Loss Store'!L216</f>
        <v>0</v>
      </c>
      <c r="M29" s="995">
        <f>'Profit &amp; Loss Store'!M216</f>
        <v>0</v>
      </c>
      <c r="N29" s="995">
        <f>'Profit &amp; Loss Store'!N216</f>
        <v>0</v>
      </c>
      <c r="O29" s="995">
        <f>'Profit &amp; Loss Store'!O216</f>
        <v>0</v>
      </c>
      <c r="P29" s="1111">
        <f>'Profit &amp; Loss Store'!P216</f>
        <v>0</v>
      </c>
      <c r="Q29" s="995">
        <f>'Profit &amp; Loss Store'!Q216</f>
        <v>0</v>
      </c>
      <c r="R29" s="995">
        <f>'Profit &amp; Loss Store'!R216</f>
        <v>0</v>
      </c>
      <c r="S29" s="995">
        <f>'Profit &amp; Loss Store'!S216</f>
        <v>0</v>
      </c>
      <c r="T29" s="995">
        <f>'Profit &amp; Loss Store'!T216</f>
        <v>0</v>
      </c>
      <c r="U29" s="995">
        <f>'Profit &amp; Loss Store'!U216</f>
        <v>0</v>
      </c>
      <c r="V29" s="995">
        <f>'Profit &amp; Loss Store'!V216</f>
        <v>0</v>
      </c>
      <c r="W29" s="995">
        <f>'Profit &amp; Loss Store'!W216</f>
        <v>0</v>
      </c>
      <c r="X29" s="995">
        <f>'Profit &amp; Loss Store'!X216</f>
        <v>0</v>
      </c>
      <c r="Y29" s="995">
        <f>'Profit &amp; Loss Store'!Y216</f>
        <v>0</v>
      </c>
      <c r="Z29" s="995">
        <f>'Profit &amp; Loss Store'!Z216</f>
        <v>0</v>
      </c>
      <c r="AA29" s="1043">
        <f>'Profit &amp; Loss Store'!AA216</f>
        <v>0</v>
      </c>
      <c r="AB29" s="995">
        <f>'Profit &amp; Loss Store'!AB216</f>
        <v>783.33333333333337</v>
      </c>
      <c r="AC29" s="995">
        <f>'Profit &amp; Loss Store'!AC216</f>
        <v>766.66666666666674</v>
      </c>
      <c r="AD29" s="995">
        <f>'Profit &amp; Loss Store'!AD216</f>
        <v>750.00000000000011</v>
      </c>
      <c r="AE29" s="995">
        <f>'Profit &amp; Loss Store'!AE216</f>
        <v>733.33333333333348</v>
      </c>
      <c r="AF29" s="995">
        <f>'Profit &amp; Loss Store'!AF216</f>
        <v>716.66666666666686</v>
      </c>
      <c r="AG29" s="995">
        <f>'Profit &amp; Loss Store'!AG216</f>
        <v>700.00000000000023</v>
      </c>
      <c r="AH29" s="995">
        <f>'Profit &amp; Loss Store'!AH216</f>
        <v>683.3333333333336</v>
      </c>
      <c r="AI29" s="995">
        <f>'Profit &amp; Loss Store'!AI216</f>
        <v>666.66666666666697</v>
      </c>
      <c r="AJ29" s="995">
        <f>'Profit &amp; Loss Store'!AJ216</f>
        <v>650.00000000000034</v>
      </c>
      <c r="AK29" s="995">
        <f>'Profit &amp; Loss Store'!AK216</f>
        <v>633.33333333333371</v>
      </c>
      <c r="AL29" s="995">
        <f>'Profit &amp; Loss Store'!AL216</f>
        <v>616.66666666666708</v>
      </c>
      <c r="AM29" s="995">
        <f>'Profit &amp; Loss Store'!AM216</f>
        <v>600.00000000000045</v>
      </c>
      <c r="AN29" s="72"/>
      <c r="AO29" s="72"/>
      <c r="AP29" s="72"/>
      <c r="AQ29" s="72"/>
      <c r="AR29" s="72"/>
      <c r="AS29" s="72"/>
      <c r="AT29" s="72"/>
      <c r="AU29" s="72"/>
      <c r="AV29" s="72"/>
      <c r="AW29" s="72"/>
      <c r="AX29" s="193"/>
      <c r="AY29" s="193"/>
      <c r="AZ29" s="193"/>
      <c r="BA29" s="193"/>
      <c r="BB29" s="193"/>
      <c r="BC29" s="193"/>
      <c r="BD29" s="193"/>
      <c r="BE29" s="193"/>
      <c r="BF29" s="193"/>
      <c r="BG29" s="193"/>
      <c r="BH29" s="193"/>
      <c r="BI29" s="192"/>
      <c r="BJ29" s="192"/>
      <c r="BK29" s="192"/>
      <c r="BL29" s="192"/>
    </row>
    <row r="30" spans="2:64" s="191" customFormat="1" ht="15" customHeight="1">
      <c r="B30" s="1062" t="str">
        <f>'Profit &amp; Loss Store'!B65</f>
        <v>Diagnostic Equipment</v>
      </c>
      <c r="C30" s="1063"/>
      <c r="D30" s="995">
        <f>'Profit &amp; Loss Store'!D223</f>
        <v>0</v>
      </c>
      <c r="E30" s="995">
        <f>'Profit &amp; Loss Store'!E223</f>
        <v>0</v>
      </c>
      <c r="F30" s="995">
        <f>'Profit &amp; Loss Store'!F223</f>
        <v>0</v>
      </c>
      <c r="G30" s="995">
        <f>'Profit &amp; Loss Store'!G223</f>
        <v>0</v>
      </c>
      <c r="H30" s="995">
        <f>'Profit &amp; Loss Store'!H223</f>
        <v>0</v>
      </c>
      <c r="I30" s="995">
        <f>'Profit &amp; Loss Store'!I223</f>
        <v>0</v>
      </c>
      <c r="J30" s="995">
        <f>'Profit &amp; Loss Store'!J223</f>
        <v>0</v>
      </c>
      <c r="K30" s="995">
        <f>'Profit &amp; Loss Store'!K223</f>
        <v>0</v>
      </c>
      <c r="L30" s="995">
        <f>'Profit &amp; Loss Store'!L223</f>
        <v>0</v>
      </c>
      <c r="M30" s="995">
        <f>'Profit &amp; Loss Store'!M223</f>
        <v>0</v>
      </c>
      <c r="N30" s="995">
        <f>'Profit &amp; Loss Store'!N223</f>
        <v>0</v>
      </c>
      <c r="O30" s="995">
        <f>'Profit &amp; Loss Store'!O223</f>
        <v>0</v>
      </c>
      <c r="P30" s="1111">
        <f>'Profit &amp; Loss Store'!P223</f>
        <v>0</v>
      </c>
      <c r="Q30" s="995">
        <f>'Profit &amp; Loss Store'!Q223</f>
        <v>0</v>
      </c>
      <c r="R30" s="995">
        <f>'Profit &amp; Loss Store'!R223</f>
        <v>0</v>
      </c>
      <c r="S30" s="995">
        <f>'Profit &amp; Loss Store'!S223</f>
        <v>0</v>
      </c>
      <c r="T30" s="995">
        <f>'Profit &amp; Loss Store'!T223</f>
        <v>0</v>
      </c>
      <c r="U30" s="995">
        <f>'Profit &amp; Loss Store'!U223</f>
        <v>0</v>
      </c>
      <c r="V30" s="995">
        <f>'Profit &amp; Loss Store'!V223</f>
        <v>0</v>
      </c>
      <c r="W30" s="995">
        <f>'Profit &amp; Loss Store'!W223</f>
        <v>0</v>
      </c>
      <c r="X30" s="995">
        <f>'Profit &amp; Loss Store'!X223</f>
        <v>0</v>
      </c>
      <c r="Y30" s="995">
        <f>'Profit &amp; Loss Store'!Y223</f>
        <v>0</v>
      </c>
      <c r="Z30" s="995">
        <f>'Profit &amp; Loss Store'!Z223</f>
        <v>0</v>
      </c>
      <c r="AA30" s="1043">
        <f>'Profit &amp; Loss Store'!AA223</f>
        <v>0</v>
      </c>
      <c r="AB30" s="995">
        <f>'Profit &amp; Loss Store'!AB223</f>
        <v>1679.7619047619048</v>
      </c>
      <c r="AC30" s="995">
        <f>'Profit &amp; Loss Store'!AC223</f>
        <v>1659.5238095238096</v>
      </c>
      <c r="AD30" s="995">
        <f>'Profit &amp; Loss Store'!AD223</f>
        <v>1639.2857142857144</v>
      </c>
      <c r="AE30" s="995">
        <f>'Profit &amp; Loss Store'!AE223</f>
        <v>1619.0476190476193</v>
      </c>
      <c r="AF30" s="995">
        <f>'Profit &amp; Loss Store'!AF223</f>
        <v>1598.8095238095241</v>
      </c>
      <c r="AG30" s="995">
        <f>'Profit &amp; Loss Store'!AG223</f>
        <v>1578.5714285714289</v>
      </c>
      <c r="AH30" s="995">
        <f>'Profit &amp; Loss Store'!AH223</f>
        <v>1558.3333333333337</v>
      </c>
      <c r="AI30" s="995">
        <f>'Profit &amp; Loss Store'!AI223</f>
        <v>1538.0952380952385</v>
      </c>
      <c r="AJ30" s="995">
        <f>'Profit &amp; Loss Store'!AJ223</f>
        <v>1517.8571428571433</v>
      </c>
      <c r="AK30" s="995">
        <f>'Profit &amp; Loss Store'!AK223</f>
        <v>1497.6190476190482</v>
      </c>
      <c r="AL30" s="995">
        <f>'Profit &amp; Loss Store'!AL223</f>
        <v>1477.380952380953</v>
      </c>
      <c r="AM30" s="995">
        <f>'Profit &amp; Loss Store'!AM223</f>
        <v>1457.1428571428578</v>
      </c>
      <c r="AN30" s="72"/>
      <c r="AO30" s="72"/>
      <c r="AP30" s="72"/>
      <c r="AQ30" s="72"/>
      <c r="AR30" s="72"/>
      <c r="AS30" s="72"/>
      <c r="AT30" s="72"/>
      <c r="AU30" s="72"/>
      <c r="AV30" s="72"/>
      <c r="AW30" s="72"/>
      <c r="AX30" s="193"/>
      <c r="AY30" s="193"/>
      <c r="AZ30" s="193"/>
      <c r="BA30" s="193"/>
      <c r="BB30" s="193"/>
      <c r="BC30" s="193"/>
      <c r="BD30" s="193"/>
      <c r="BE30" s="193"/>
      <c r="BF30" s="193"/>
      <c r="BG30" s="193"/>
      <c r="BH30" s="193"/>
      <c r="BI30" s="192"/>
      <c r="BJ30" s="192"/>
      <c r="BK30" s="192"/>
      <c r="BL30" s="192"/>
    </row>
    <row r="31" spans="2:64" s="191" customFormat="1" ht="15" customHeight="1">
      <c r="B31" s="1062" t="str">
        <f>'Profit &amp; Loss Store'!B66</f>
        <v>Car Lift Ramp</v>
      </c>
      <c r="C31" s="1063"/>
      <c r="D31" s="995">
        <f>'Profit &amp; Loss Store'!D230</f>
        <v>0</v>
      </c>
      <c r="E31" s="995">
        <f>'Profit &amp; Loss Store'!E230</f>
        <v>0</v>
      </c>
      <c r="F31" s="995">
        <f>'Profit &amp; Loss Store'!F230</f>
        <v>0</v>
      </c>
      <c r="G31" s="995">
        <f>'Profit &amp; Loss Store'!G230</f>
        <v>0</v>
      </c>
      <c r="H31" s="995">
        <f>'Profit &amp; Loss Store'!H230</f>
        <v>0</v>
      </c>
      <c r="I31" s="995">
        <f>'Profit &amp; Loss Store'!I230</f>
        <v>0</v>
      </c>
      <c r="J31" s="995">
        <f>'Profit &amp; Loss Store'!J230</f>
        <v>0</v>
      </c>
      <c r="K31" s="995">
        <f>'Profit &amp; Loss Store'!K230</f>
        <v>0</v>
      </c>
      <c r="L31" s="995">
        <f>'Profit &amp; Loss Store'!L230</f>
        <v>0</v>
      </c>
      <c r="M31" s="995">
        <f>'Profit &amp; Loss Store'!M230</f>
        <v>0</v>
      </c>
      <c r="N31" s="995">
        <f>'Profit &amp; Loss Store'!N230</f>
        <v>0</v>
      </c>
      <c r="O31" s="995">
        <f>'Profit &amp; Loss Store'!O230</f>
        <v>0</v>
      </c>
      <c r="P31" s="1111">
        <f>'Profit &amp; Loss Store'!P230</f>
        <v>0</v>
      </c>
      <c r="Q31" s="995">
        <f>'Profit &amp; Loss Store'!Q230</f>
        <v>0</v>
      </c>
      <c r="R31" s="995">
        <f>'Profit &amp; Loss Store'!R230</f>
        <v>0</v>
      </c>
      <c r="S31" s="995">
        <f>'Profit &amp; Loss Store'!S230</f>
        <v>0</v>
      </c>
      <c r="T31" s="995">
        <f>'Profit &amp; Loss Store'!T230</f>
        <v>0</v>
      </c>
      <c r="U31" s="995">
        <f>'Profit &amp; Loss Store'!U230</f>
        <v>0</v>
      </c>
      <c r="V31" s="995">
        <f>'Profit &amp; Loss Store'!V230</f>
        <v>0</v>
      </c>
      <c r="W31" s="995">
        <f>'Profit &amp; Loss Store'!W230</f>
        <v>0</v>
      </c>
      <c r="X31" s="995">
        <f>'Profit &amp; Loss Store'!X230</f>
        <v>0</v>
      </c>
      <c r="Y31" s="995">
        <f>'Profit &amp; Loss Store'!Y230</f>
        <v>0</v>
      </c>
      <c r="Z31" s="995">
        <f>'Profit &amp; Loss Store'!Z230</f>
        <v>0</v>
      </c>
      <c r="AA31" s="1043">
        <f>'Profit &amp; Loss Store'!AA230</f>
        <v>0</v>
      </c>
      <c r="AB31" s="995">
        <f>'Profit &amp; Loss Store'!AB230</f>
        <v>11800</v>
      </c>
      <c r="AC31" s="995">
        <f>'Profit &amp; Loss Store'!AC230</f>
        <v>11600</v>
      </c>
      <c r="AD31" s="995">
        <f>'Profit &amp; Loss Store'!AD230</f>
        <v>11400</v>
      </c>
      <c r="AE31" s="995">
        <f>'Profit &amp; Loss Store'!AE230</f>
        <v>11200</v>
      </c>
      <c r="AF31" s="995">
        <f>'Profit &amp; Loss Store'!AF230</f>
        <v>11000</v>
      </c>
      <c r="AG31" s="995">
        <f>'Profit &amp; Loss Store'!AG230</f>
        <v>10800</v>
      </c>
      <c r="AH31" s="995">
        <f>'Profit &amp; Loss Store'!AH230</f>
        <v>10600</v>
      </c>
      <c r="AI31" s="995">
        <f>'Profit &amp; Loss Store'!AI230</f>
        <v>10400</v>
      </c>
      <c r="AJ31" s="995">
        <f>'Profit &amp; Loss Store'!AJ230</f>
        <v>10200</v>
      </c>
      <c r="AK31" s="995">
        <f>'Profit &amp; Loss Store'!AK230</f>
        <v>10000</v>
      </c>
      <c r="AL31" s="995">
        <f>'Profit &amp; Loss Store'!AL230</f>
        <v>9800</v>
      </c>
      <c r="AM31" s="995">
        <f>'Profit &amp; Loss Store'!AM230</f>
        <v>9600</v>
      </c>
      <c r="AN31" s="72"/>
      <c r="AO31" s="72"/>
      <c r="AP31" s="72"/>
      <c r="AQ31" s="72"/>
      <c r="AR31" s="72"/>
      <c r="AS31" s="72"/>
      <c r="AT31" s="72"/>
      <c r="AU31" s="72"/>
      <c r="AV31" s="72"/>
      <c r="AW31" s="72"/>
      <c r="AX31" s="193"/>
      <c r="AY31" s="193"/>
      <c r="AZ31" s="193"/>
      <c r="BA31" s="193"/>
      <c r="BB31" s="193"/>
      <c r="BC31" s="193"/>
      <c r="BD31" s="193"/>
      <c r="BE31" s="193"/>
      <c r="BF31" s="193"/>
      <c r="BG31" s="193"/>
      <c r="BH31" s="193"/>
      <c r="BI31" s="192"/>
      <c r="BJ31" s="192"/>
      <c r="BK31" s="192"/>
      <c r="BL31" s="192"/>
    </row>
    <row r="32" spans="2:64" s="191" customFormat="1" ht="15" customHeight="1" thickBot="1">
      <c r="B32" s="1064" t="str">
        <f>'Profit &amp; Loss Store'!B67</f>
        <v>Personal Protection Equipment</v>
      </c>
      <c r="C32" s="1065"/>
      <c r="D32" s="995">
        <f>'Profit &amp; Loss Store'!D237</f>
        <v>0</v>
      </c>
      <c r="E32" s="995">
        <f>'Profit &amp; Loss Store'!E237</f>
        <v>0</v>
      </c>
      <c r="F32" s="995">
        <f>'Profit &amp; Loss Store'!F237</f>
        <v>0</v>
      </c>
      <c r="G32" s="995">
        <f>'Profit &amp; Loss Store'!G237</f>
        <v>0</v>
      </c>
      <c r="H32" s="995">
        <f>'Profit &amp; Loss Store'!H237</f>
        <v>0</v>
      </c>
      <c r="I32" s="995">
        <f>'Profit &amp; Loss Store'!I237</f>
        <v>0</v>
      </c>
      <c r="J32" s="995">
        <f>'Profit &amp; Loss Store'!J237</f>
        <v>0</v>
      </c>
      <c r="K32" s="995">
        <f>'Profit &amp; Loss Store'!K237</f>
        <v>0</v>
      </c>
      <c r="L32" s="995">
        <f>'Profit &amp; Loss Store'!L237</f>
        <v>0</v>
      </c>
      <c r="M32" s="995">
        <f>'Profit &amp; Loss Store'!M237</f>
        <v>0</v>
      </c>
      <c r="N32" s="995">
        <f>'Profit &amp; Loss Store'!N237</f>
        <v>0</v>
      </c>
      <c r="O32" s="995">
        <f>'Profit &amp; Loss Store'!O237</f>
        <v>0</v>
      </c>
      <c r="P32" s="1111">
        <f>'Profit &amp; Loss Store'!P237</f>
        <v>0</v>
      </c>
      <c r="Q32" s="995">
        <f>'Profit &amp; Loss Store'!Q237</f>
        <v>0</v>
      </c>
      <c r="R32" s="995">
        <f>'Profit &amp; Loss Store'!R237</f>
        <v>0</v>
      </c>
      <c r="S32" s="995">
        <f>'Profit &amp; Loss Store'!S237</f>
        <v>0</v>
      </c>
      <c r="T32" s="995">
        <f>'Profit &amp; Loss Store'!T237</f>
        <v>0</v>
      </c>
      <c r="U32" s="995">
        <f>'Profit &amp; Loss Store'!U237</f>
        <v>0</v>
      </c>
      <c r="V32" s="995">
        <f>'Profit &amp; Loss Store'!V237</f>
        <v>0</v>
      </c>
      <c r="W32" s="995">
        <f>'Profit &amp; Loss Store'!W237</f>
        <v>0</v>
      </c>
      <c r="X32" s="995">
        <f>'Profit &amp; Loss Store'!X237</f>
        <v>0</v>
      </c>
      <c r="Y32" s="995">
        <f>'Profit &amp; Loss Store'!Y237</f>
        <v>0</v>
      </c>
      <c r="Z32" s="995">
        <f>'Profit &amp; Loss Store'!Z237</f>
        <v>0</v>
      </c>
      <c r="AA32" s="1043">
        <f>'Profit &amp; Loss Store'!AA237</f>
        <v>0</v>
      </c>
      <c r="AB32" s="995">
        <f>'Profit &amp; Loss Store'!AB237</f>
        <v>4406.25</v>
      </c>
      <c r="AC32" s="995">
        <f>'Profit &amp; Loss Store'!AC237</f>
        <v>4312.5</v>
      </c>
      <c r="AD32" s="995">
        <f>'Profit &amp; Loss Store'!AD237</f>
        <v>4218.75</v>
      </c>
      <c r="AE32" s="995">
        <f>'Profit &amp; Loss Store'!AE237</f>
        <v>4125</v>
      </c>
      <c r="AF32" s="995">
        <f>'Profit &amp; Loss Store'!AF237</f>
        <v>4031.25</v>
      </c>
      <c r="AG32" s="995">
        <f>'Profit &amp; Loss Store'!AG237</f>
        <v>3937.5</v>
      </c>
      <c r="AH32" s="995">
        <f>'Profit &amp; Loss Store'!AH237</f>
        <v>3843.75</v>
      </c>
      <c r="AI32" s="995">
        <f>'Profit &amp; Loss Store'!AI237</f>
        <v>3750</v>
      </c>
      <c r="AJ32" s="995">
        <f>'Profit &amp; Loss Store'!AJ237</f>
        <v>3656.25</v>
      </c>
      <c r="AK32" s="995">
        <f>'Profit &amp; Loss Store'!AK237</f>
        <v>3562.5</v>
      </c>
      <c r="AL32" s="995">
        <f>'Profit &amp; Loss Store'!AL237</f>
        <v>3468.75</v>
      </c>
      <c r="AM32" s="995">
        <f>'Profit &amp; Loss Store'!AM237</f>
        <v>3375</v>
      </c>
      <c r="AN32" s="72"/>
      <c r="AO32" s="72"/>
      <c r="AP32" s="72"/>
      <c r="AQ32" s="72"/>
      <c r="AR32" s="72"/>
      <c r="AS32" s="72"/>
      <c r="AT32" s="72"/>
      <c r="AU32" s="72"/>
      <c r="AV32" s="72"/>
      <c r="AW32" s="72"/>
      <c r="AX32" s="193"/>
      <c r="AY32" s="193"/>
      <c r="AZ32" s="193"/>
      <c r="BA32" s="193"/>
      <c r="BB32" s="193"/>
      <c r="BC32" s="193"/>
      <c r="BD32" s="193"/>
      <c r="BE32" s="193"/>
      <c r="BF32" s="193"/>
      <c r="BG32" s="193"/>
      <c r="BH32" s="193"/>
      <c r="BI32" s="192"/>
      <c r="BJ32" s="192"/>
      <c r="BK32" s="192"/>
      <c r="BL32" s="192"/>
    </row>
    <row r="33" spans="1:71" s="194" customFormat="1" ht="15" customHeight="1" thickTop="1">
      <c r="B33" s="195"/>
      <c r="C33" s="196"/>
      <c r="D33" s="1059">
        <f>SUM(D18:D32)</f>
        <v>48446.238095238099</v>
      </c>
      <c r="E33" s="1059">
        <f t="shared" ref="E33:AM33" si="0">SUM(E18:E32)</f>
        <v>47092.476190476184</v>
      </c>
      <c r="F33" s="1059">
        <f t="shared" si="0"/>
        <v>45738.714285714283</v>
      </c>
      <c r="G33" s="1059">
        <f t="shared" si="0"/>
        <v>44384.952380952389</v>
      </c>
      <c r="H33" s="1059">
        <f t="shared" si="0"/>
        <v>43031.190476190473</v>
      </c>
      <c r="I33" s="1059">
        <f t="shared" si="0"/>
        <v>41677.428571428572</v>
      </c>
      <c r="J33" s="1059">
        <f t="shared" si="0"/>
        <v>40323.666666666672</v>
      </c>
      <c r="K33" s="1059">
        <f t="shared" si="0"/>
        <v>38969.904761904756</v>
      </c>
      <c r="L33" s="1059">
        <f t="shared" si="0"/>
        <v>37616.142857142855</v>
      </c>
      <c r="M33" s="1059">
        <f t="shared" si="0"/>
        <v>36262.380952380954</v>
      </c>
      <c r="N33" s="1059">
        <f t="shared" si="0"/>
        <v>34908.619047619046</v>
      </c>
      <c r="O33" s="1059">
        <f t="shared" si="0"/>
        <v>33554.857142857145</v>
      </c>
      <c r="P33" s="1112">
        <f t="shared" si="0"/>
        <v>75307.226190476184</v>
      </c>
      <c r="Q33" s="1059">
        <f t="shared" si="0"/>
        <v>72679.595238095237</v>
      </c>
      <c r="R33" s="1059">
        <f t="shared" si="0"/>
        <v>70051.964285714275</v>
      </c>
      <c r="S33" s="1059">
        <f t="shared" si="0"/>
        <v>67424.333333333328</v>
      </c>
      <c r="T33" s="1059">
        <f t="shared" si="0"/>
        <v>64796.702380952374</v>
      </c>
      <c r="U33" s="1059">
        <f t="shared" si="0"/>
        <v>62169.071428571428</v>
      </c>
      <c r="V33" s="1059">
        <f t="shared" si="0"/>
        <v>59541.440476190473</v>
      </c>
      <c r="W33" s="1059">
        <f t="shared" si="0"/>
        <v>56913.809523809527</v>
      </c>
      <c r="X33" s="1059">
        <f t="shared" si="0"/>
        <v>54286.178571428572</v>
      </c>
      <c r="Y33" s="1059">
        <f t="shared" si="0"/>
        <v>51658.547619047618</v>
      </c>
      <c r="Z33" s="1059">
        <f t="shared" si="0"/>
        <v>49030.916666666664</v>
      </c>
      <c r="AA33" s="1102">
        <f t="shared" si="0"/>
        <v>46403.28571428571</v>
      </c>
      <c r="AB33" s="1059">
        <f>SUM(AB18:AB32)</f>
        <v>217995.45238095237</v>
      </c>
      <c r="AC33" s="1059">
        <f t="shared" si="0"/>
        <v>210307.61904761908</v>
      </c>
      <c r="AD33" s="1059">
        <f t="shared" si="0"/>
        <v>202619.78571428571</v>
      </c>
      <c r="AE33" s="1059">
        <f t="shared" si="0"/>
        <v>194931.9523809524</v>
      </c>
      <c r="AF33" s="1059">
        <f t="shared" si="0"/>
        <v>187244.11904761908</v>
      </c>
      <c r="AG33" s="1059">
        <f t="shared" si="0"/>
        <v>179556.28571428571</v>
      </c>
      <c r="AH33" s="1059">
        <f t="shared" si="0"/>
        <v>171868.4523809524</v>
      </c>
      <c r="AI33" s="1059">
        <f t="shared" si="0"/>
        <v>164180.61904761905</v>
      </c>
      <c r="AJ33" s="1059">
        <f t="shared" si="0"/>
        <v>156492.78571428571</v>
      </c>
      <c r="AK33" s="1059">
        <f t="shared" si="0"/>
        <v>148804.9523809524</v>
      </c>
      <c r="AL33" s="1059">
        <f t="shared" si="0"/>
        <v>141117.11904761905</v>
      </c>
      <c r="AM33" s="1059">
        <f t="shared" si="0"/>
        <v>133429.28571428574</v>
      </c>
      <c r="AN33" s="169"/>
      <c r="AO33" s="169"/>
      <c r="AP33" s="169"/>
      <c r="AQ33" s="169"/>
      <c r="AR33" s="169"/>
      <c r="AS33" s="169"/>
      <c r="AT33" s="169"/>
      <c r="AU33" s="169"/>
      <c r="AV33" s="169"/>
      <c r="AW33" s="169"/>
      <c r="AX33" s="169"/>
      <c r="AY33" s="169"/>
      <c r="AZ33" s="169"/>
      <c r="BA33" s="169"/>
      <c r="BB33" s="169"/>
      <c r="BC33" s="169"/>
      <c r="BD33" s="169"/>
      <c r="BE33" s="169"/>
      <c r="BF33" s="169"/>
      <c r="BG33" s="169"/>
      <c r="BH33" s="169"/>
      <c r="BI33" s="196"/>
      <c r="BJ33" s="196"/>
      <c r="BK33" s="196"/>
      <c r="BL33" s="196"/>
    </row>
    <row r="34" spans="1:71" s="193" customFormat="1" ht="15" customHeight="1" thickBot="1">
      <c r="B34" s="18"/>
      <c r="D34" s="72"/>
      <c r="E34" s="72"/>
      <c r="F34" s="72"/>
      <c r="G34" s="72"/>
      <c r="H34" s="72"/>
      <c r="I34" s="72"/>
      <c r="J34" s="72"/>
      <c r="K34" s="72"/>
      <c r="L34" s="72"/>
      <c r="M34" s="72"/>
      <c r="N34" s="72"/>
      <c r="O34" s="71"/>
      <c r="P34" s="1110"/>
      <c r="Q34" s="71"/>
      <c r="R34" s="71"/>
      <c r="S34" s="71"/>
      <c r="T34" s="71"/>
      <c r="U34" s="71"/>
      <c r="V34" s="71"/>
      <c r="W34" s="71"/>
      <c r="X34" s="71"/>
      <c r="Y34" s="71"/>
      <c r="Z34" s="71"/>
      <c r="AA34" s="1058"/>
      <c r="AB34" s="72"/>
      <c r="AC34" s="72"/>
      <c r="AD34" s="72"/>
      <c r="AE34" s="72"/>
      <c r="AF34" s="72"/>
      <c r="AG34" s="72"/>
      <c r="AH34" s="72"/>
      <c r="AI34" s="72"/>
      <c r="AJ34" s="72"/>
      <c r="AK34" s="72"/>
      <c r="AL34" s="72"/>
      <c r="AM34" s="72"/>
      <c r="AN34" s="72"/>
      <c r="AO34" s="72"/>
      <c r="AP34" s="72"/>
      <c r="AQ34" s="72"/>
      <c r="AR34" s="72"/>
      <c r="AS34" s="72"/>
      <c r="AT34" s="72"/>
      <c r="AU34" s="72"/>
      <c r="AV34" s="72"/>
      <c r="AW34" s="72"/>
    </row>
    <row r="35" spans="1:71" s="169" customFormat="1" ht="16.2" thickTop="1">
      <c r="B35" s="1060" t="s">
        <v>14</v>
      </c>
      <c r="C35" s="1066"/>
      <c r="D35" s="72"/>
      <c r="E35" s="72"/>
      <c r="F35" s="72"/>
      <c r="G35" s="72"/>
      <c r="H35" s="72"/>
      <c r="I35" s="72"/>
      <c r="J35" s="72"/>
      <c r="K35" s="72"/>
      <c r="L35" s="72"/>
      <c r="M35" s="72"/>
      <c r="N35" s="72"/>
      <c r="O35" s="71"/>
      <c r="P35" s="1110"/>
      <c r="Q35" s="71"/>
      <c r="R35" s="71"/>
      <c r="S35" s="71"/>
      <c r="T35" s="71"/>
      <c r="U35" s="71"/>
      <c r="V35" s="71"/>
      <c r="W35" s="71"/>
      <c r="X35" s="71"/>
      <c r="Y35" s="71"/>
      <c r="Z35" s="71"/>
      <c r="AA35" s="1058"/>
      <c r="AB35" s="72"/>
      <c r="AC35" s="72"/>
      <c r="AD35" s="72"/>
      <c r="AE35" s="72"/>
      <c r="AF35" s="72"/>
      <c r="AG35" s="72"/>
      <c r="AH35" s="72"/>
      <c r="AI35" s="72"/>
      <c r="AJ35" s="72"/>
      <c r="AK35" s="72"/>
      <c r="AL35" s="72"/>
      <c r="AM35" s="72"/>
      <c r="AN35" s="72"/>
      <c r="AO35" s="72"/>
      <c r="AP35" s="72"/>
      <c r="AQ35" s="72"/>
      <c r="AR35" s="72"/>
      <c r="AS35" s="72"/>
      <c r="AT35" s="72"/>
      <c r="AU35" s="72"/>
      <c r="AV35" s="72"/>
      <c r="AW35" s="72"/>
    </row>
    <row r="36" spans="1:71" s="490" customFormat="1">
      <c r="A36" s="193"/>
      <c r="B36" s="1062" t="s">
        <v>15</v>
      </c>
      <c r="C36" s="1067"/>
      <c r="D36" s="156">
        <f>D92</f>
        <v>8348</v>
      </c>
      <c r="E36" s="156">
        <f>E92</f>
        <v>37627.800000000003</v>
      </c>
      <c r="F36" s="156">
        <f t="shared" ref="F36:AM36" si="1">F92</f>
        <v>35463</v>
      </c>
      <c r="G36" s="156">
        <f t="shared" si="1"/>
        <v>44027.199999999997</v>
      </c>
      <c r="H36" s="156">
        <f t="shared" si="1"/>
        <v>46107.200000000004</v>
      </c>
      <c r="I36" s="156">
        <f t="shared" si="1"/>
        <v>53456.4</v>
      </c>
      <c r="J36" s="156">
        <f t="shared" si="1"/>
        <v>59220.800000000003</v>
      </c>
      <c r="K36" s="156">
        <f t="shared" si="1"/>
        <v>65838.800000000017</v>
      </c>
      <c r="L36" s="156">
        <f t="shared" si="1"/>
        <v>67555.200000000012</v>
      </c>
      <c r="M36" s="156">
        <f t="shared" si="1"/>
        <v>64610.80000000001</v>
      </c>
      <c r="N36" s="156">
        <f t="shared" si="1"/>
        <v>87969.600000000006</v>
      </c>
      <c r="O36" s="75">
        <f t="shared" si="1"/>
        <v>115191.80000000002</v>
      </c>
      <c r="P36" s="1113">
        <f t="shared" si="1"/>
        <v>100577.33000000002</v>
      </c>
      <c r="Q36" s="75">
        <f t="shared" si="1"/>
        <v>101286.04000000002</v>
      </c>
      <c r="R36" s="75">
        <f t="shared" si="1"/>
        <v>152051.17000000001</v>
      </c>
      <c r="S36" s="75">
        <f t="shared" si="1"/>
        <v>193378.30000000005</v>
      </c>
      <c r="T36" s="75">
        <f t="shared" si="1"/>
        <v>230556.83000000007</v>
      </c>
      <c r="U36" s="75">
        <f t="shared" si="1"/>
        <v>249875.66000000003</v>
      </c>
      <c r="V36" s="75">
        <f t="shared" si="1"/>
        <v>271309.19000000006</v>
      </c>
      <c r="W36" s="75">
        <f t="shared" si="1"/>
        <v>288811.82000000007</v>
      </c>
      <c r="X36" s="75">
        <f t="shared" si="1"/>
        <v>302852.47000000003</v>
      </c>
      <c r="Y36" s="75">
        <f t="shared" si="1"/>
        <v>320452.92000000004</v>
      </c>
      <c r="Z36" s="75">
        <f t="shared" si="1"/>
        <v>352964.25000000006</v>
      </c>
      <c r="AA36" s="1103">
        <f t="shared" si="1"/>
        <v>423926.38000000006</v>
      </c>
      <c r="AB36" s="156">
        <f t="shared" si="1"/>
        <v>428555.71300000005</v>
      </c>
      <c r="AC36" s="156">
        <f t="shared" si="1"/>
        <v>415514.21700000006</v>
      </c>
      <c r="AD36" s="156">
        <f t="shared" si="1"/>
        <v>531744.40260000003</v>
      </c>
      <c r="AE36" s="156">
        <f t="shared" si="1"/>
        <v>587029.18240000005</v>
      </c>
      <c r="AF36" s="156">
        <f t="shared" si="1"/>
        <v>600304.77679999999</v>
      </c>
      <c r="AG36" s="156">
        <f t="shared" si="1"/>
        <v>718038.82240000006</v>
      </c>
      <c r="AH36" s="156">
        <f t="shared" si="1"/>
        <v>835617.95620000013</v>
      </c>
      <c r="AI36" s="156">
        <f t="shared" si="1"/>
        <v>889381.31780000008</v>
      </c>
      <c r="AJ36" s="156">
        <f t="shared" si="1"/>
        <v>842679.20820000011</v>
      </c>
      <c r="AK36" s="156">
        <f t="shared" si="1"/>
        <v>866154.52880000009</v>
      </c>
      <c r="AL36" s="156">
        <f t="shared" si="1"/>
        <v>1239838.0471999999</v>
      </c>
      <c r="AM36" s="156">
        <f t="shared" si="1"/>
        <v>1618827.8668</v>
      </c>
      <c r="AN36" s="72"/>
      <c r="AO36" s="72"/>
      <c r="AP36" s="72"/>
      <c r="AQ36" s="72"/>
      <c r="AR36" s="72"/>
      <c r="AS36" s="72"/>
      <c r="AT36" s="72"/>
      <c r="AU36" s="72"/>
      <c r="AV36" s="72"/>
      <c r="AW36" s="72"/>
      <c r="AX36" s="193"/>
      <c r="AY36" s="193"/>
      <c r="AZ36" s="193"/>
      <c r="BA36" s="193"/>
      <c r="BB36" s="193"/>
      <c r="BC36" s="193"/>
      <c r="BD36" s="193"/>
      <c r="BE36" s="193"/>
      <c r="BF36" s="193"/>
      <c r="BG36" s="193"/>
      <c r="BH36" s="193"/>
      <c r="BI36" s="193"/>
      <c r="BJ36" s="193"/>
      <c r="BK36" s="193"/>
      <c r="BL36" s="193"/>
      <c r="BM36" s="193"/>
      <c r="BN36" s="193"/>
      <c r="BO36" s="193"/>
      <c r="BP36" s="193"/>
      <c r="BQ36" s="193"/>
      <c r="BR36" s="193"/>
      <c r="BS36" s="193"/>
    </row>
    <row r="37" spans="1:71" s="193" customFormat="1">
      <c r="A37" s="80"/>
      <c r="B37" s="1068" t="s">
        <v>16</v>
      </c>
      <c r="C37" s="1067"/>
      <c r="D37" s="999">
        <f>D97</f>
        <v>30926.399999999998</v>
      </c>
      <c r="E37" s="999">
        <f t="shared" ref="E37:AM37" si="2">E97</f>
        <v>35469.599999999999</v>
      </c>
      <c r="F37" s="999">
        <f t="shared" si="2"/>
        <v>43524</v>
      </c>
      <c r="G37" s="999">
        <f t="shared" si="2"/>
        <v>45796.800000000003</v>
      </c>
      <c r="H37" s="999">
        <f t="shared" si="2"/>
        <v>53700</v>
      </c>
      <c r="I37" s="999">
        <f t="shared" si="2"/>
        <v>59373.599999999999</v>
      </c>
      <c r="J37" s="999">
        <f t="shared" si="2"/>
        <v>66290.399999999994</v>
      </c>
      <c r="K37" s="999">
        <f t="shared" si="2"/>
        <v>68075.399999999994</v>
      </c>
      <c r="L37" s="999">
        <f t="shared" si="2"/>
        <v>71805.599999999991</v>
      </c>
      <c r="M37" s="999">
        <f t="shared" si="2"/>
        <v>77459.999999999985</v>
      </c>
      <c r="N37" s="999">
        <f t="shared" si="2"/>
        <v>84132.719999999987</v>
      </c>
      <c r="O37" s="1002">
        <f t="shared" si="2"/>
        <v>92114.39999999998</v>
      </c>
      <c r="P37" s="1114">
        <f t="shared" si="2"/>
        <v>124268.15999999997</v>
      </c>
      <c r="Q37" s="1002">
        <f t="shared" si="2"/>
        <v>156208.67999999996</v>
      </c>
      <c r="R37" s="1002">
        <f t="shared" si="2"/>
        <v>199582.79999999996</v>
      </c>
      <c r="S37" s="1002">
        <f t="shared" si="2"/>
        <v>238368.11999999997</v>
      </c>
      <c r="T37" s="1002">
        <f t="shared" si="2"/>
        <v>257274.23999999996</v>
      </c>
      <c r="U37" s="1002">
        <f t="shared" si="2"/>
        <v>278055.95999999996</v>
      </c>
      <c r="V37" s="1002">
        <f t="shared" si="2"/>
        <v>297966.48</v>
      </c>
      <c r="W37" s="1002">
        <f t="shared" si="2"/>
        <v>299086.07999999996</v>
      </c>
      <c r="X37" s="1002">
        <f t="shared" si="2"/>
        <v>332749.68</v>
      </c>
      <c r="Y37" s="1002">
        <f t="shared" si="2"/>
        <v>358357.8</v>
      </c>
      <c r="Z37" s="1002">
        <f t="shared" si="2"/>
        <v>385912.31999999995</v>
      </c>
      <c r="AA37" s="1047">
        <f t="shared" si="2"/>
        <v>383887.55999999994</v>
      </c>
      <c r="AB37" s="999">
        <f t="shared" si="2"/>
        <v>446259.67200000002</v>
      </c>
      <c r="AC37" s="999">
        <f t="shared" si="2"/>
        <v>490615.76639999996</v>
      </c>
      <c r="AD37" s="999">
        <f t="shared" si="2"/>
        <v>564255.63839999994</v>
      </c>
      <c r="AE37" s="999">
        <f t="shared" si="2"/>
        <v>589456.272</v>
      </c>
      <c r="AF37" s="999">
        <f t="shared" si="2"/>
        <v>650022.06960000005</v>
      </c>
      <c r="AG37" s="999">
        <f t="shared" si="2"/>
        <v>744822.77519999992</v>
      </c>
      <c r="AH37" s="999">
        <f t="shared" si="2"/>
        <v>812276.94767999998</v>
      </c>
      <c r="AI37" s="999">
        <f t="shared" si="2"/>
        <v>843655.22879999992</v>
      </c>
      <c r="AJ37" s="999">
        <f t="shared" si="2"/>
        <v>867929.88719999988</v>
      </c>
      <c r="AK37" s="999">
        <f t="shared" si="2"/>
        <v>955858.38239999989</v>
      </c>
      <c r="AL37" s="999">
        <f t="shared" si="2"/>
        <v>1018470.2563679998</v>
      </c>
      <c r="AM37" s="999">
        <f t="shared" si="2"/>
        <v>1080306.7245599998</v>
      </c>
      <c r="AN37" s="72"/>
      <c r="AO37" s="72"/>
      <c r="AP37" s="72"/>
      <c r="AQ37" s="72"/>
      <c r="AR37" s="72"/>
      <c r="AS37" s="72"/>
      <c r="AT37" s="72"/>
      <c r="AU37" s="72"/>
      <c r="AV37" s="72"/>
      <c r="AW37" s="72"/>
    </row>
    <row r="38" spans="1:71" s="193" customFormat="1">
      <c r="A38" s="80"/>
      <c r="B38" s="1068" t="s">
        <v>146</v>
      </c>
      <c r="C38" s="1067"/>
      <c r="D38" s="999">
        <f t="shared" ref="D38" si="3">D102</f>
        <v>5000</v>
      </c>
      <c r="E38" s="999">
        <f t="shared" ref="E38:AM38" si="4">E102</f>
        <v>2500</v>
      </c>
      <c r="F38" s="999">
        <f t="shared" si="4"/>
        <v>0</v>
      </c>
      <c r="G38" s="999">
        <f t="shared" si="4"/>
        <v>5000</v>
      </c>
      <c r="H38" s="999">
        <f t="shared" si="4"/>
        <v>2500</v>
      </c>
      <c r="I38" s="999">
        <f t="shared" si="4"/>
        <v>0</v>
      </c>
      <c r="J38" s="999">
        <f t="shared" si="4"/>
        <v>5000</v>
      </c>
      <c r="K38" s="999">
        <f t="shared" si="4"/>
        <v>2500</v>
      </c>
      <c r="L38" s="999">
        <f t="shared" si="4"/>
        <v>0</v>
      </c>
      <c r="M38" s="999">
        <f t="shared" si="4"/>
        <v>5000</v>
      </c>
      <c r="N38" s="999">
        <f t="shared" si="4"/>
        <v>2500</v>
      </c>
      <c r="O38" s="1002">
        <f t="shared" si="4"/>
        <v>0</v>
      </c>
      <c r="P38" s="1114">
        <f t="shared" si="4"/>
        <v>5000</v>
      </c>
      <c r="Q38" s="1002">
        <f t="shared" si="4"/>
        <v>2500</v>
      </c>
      <c r="R38" s="1002">
        <f t="shared" si="4"/>
        <v>0</v>
      </c>
      <c r="S38" s="1002">
        <f t="shared" si="4"/>
        <v>5000</v>
      </c>
      <c r="T38" s="1002">
        <f t="shared" si="4"/>
        <v>2500</v>
      </c>
      <c r="U38" s="1002">
        <f t="shared" si="4"/>
        <v>0</v>
      </c>
      <c r="V38" s="1002">
        <f t="shared" si="4"/>
        <v>5000</v>
      </c>
      <c r="W38" s="1002">
        <f t="shared" si="4"/>
        <v>2500</v>
      </c>
      <c r="X38" s="1002">
        <f t="shared" si="4"/>
        <v>0</v>
      </c>
      <c r="Y38" s="1002">
        <f t="shared" si="4"/>
        <v>5000</v>
      </c>
      <c r="Z38" s="1002">
        <f t="shared" si="4"/>
        <v>2500</v>
      </c>
      <c r="AA38" s="1047">
        <f t="shared" si="4"/>
        <v>0</v>
      </c>
      <c r="AB38" s="999">
        <f t="shared" si="4"/>
        <v>5550</v>
      </c>
      <c r="AC38" s="999">
        <f t="shared" si="4"/>
        <v>2775</v>
      </c>
      <c r="AD38" s="999">
        <f t="shared" si="4"/>
        <v>0</v>
      </c>
      <c r="AE38" s="999">
        <f t="shared" si="4"/>
        <v>5550</v>
      </c>
      <c r="AF38" s="999">
        <f t="shared" si="4"/>
        <v>2775</v>
      </c>
      <c r="AG38" s="999">
        <f t="shared" si="4"/>
        <v>0</v>
      </c>
      <c r="AH38" s="999">
        <f t="shared" si="4"/>
        <v>5550</v>
      </c>
      <c r="AI38" s="999">
        <f t="shared" si="4"/>
        <v>2775</v>
      </c>
      <c r="AJ38" s="999">
        <f t="shared" si="4"/>
        <v>0</v>
      </c>
      <c r="AK38" s="999">
        <f t="shared" si="4"/>
        <v>5550</v>
      </c>
      <c r="AL38" s="999">
        <f t="shared" si="4"/>
        <v>2775</v>
      </c>
      <c r="AM38" s="999">
        <f t="shared" si="4"/>
        <v>0</v>
      </c>
      <c r="AN38" s="72"/>
      <c r="AO38" s="72"/>
      <c r="AP38" s="72"/>
      <c r="AQ38" s="72"/>
      <c r="AR38" s="72"/>
      <c r="AS38" s="72"/>
      <c r="AT38" s="72"/>
      <c r="AU38" s="72"/>
      <c r="AV38" s="72"/>
      <c r="AW38" s="72"/>
    </row>
    <row r="39" spans="1:71" s="193" customFormat="1" ht="16.2" thickBot="1">
      <c r="A39" s="80"/>
      <c r="B39" s="1069" t="s">
        <v>17</v>
      </c>
      <c r="C39" s="1070"/>
      <c r="D39" s="999">
        <f>'Cash Flow'!D60</f>
        <v>686556.88317799452</v>
      </c>
      <c r="E39" s="999">
        <f>'Cash Flow'!E60</f>
        <v>660513.76635598904</v>
      </c>
      <c r="F39" s="999">
        <f>'Cash Flow'!F60</f>
        <v>562633.24953398353</v>
      </c>
      <c r="G39" s="999">
        <f>'Cash Flow'!G60</f>
        <v>548137.73271197802</v>
      </c>
      <c r="H39" s="999">
        <f>'Cash Flow'!H60</f>
        <v>530286.0558899726</v>
      </c>
      <c r="I39" s="999">
        <f>'Cash Flow'!I60</f>
        <v>507221.71906796715</v>
      </c>
      <c r="J39" s="999">
        <f>'Cash Flow'!J60</f>
        <v>485928.48224596167</v>
      </c>
      <c r="K39" s="999">
        <f>'Cash Flow'!K60</f>
        <v>483194.88542395621</v>
      </c>
      <c r="L39" s="999">
        <f>'Cash Flow'!L60</f>
        <v>457141.44360195071</v>
      </c>
      <c r="M39" s="999">
        <f>'Cash Flow'!M60</f>
        <v>453821.64677994529</v>
      </c>
      <c r="N39" s="999">
        <f>'Cash Flow'!N60</f>
        <v>467286.48995793983</v>
      </c>
      <c r="O39" s="1002">
        <f>'Cash Flow'!O60</f>
        <v>432590.72613593435</v>
      </c>
      <c r="P39" s="1114">
        <f>'Cash Flow'!P60</f>
        <v>353900.2566472622</v>
      </c>
      <c r="Q39" s="1002">
        <f>'Cash Flow'!Q60</f>
        <v>395359.15875859006</v>
      </c>
      <c r="R39" s="1002">
        <f>'Cash Flow'!R60</f>
        <v>353462.29566991789</v>
      </c>
      <c r="S39" s="1002">
        <f>'Cash Flow'!S60</f>
        <v>346872.77018124581</v>
      </c>
      <c r="T39" s="1002">
        <f>'Cash Flow'!T60</f>
        <v>374412.95869257365</v>
      </c>
      <c r="U39" s="1002">
        <f>'Cash Flow'!U60</f>
        <v>366988.36000390153</v>
      </c>
      <c r="V39" s="1002">
        <f>'Cash Flow'!V60</f>
        <v>435087.49371522944</v>
      </c>
      <c r="W39" s="1002">
        <f>'Cash Flow'!W60</f>
        <v>519869.55542655732</v>
      </c>
      <c r="X39" s="1002">
        <f ca="1">'Cash Flow'!X60</f>
        <v>533606.54283788521</v>
      </c>
      <c r="Y39" s="1002">
        <f ca="1">'Cash Flow'!Y60</f>
        <v>638520.16454921314</v>
      </c>
      <c r="Z39" s="1002">
        <f ca="1">'Cash Flow'!Z60</f>
        <v>762001.56866054097</v>
      </c>
      <c r="AA39" s="1047">
        <f ca="1">'Cash Flow'!AA60</f>
        <v>805183.14053186879</v>
      </c>
      <c r="AB39" s="999">
        <f ca="1">'Cash Flow'!AB60</f>
        <v>540355.75194986328</v>
      </c>
      <c r="AC39" s="999">
        <f ca="1">'Cash Flow'!AC60</f>
        <v>674337.10233585781</v>
      </c>
      <c r="AD39" s="999">
        <f ca="1">'Cash Flow'!AD60</f>
        <v>832903.52119785245</v>
      </c>
      <c r="AE39" s="999">
        <f ca="1">'Cash Flow'!AE60</f>
        <v>623924.27714384696</v>
      </c>
      <c r="AF39" s="999">
        <f ca="1">'Cash Flow'!AF60</f>
        <v>785233.41057784157</v>
      </c>
      <c r="AG39" s="999">
        <f ca="1">'Cash Flow'!AG60</f>
        <v>880486.13689983613</v>
      </c>
      <c r="AH39" s="999">
        <f ca="1">'Cash Flow'!AH60</f>
        <v>1061455.1969978306</v>
      </c>
      <c r="AI39" s="999">
        <f ca="1">'Cash Flow'!AI60</f>
        <v>1295990.4072718252</v>
      </c>
      <c r="AJ39" s="999">
        <f ca="1">'Cash Flow'!AJ60</f>
        <v>1183615.5708035713</v>
      </c>
      <c r="AK39" s="999">
        <f ca="1">'Cash Flow'!AK60</f>
        <v>1636289.5964695658</v>
      </c>
      <c r="AL39" s="999">
        <f ca="1">'Cash Flow'!AL60</f>
        <v>2072356.5508635603</v>
      </c>
      <c r="AM39" s="999">
        <f ca="1">'Cash Flow'!AM60</f>
        <v>1976997.923359755</v>
      </c>
      <c r="AN39" s="72"/>
      <c r="AO39" s="72"/>
      <c r="AP39" s="72"/>
      <c r="AQ39" s="72"/>
      <c r="AR39" s="72"/>
      <c r="AS39" s="72"/>
      <c r="AT39" s="72"/>
      <c r="AU39" s="72"/>
      <c r="AV39" s="72"/>
      <c r="AW39" s="72"/>
    </row>
    <row r="40" spans="1:71" s="169" customFormat="1" ht="16.2" thickTop="1">
      <c r="A40" s="198"/>
      <c r="B40" s="199"/>
      <c r="D40" s="1059">
        <f>SUM(D36:D39)</f>
        <v>730831.28317799454</v>
      </c>
      <c r="E40" s="1059">
        <f t="shared" ref="E40:AM40" si="5">SUM(E36:E39)</f>
        <v>736111.16635598906</v>
      </c>
      <c r="F40" s="1059">
        <f t="shared" si="5"/>
        <v>641620.24953398353</v>
      </c>
      <c r="G40" s="1059">
        <f t="shared" si="5"/>
        <v>642961.73271197802</v>
      </c>
      <c r="H40" s="1059">
        <f t="shared" si="5"/>
        <v>632593.25588997267</v>
      </c>
      <c r="I40" s="1059">
        <f t="shared" si="5"/>
        <v>620051.71906796715</v>
      </c>
      <c r="J40" s="1059">
        <f t="shared" si="5"/>
        <v>616439.68224596162</v>
      </c>
      <c r="K40" s="1059">
        <f t="shared" si="5"/>
        <v>619609.08542395616</v>
      </c>
      <c r="L40" s="1059">
        <f t="shared" si="5"/>
        <v>596502.2436019507</v>
      </c>
      <c r="M40" s="1059">
        <f t="shared" si="5"/>
        <v>600892.44677994528</v>
      </c>
      <c r="N40" s="1059">
        <f t="shared" si="5"/>
        <v>641888.8099579399</v>
      </c>
      <c r="O40" s="1059">
        <f t="shared" si="5"/>
        <v>639896.92613593442</v>
      </c>
      <c r="P40" s="1112">
        <f t="shared" si="5"/>
        <v>583745.74664726225</v>
      </c>
      <c r="Q40" s="1059">
        <f t="shared" si="5"/>
        <v>655353.87875858997</v>
      </c>
      <c r="R40" s="1059">
        <f t="shared" si="5"/>
        <v>705096.26566991792</v>
      </c>
      <c r="S40" s="1059">
        <f t="shared" si="5"/>
        <v>783619.19018124579</v>
      </c>
      <c r="T40" s="1059">
        <f t="shared" si="5"/>
        <v>864744.02869257377</v>
      </c>
      <c r="U40" s="1059">
        <f t="shared" si="5"/>
        <v>894919.98000390152</v>
      </c>
      <c r="V40" s="1059">
        <f t="shared" si="5"/>
        <v>1009363.1637152295</v>
      </c>
      <c r="W40" s="1059">
        <f t="shared" si="5"/>
        <v>1110267.4554265575</v>
      </c>
      <c r="X40" s="1059">
        <f t="shared" ca="1" si="5"/>
        <v>1169208.6928378851</v>
      </c>
      <c r="Y40" s="1059">
        <f t="shared" ca="1" si="5"/>
        <v>1322330.8845492131</v>
      </c>
      <c r="Z40" s="1059">
        <f t="shared" ca="1" si="5"/>
        <v>1503378.138660541</v>
      </c>
      <c r="AA40" s="1102">
        <f t="shared" ca="1" si="5"/>
        <v>1612997.0805318686</v>
      </c>
      <c r="AB40" s="1059">
        <f ca="1">SUM(AB36:AB39)</f>
        <v>1420721.1369498633</v>
      </c>
      <c r="AC40" s="1059">
        <f t="shared" ca="1" si="5"/>
        <v>1583242.085735858</v>
      </c>
      <c r="AD40" s="1059">
        <f t="shared" ca="1" si="5"/>
        <v>1928903.5621978524</v>
      </c>
      <c r="AE40" s="1059">
        <f t="shared" ca="1" si="5"/>
        <v>1805959.7315438471</v>
      </c>
      <c r="AF40" s="1059">
        <f t="shared" ca="1" si="5"/>
        <v>2038335.2569778417</v>
      </c>
      <c r="AG40" s="1059">
        <f t="shared" ca="1" si="5"/>
        <v>2343347.7344998363</v>
      </c>
      <c r="AH40" s="1059">
        <f t="shared" ca="1" si="5"/>
        <v>2714900.1008778308</v>
      </c>
      <c r="AI40" s="1059">
        <f t="shared" ca="1" si="5"/>
        <v>3031801.9538718252</v>
      </c>
      <c r="AJ40" s="1059">
        <f t="shared" ca="1" si="5"/>
        <v>2894224.6662035715</v>
      </c>
      <c r="AK40" s="1059">
        <f t="shared" ca="1" si="5"/>
        <v>3463852.5076695657</v>
      </c>
      <c r="AL40" s="1059">
        <f t="shared" ca="1" si="5"/>
        <v>4333439.8544315603</v>
      </c>
      <c r="AM40" s="1059">
        <f t="shared" ca="1" si="5"/>
        <v>4676132.5147197545</v>
      </c>
    </row>
    <row r="41" spans="1:71" s="193" customFormat="1" ht="16.2" thickBot="1">
      <c r="A41" s="80"/>
      <c r="B41" s="197"/>
      <c r="D41" s="72"/>
      <c r="E41" s="72"/>
      <c r="F41" s="72"/>
      <c r="G41" s="72"/>
      <c r="H41" s="72"/>
      <c r="I41" s="72"/>
      <c r="J41" s="72"/>
      <c r="K41" s="72"/>
      <c r="L41" s="72"/>
      <c r="M41" s="72"/>
      <c r="N41" s="72"/>
      <c r="O41" s="71"/>
      <c r="P41" s="1110"/>
      <c r="Q41" s="71"/>
      <c r="R41" s="71"/>
      <c r="S41" s="71"/>
      <c r="T41" s="71"/>
      <c r="U41" s="71"/>
      <c r="V41" s="71"/>
      <c r="W41" s="71"/>
      <c r="X41" s="71"/>
      <c r="Y41" s="71"/>
      <c r="Z41" s="71"/>
      <c r="AA41" s="1058"/>
      <c r="AB41" s="72"/>
      <c r="AC41" s="72"/>
      <c r="AD41" s="72"/>
      <c r="AE41" s="72"/>
      <c r="AF41" s="72"/>
      <c r="AG41" s="72"/>
      <c r="AH41" s="72"/>
      <c r="AI41" s="72"/>
      <c r="AJ41" s="72"/>
      <c r="AK41" s="72"/>
      <c r="AL41" s="72"/>
      <c r="AM41" s="72"/>
      <c r="AN41" s="72"/>
      <c r="AO41" s="72"/>
      <c r="AP41" s="72"/>
      <c r="AQ41" s="72"/>
      <c r="AR41" s="72"/>
      <c r="AS41" s="72"/>
      <c r="AT41" s="72"/>
      <c r="AU41" s="72"/>
      <c r="AV41" s="72"/>
      <c r="AW41" s="72"/>
    </row>
    <row r="42" spans="1:71" s="169" customFormat="1" ht="16.2" thickTop="1">
      <c r="A42" s="198"/>
      <c r="B42" s="1071" t="s">
        <v>18</v>
      </c>
      <c r="C42" s="1066"/>
      <c r="D42" s="72"/>
      <c r="E42" s="72"/>
      <c r="F42" s="72"/>
      <c r="G42" s="72"/>
      <c r="H42" s="72"/>
      <c r="I42" s="72"/>
      <c r="J42" s="72"/>
      <c r="K42" s="72"/>
      <c r="L42" s="72"/>
      <c r="M42" s="72"/>
      <c r="N42" s="72"/>
      <c r="O42" s="71"/>
      <c r="P42" s="1110"/>
      <c r="Q42" s="71"/>
      <c r="R42" s="71"/>
      <c r="S42" s="71"/>
      <c r="T42" s="71"/>
      <c r="U42" s="71"/>
      <c r="V42" s="71"/>
      <c r="W42" s="71"/>
      <c r="X42" s="71"/>
      <c r="Y42" s="71"/>
      <c r="Z42" s="71"/>
      <c r="AA42" s="1058"/>
      <c r="AB42" s="72"/>
      <c r="AC42" s="72"/>
      <c r="AD42" s="72"/>
      <c r="AE42" s="72"/>
      <c r="AF42" s="72"/>
      <c r="AG42" s="72"/>
      <c r="AH42" s="72"/>
      <c r="AI42" s="72"/>
      <c r="AJ42" s="72"/>
      <c r="AK42" s="72"/>
      <c r="AL42" s="72"/>
      <c r="AM42" s="72"/>
      <c r="AN42" s="72"/>
      <c r="AO42" s="72"/>
      <c r="AP42" s="72"/>
      <c r="AQ42" s="72"/>
      <c r="AR42" s="72"/>
      <c r="AS42" s="72"/>
      <c r="AT42" s="72"/>
      <c r="AU42" s="72"/>
      <c r="AV42" s="72"/>
      <c r="AW42" s="72"/>
    </row>
    <row r="43" spans="1:71" s="193" customFormat="1">
      <c r="A43" s="80"/>
      <c r="B43" s="1068" t="s">
        <v>45</v>
      </c>
      <c r="C43" s="1067"/>
      <c r="D43" s="999">
        <f>-D108</f>
        <v>-70786.399999999994</v>
      </c>
      <c r="E43" s="999">
        <f t="shared" ref="E43:AM43" si="6">-E108</f>
        <v>-98162.959999999992</v>
      </c>
      <c r="F43" s="999">
        <f t="shared" si="6"/>
        <v>-14336.399999999994</v>
      </c>
      <c r="G43" s="999">
        <f t="shared" si="6"/>
        <v>-27465.359999999982</v>
      </c>
      <c r="H43" s="999">
        <f t="shared" si="6"/>
        <v>-23383.199999999997</v>
      </c>
      <c r="I43" s="999">
        <f t="shared" si="6"/>
        <v>-31983.719999999987</v>
      </c>
      <c r="J43" s="999">
        <f t="shared" si="6"/>
        <v>-32840.87999999999</v>
      </c>
      <c r="K43" s="999">
        <f t="shared" si="6"/>
        <v>-35727.221999999994</v>
      </c>
      <c r="L43" s="999">
        <f t="shared" si="6"/>
        <v>-31442.279999999973</v>
      </c>
      <c r="M43" s="999">
        <f t="shared" si="6"/>
        <v>-27812.03999999999</v>
      </c>
      <c r="N43" s="999">
        <f t="shared" si="6"/>
        <v>-62822.241599999994</v>
      </c>
      <c r="O43" s="1002">
        <f t="shared" si="6"/>
        <v>-71284.08600000001</v>
      </c>
      <c r="P43" s="1114">
        <f t="shared" si="6"/>
        <v>-39044.474399999999</v>
      </c>
      <c r="Q43" s="1002">
        <f t="shared" si="6"/>
        <v>-75221.386800000007</v>
      </c>
      <c r="R43" s="1002">
        <f t="shared" si="6"/>
        <v>-106651.54199999996</v>
      </c>
      <c r="S43" s="1002">
        <f t="shared" si="6"/>
        <v>-116807.14800000004</v>
      </c>
      <c r="T43" s="1002">
        <f t="shared" si="6"/>
        <v>-120566.24040000004</v>
      </c>
      <c r="U43" s="1002">
        <f t="shared" si="6"/>
        <v>-108436.04279999994</v>
      </c>
      <c r="V43" s="1002">
        <f t="shared" si="6"/>
        <v>-119163.63479999997</v>
      </c>
      <c r="W43" s="1002">
        <f t="shared" si="6"/>
        <v>-118172.90484000003</v>
      </c>
      <c r="X43" s="1002">
        <f t="shared" si="6"/>
        <v>-126315.27479999998</v>
      </c>
      <c r="Y43" s="1002">
        <f t="shared" si="6"/>
        <v>-140855.61240000004</v>
      </c>
      <c r="Z43" s="1002">
        <f t="shared" si="6"/>
        <v>-169342.31039999996</v>
      </c>
      <c r="AA43" s="1047">
        <f t="shared" si="6"/>
        <v>-214535.83175999997</v>
      </c>
      <c r="AB43" s="999">
        <f t="shared" si="6"/>
        <v>-162504.20479200006</v>
      </c>
      <c r="AC43" s="999">
        <f t="shared" si="6"/>
        <v>-158901.65558400002</v>
      </c>
      <c r="AD43" s="999">
        <f t="shared" si="6"/>
        <v>-339055.76563200005</v>
      </c>
      <c r="AE43" s="999">
        <f t="shared" si="6"/>
        <v>-2293.021744000027</v>
      </c>
      <c r="AF43" s="999">
        <f t="shared" si="6"/>
        <v>26194.827607999905</v>
      </c>
      <c r="AG43" s="999">
        <f t="shared" si="6"/>
        <v>-129674.59827999998</v>
      </c>
      <c r="AH43" s="999">
        <f t="shared" si="6"/>
        <v>-151887.62058400002</v>
      </c>
      <c r="AI43" s="999">
        <f t="shared" si="6"/>
        <v>-86714.615520399937</v>
      </c>
      <c r="AJ43" s="999">
        <f t="shared" si="6"/>
        <v>18923.255287999986</v>
      </c>
      <c r="AK43" s="999">
        <f t="shared" si="6"/>
        <v>-93937.311183999991</v>
      </c>
      <c r="AL43" s="999">
        <f t="shared" si="6"/>
        <v>-536538.77188287978</v>
      </c>
      <c r="AM43" s="999">
        <f t="shared" si="6"/>
        <v>-567675.30925960001</v>
      </c>
      <c r="AN43" s="72"/>
      <c r="AO43" s="72"/>
      <c r="AP43" s="72"/>
      <c r="AQ43" s="72"/>
      <c r="AR43" s="72"/>
      <c r="AS43" s="72"/>
      <c r="AT43" s="72"/>
      <c r="AU43" s="72"/>
      <c r="AV43" s="72"/>
      <c r="AW43" s="72"/>
    </row>
    <row r="44" spans="1:71" s="193" customFormat="1">
      <c r="A44" s="80"/>
      <c r="B44" s="1068" t="s">
        <v>149</v>
      </c>
      <c r="C44" s="1067"/>
      <c r="D44" s="999">
        <f>-D113</f>
        <v>-1508.3333333333333</v>
      </c>
      <c r="E44" s="999">
        <f t="shared" ref="E44:AM44" si="7">-E113</f>
        <v>-3016.6666666666665</v>
      </c>
      <c r="F44" s="999">
        <f t="shared" si="7"/>
        <v>0</v>
      </c>
      <c r="G44" s="999">
        <f t="shared" si="7"/>
        <v>-1508.3333333333333</v>
      </c>
      <c r="H44" s="999">
        <f t="shared" si="7"/>
        <v>-3016.6666666666665</v>
      </c>
      <c r="I44" s="999">
        <f t="shared" si="7"/>
        <v>0</v>
      </c>
      <c r="J44" s="999">
        <f t="shared" si="7"/>
        <v>-1508.3333333333333</v>
      </c>
      <c r="K44" s="999">
        <f t="shared" si="7"/>
        <v>-3016.6666666666665</v>
      </c>
      <c r="L44" s="999">
        <f t="shared" si="7"/>
        <v>0</v>
      </c>
      <c r="M44" s="999">
        <f t="shared" si="7"/>
        <v>-1508.3333333333333</v>
      </c>
      <c r="N44" s="999">
        <f t="shared" si="7"/>
        <v>-3016.6666666666665</v>
      </c>
      <c r="O44" s="1002">
        <f t="shared" si="7"/>
        <v>0</v>
      </c>
      <c r="P44" s="1114">
        <f t="shared" si="7"/>
        <v>-1808.3333333333333</v>
      </c>
      <c r="Q44" s="1002">
        <f t="shared" si="7"/>
        <v>-3616.6666666666665</v>
      </c>
      <c r="R44" s="1002">
        <f t="shared" si="7"/>
        <v>0</v>
      </c>
      <c r="S44" s="1002">
        <f t="shared" si="7"/>
        <v>-1808.3333333333333</v>
      </c>
      <c r="T44" s="1002">
        <f t="shared" si="7"/>
        <v>-3616.6666666666665</v>
      </c>
      <c r="U44" s="1002">
        <f t="shared" si="7"/>
        <v>0</v>
      </c>
      <c r="V44" s="1002">
        <f t="shared" si="7"/>
        <v>-1808.3333333333333</v>
      </c>
      <c r="W44" s="1002">
        <f t="shared" si="7"/>
        <v>-3616.6666666666665</v>
      </c>
      <c r="X44" s="1002">
        <f t="shared" si="7"/>
        <v>0</v>
      </c>
      <c r="Y44" s="1002">
        <f t="shared" si="7"/>
        <v>-1808.3333333333333</v>
      </c>
      <c r="Z44" s="1002">
        <f t="shared" si="7"/>
        <v>-3616.6666666666665</v>
      </c>
      <c r="AA44" s="1047">
        <f t="shared" si="7"/>
        <v>0</v>
      </c>
      <c r="AB44" s="999">
        <f t="shared" si="7"/>
        <v>-2230</v>
      </c>
      <c r="AC44" s="999">
        <f t="shared" si="7"/>
        <v>-4460</v>
      </c>
      <c r="AD44" s="999">
        <f t="shared" si="7"/>
        <v>0</v>
      </c>
      <c r="AE44" s="999">
        <f t="shared" si="7"/>
        <v>-2230</v>
      </c>
      <c r="AF44" s="999">
        <f t="shared" si="7"/>
        <v>-4460</v>
      </c>
      <c r="AG44" s="999">
        <f t="shared" si="7"/>
        <v>0</v>
      </c>
      <c r="AH44" s="999">
        <f t="shared" si="7"/>
        <v>-2230</v>
      </c>
      <c r="AI44" s="999">
        <f t="shared" si="7"/>
        <v>-4460</v>
      </c>
      <c r="AJ44" s="999">
        <f t="shared" si="7"/>
        <v>0</v>
      </c>
      <c r="AK44" s="999">
        <f t="shared" si="7"/>
        <v>-2230</v>
      </c>
      <c r="AL44" s="999">
        <f t="shared" si="7"/>
        <v>-4460</v>
      </c>
      <c r="AM44" s="999">
        <f t="shared" si="7"/>
        <v>0</v>
      </c>
      <c r="AN44" s="72"/>
      <c r="AO44" s="72"/>
      <c r="AP44" s="72"/>
      <c r="AQ44" s="72"/>
      <c r="AR44" s="72"/>
      <c r="AS44" s="72"/>
      <c r="AT44" s="72"/>
      <c r="AU44" s="72"/>
      <c r="AV44" s="72"/>
      <c r="AW44" s="72"/>
    </row>
    <row r="45" spans="1:71" s="193" customFormat="1">
      <c r="A45" s="80"/>
      <c r="B45" s="1068" t="s">
        <v>21</v>
      </c>
      <c r="C45" s="1067"/>
      <c r="D45" s="999">
        <f>-D119</f>
        <v>-90653.783267844192</v>
      </c>
      <c r="E45" s="999">
        <f t="shared" ref="E45:AM45" si="8">-E119</f>
        <v>-91031.507364793535</v>
      </c>
      <c r="F45" s="999">
        <f t="shared" si="8"/>
        <v>-91410.805312146869</v>
      </c>
      <c r="G45" s="999">
        <f t="shared" si="8"/>
        <v>-91791.683667614125</v>
      </c>
      <c r="H45" s="999">
        <f t="shared" si="8"/>
        <v>-92174.149016229203</v>
      </c>
      <c r="I45" s="999">
        <f t="shared" si="8"/>
        <v>-92558.207970463482</v>
      </c>
      <c r="J45" s="999">
        <f t="shared" si="8"/>
        <v>-92943.867170340411</v>
      </c>
      <c r="K45" s="999">
        <f t="shared" si="8"/>
        <v>-93331.133283550167</v>
      </c>
      <c r="L45" s="999">
        <f t="shared" si="8"/>
        <v>-93720.013005564964</v>
      </c>
      <c r="M45" s="999">
        <f t="shared" si="8"/>
        <v>-94110.513059754798</v>
      </c>
      <c r="N45" s="999">
        <f t="shared" si="8"/>
        <v>-94502.640197503788</v>
      </c>
      <c r="O45" s="1002">
        <f t="shared" si="8"/>
        <v>-94896.401198326712</v>
      </c>
      <c r="P45" s="1114">
        <f t="shared" si="8"/>
        <v>-95291.802869986423</v>
      </c>
      <c r="Q45" s="1002">
        <f t="shared" si="8"/>
        <v>-95688.852048611356</v>
      </c>
      <c r="R45" s="1002">
        <f t="shared" si="8"/>
        <v>-96087.555598813909</v>
      </c>
      <c r="S45" s="1002">
        <f t="shared" si="8"/>
        <v>-96487.92041380897</v>
      </c>
      <c r="T45" s="1002">
        <f t="shared" si="8"/>
        <v>-96889.953415533178</v>
      </c>
      <c r="U45" s="1002">
        <f t="shared" si="8"/>
        <v>-97293.661554764549</v>
      </c>
      <c r="V45" s="1002">
        <f t="shared" si="8"/>
        <v>-97699.051811242753</v>
      </c>
      <c r="W45" s="1002">
        <f t="shared" si="8"/>
        <v>-98106.131193789581</v>
      </c>
      <c r="X45" s="1002">
        <f t="shared" si="8"/>
        <v>-98514.906740430379</v>
      </c>
      <c r="Y45" s="1002">
        <f t="shared" si="8"/>
        <v>-98925.385518515497</v>
      </c>
      <c r="Z45" s="1002">
        <f t="shared" si="8"/>
        <v>-99337.574624842644</v>
      </c>
      <c r="AA45" s="1047">
        <f t="shared" si="8"/>
        <v>-99751.481185779499</v>
      </c>
      <c r="AB45" s="999">
        <f t="shared" si="8"/>
        <v>-100167.11235738691</v>
      </c>
      <c r="AC45" s="999">
        <f t="shared" si="8"/>
        <v>-100584.47532554269</v>
      </c>
      <c r="AD45" s="999">
        <f t="shared" si="8"/>
        <v>-101003.57730606578</v>
      </c>
      <c r="AE45" s="999">
        <f t="shared" si="8"/>
        <v>-101424.42554484107</v>
      </c>
      <c r="AF45" s="999">
        <f t="shared" si="8"/>
        <v>-101847.02731794456</v>
      </c>
      <c r="AG45" s="999">
        <f t="shared" si="8"/>
        <v>-102271.38993176933</v>
      </c>
      <c r="AH45" s="999">
        <f t="shared" si="8"/>
        <v>-102697.5207231517</v>
      </c>
      <c r="AI45" s="999">
        <f t="shared" si="8"/>
        <v>-103125.42705949818</v>
      </c>
      <c r="AJ45" s="999">
        <f t="shared" si="8"/>
        <v>-103555.11633891273</v>
      </c>
      <c r="AK45" s="999">
        <f t="shared" si="8"/>
        <v>-103986.59599032489</v>
      </c>
      <c r="AL45" s="999">
        <f t="shared" si="8"/>
        <v>-104419.8734736179</v>
      </c>
      <c r="AM45" s="999">
        <f t="shared" si="8"/>
        <v>-104854.95627975799</v>
      </c>
      <c r="AN45" s="72"/>
      <c r="AO45" s="72"/>
      <c r="AP45" s="72"/>
      <c r="AQ45" s="72"/>
      <c r="AR45" s="72"/>
      <c r="AS45" s="72"/>
      <c r="AT45" s="72"/>
      <c r="AU45" s="72"/>
      <c r="AV45" s="72"/>
      <c r="AW45" s="72"/>
    </row>
    <row r="46" spans="1:71" s="193" customFormat="1">
      <c r="A46" s="80"/>
      <c r="B46" s="1068" t="s">
        <v>169</v>
      </c>
      <c r="C46" s="1067"/>
      <c r="D46" s="999">
        <f>-D131</f>
        <v>8270</v>
      </c>
      <c r="E46" s="999">
        <f t="shared" ref="E46:AM46" si="9">-E131</f>
        <v>10385.560000000001</v>
      </c>
      <c r="F46" s="999">
        <f t="shared" si="9"/>
        <v>0</v>
      </c>
      <c r="G46" s="999">
        <f t="shared" si="9"/>
        <v>-3055.2400000000007</v>
      </c>
      <c r="H46" s="999">
        <f t="shared" si="9"/>
        <v>-8108.0399999999991</v>
      </c>
      <c r="I46" s="999">
        <f t="shared" si="9"/>
        <v>0</v>
      </c>
      <c r="J46" s="999">
        <f t="shared" si="9"/>
        <v>-5574.920000000001</v>
      </c>
      <c r="K46" s="999">
        <f t="shared" si="9"/>
        <v>-10966.283000000001</v>
      </c>
      <c r="L46" s="999">
        <f t="shared" si="9"/>
        <v>0</v>
      </c>
      <c r="M46" s="999">
        <f t="shared" si="9"/>
        <v>-8274.66</v>
      </c>
      <c r="N46" s="999">
        <f t="shared" si="9"/>
        <v>-11826.406400000002</v>
      </c>
      <c r="O46" s="1002">
        <f t="shared" si="9"/>
        <v>0</v>
      </c>
      <c r="P46" s="1114">
        <f t="shared" si="9"/>
        <v>-5327.9475999999995</v>
      </c>
      <c r="Q46" s="1002">
        <f t="shared" si="9"/>
        <v>-18825.8298</v>
      </c>
      <c r="R46" s="1002">
        <f t="shared" si="9"/>
        <v>0</v>
      </c>
      <c r="S46" s="1002">
        <f t="shared" si="9"/>
        <v>-11384.161999999997</v>
      </c>
      <c r="T46" s="1002">
        <f t="shared" si="9"/>
        <v>-25292.828599999997</v>
      </c>
      <c r="U46" s="1002">
        <f t="shared" si="9"/>
        <v>0</v>
      </c>
      <c r="V46" s="1002">
        <f t="shared" si="9"/>
        <v>-20924.474200000004</v>
      </c>
      <c r="W46" s="1002">
        <f t="shared" si="9"/>
        <v>-42200.670060000004</v>
      </c>
      <c r="X46" s="1002">
        <f t="shared" si="9"/>
        <v>0</v>
      </c>
      <c r="Y46" s="1002">
        <f t="shared" si="9"/>
        <v>-27374.364599999997</v>
      </c>
      <c r="Z46" s="1002">
        <f t="shared" si="9"/>
        <v>-54593.366200000004</v>
      </c>
      <c r="AA46" s="1047">
        <f t="shared" si="9"/>
        <v>0</v>
      </c>
      <c r="AB46" s="999">
        <f t="shared" si="9"/>
        <v>58383.422132000007</v>
      </c>
      <c r="AC46" s="999">
        <f t="shared" si="9"/>
        <v>11973.736996</v>
      </c>
      <c r="AD46" s="999">
        <f t="shared" si="9"/>
        <v>0</v>
      </c>
      <c r="AE46" s="999">
        <f t="shared" si="9"/>
        <v>-42971.20837600001</v>
      </c>
      <c r="AF46" s="999">
        <f t="shared" si="9"/>
        <v>-100784.69124400002</v>
      </c>
      <c r="AG46" s="999">
        <f t="shared" si="9"/>
        <v>0</v>
      </c>
      <c r="AH46" s="999">
        <f t="shared" si="9"/>
        <v>-55175.554516000004</v>
      </c>
      <c r="AI46" s="999">
        <f t="shared" si="9"/>
        <v>-126442.99006260002</v>
      </c>
      <c r="AJ46" s="999">
        <f t="shared" si="9"/>
        <v>0</v>
      </c>
      <c r="AK46" s="999">
        <f t="shared" si="9"/>
        <v>-88764.178535999992</v>
      </c>
      <c r="AL46" s="999">
        <f t="shared" si="9"/>
        <v>-114196.75928352002</v>
      </c>
      <c r="AM46" s="999">
        <f t="shared" si="9"/>
        <v>0</v>
      </c>
      <c r="AN46" s="72"/>
      <c r="AO46" s="72"/>
      <c r="AP46" s="72"/>
      <c r="AQ46" s="72"/>
      <c r="AR46" s="72"/>
      <c r="AS46" s="72"/>
      <c r="AT46" s="72"/>
      <c r="AU46" s="72"/>
      <c r="AV46" s="72"/>
      <c r="AW46" s="72"/>
    </row>
    <row r="47" spans="1:71" s="202" customFormat="1" ht="16.2" thickBot="1">
      <c r="A47" s="200"/>
      <c r="B47" s="1072" t="s">
        <v>4</v>
      </c>
      <c r="C47" s="1073"/>
      <c r="D47" s="999">
        <f>-D136</f>
        <v>0</v>
      </c>
      <c r="E47" s="999">
        <f t="shared" ref="E47:AM47" si="10">-E136</f>
        <v>0</v>
      </c>
      <c r="F47" s="999">
        <f t="shared" si="10"/>
        <v>0</v>
      </c>
      <c r="G47" s="999">
        <f t="shared" si="10"/>
        <v>0</v>
      </c>
      <c r="H47" s="999">
        <f t="shared" si="10"/>
        <v>0</v>
      </c>
      <c r="I47" s="999">
        <f t="shared" si="10"/>
        <v>0</v>
      </c>
      <c r="J47" s="999">
        <f t="shared" si="10"/>
        <v>0</v>
      </c>
      <c r="K47" s="999">
        <f t="shared" si="10"/>
        <v>0</v>
      </c>
      <c r="L47" s="999">
        <f t="shared" si="10"/>
        <v>0</v>
      </c>
      <c r="M47" s="999">
        <f t="shared" si="10"/>
        <v>0</v>
      </c>
      <c r="N47" s="999">
        <f t="shared" si="10"/>
        <v>0</v>
      </c>
      <c r="O47" s="1002">
        <f t="shared" si="10"/>
        <v>0</v>
      </c>
      <c r="P47" s="1114">
        <f t="shared" si="10"/>
        <v>0</v>
      </c>
      <c r="Q47" s="1002">
        <f t="shared" si="10"/>
        <v>0</v>
      </c>
      <c r="R47" s="1002">
        <f t="shared" si="10"/>
        <v>0</v>
      </c>
      <c r="S47" s="1002">
        <f t="shared" si="10"/>
        <v>-11251.170666130871</v>
      </c>
      <c r="T47" s="1002">
        <f t="shared" si="10"/>
        <v>-29127.870932606504</v>
      </c>
      <c r="U47" s="1002">
        <f t="shared" si="10"/>
        <v>-49404.481172923712</v>
      </c>
      <c r="V47" s="1002">
        <f t="shared" si="10"/>
        <v>-72131.095993223484</v>
      </c>
      <c r="W47" s="1002">
        <f t="shared" si="10"/>
        <v>-94322.891716755767</v>
      </c>
      <c r="X47" s="1002">
        <f t="shared" ca="1" si="10"/>
        <v>-120974.40358447153</v>
      </c>
      <c r="Y47" s="1002">
        <f t="shared" ca="1" si="10"/>
        <v>-150829.97620561736</v>
      </c>
      <c r="Z47" s="1002">
        <f t="shared" ca="1" si="10"/>
        <v>-184227.42250833256</v>
      </c>
      <c r="AA47" s="1047">
        <f t="shared" ca="1" si="10"/>
        <v>-217408.81911524865</v>
      </c>
      <c r="AB47" s="999">
        <f t="shared" ca="1" si="10"/>
        <v>-227071.68931242483</v>
      </c>
      <c r="AC47" s="999">
        <f t="shared" ca="1" si="10"/>
        <v>-262081.10867995245</v>
      </c>
      <c r="AD47" s="999">
        <f t="shared" ca="1" si="10"/>
        <v>-306229.49878256209</v>
      </c>
      <c r="AE47" s="999">
        <f t="shared" ca="1" si="10"/>
        <v>-351798.09324690001</v>
      </c>
      <c r="AF47" s="999">
        <f t="shared" ca="1" si="10"/>
        <v>-403983.63403214002</v>
      </c>
      <c r="AG47" s="999">
        <f t="shared" ca="1" si="10"/>
        <v>-467958.2813155984</v>
      </c>
      <c r="AH47" s="999">
        <f t="shared" ca="1" si="10"/>
        <v>-541245.39577835111</v>
      </c>
      <c r="AI47" s="999">
        <f t="shared" ca="1" si="10"/>
        <v>-617215.15091410349</v>
      </c>
      <c r="AJ47" s="999">
        <f t="shared" ca="1" si="10"/>
        <v>-473608.32792156411</v>
      </c>
      <c r="AK47" s="999">
        <f t="shared" ca="1" si="10"/>
        <v>-556753.28164056456</v>
      </c>
      <c r="AL47" s="999">
        <f t="shared" ca="1" si="10"/>
        <v>-655359.83379592816</v>
      </c>
      <c r="AM47" s="999">
        <f t="shared" ca="1" si="10"/>
        <v>-765789.06424732844</v>
      </c>
      <c r="AN47" s="72"/>
      <c r="AO47" s="72"/>
      <c r="AP47" s="72"/>
      <c r="AQ47" s="72"/>
      <c r="AR47" s="72"/>
      <c r="AS47" s="72"/>
      <c r="AT47" s="72"/>
      <c r="AU47" s="72"/>
      <c r="AV47" s="72"/>
      <c r="AW47" s="72"/>
      <c r="AX47" s="193"/>
      <c r="AY47" s="193"/>
      <c r="AZ47" s="193"/>
      <c r="BA47" s="193"/>
      <c r="BB47" s="193"/>
      <c r="BC47" s="193"/>
      <c r="BD47" s="193"/>
      <c r="BE47" s="193"/>
      <c r="BF47" s="193"/>
      <c r="BG47" s="193"/>
      <c r="BH47" s="193"/>
      <c r="BI47" s="201"/>
      <c r="BJ47" s="201"/>
      <c r="BK47" s="201"/>
      <c r="BL47" s="201"/>
    </row>
    <row r="48" spans="1:71" s="169" customFormat="1" ht="16.2" thickTop="1">
      <c r="B48" s="57"/>
      <c r="D48" s="1059">
        <f>SUM(D43:D47)</f>
        <v>-154678.51660117751</v>
      </c>
      <c r="E48" s="1059">
        <f t="shared" ref="E48:AM48" si="11">SUM(E43:E47)</f>
        <v>-181825.57403146022</v>
      </c>
      <c r="F48" s="1059">
        <f t="shared" si="11"/>
        <v>-105747.20531214686</v>
      </c>
      <c r="G48" s="1059">
        <f t="shared" si="11"/>
        <v>-123820.61700094744</v>
      </c>
      <c r="H48" s="1059">
        <f t="shared" si="11"/>
        <v>-126682.05568289587</v>
      </c>
      <c r="I48" s="1059">
        <f t="shared" si="11"/>
        <v>-124541.92797046347</v>
      </c>
      <c r="J48" s="1059">
        <f t="shared" si="11"/>
        <v>-132868.00050367374</v>
      </c>
      <c r="K48" s="1059">
        <f t="shared" si="11"/>
        <v>-143041.30495021681</v>
      </c>
      <c r="L48" s="1059">
        <f t="shared" si="11"/>
        <v>-125162.29300556493</v>
      </c>
      <c r="M48" s="1059">
        <f t="shared" si="11"/>
        <v>-131705.54639308812</v>
      </c>
      <c r="N48" s="1059">
        <f t="shared" si="11"/>
        <v>-172167.95486417046</v>
      </c>
      <c r="O48" s="1059">
        <f t="shared" si="11"/>
        <v>-166180.48719832674</v>
      </c>
      <c r="P48" s="1112">
        <f t="shared" si="11"/>
        <v>-141472.55820331979</v>
      </c>
      <c r="Q48" s="1059">
        <f t="shared" si="11"/>
        <v>-193352.73531527806</v>
      </c>
      <c r="R48" s="1059">
        <f t="shared" si="11"/>
        <v>-202739.09759881388</v>
      </c>
      <c r="S48" s="1059">
        <f t="shared" si="11"/>
        <v>-237738.7344132732</v>
      </c>
      <c r="T48" s="1059">
        <f t="shared" si="11"/>
        <v>-275493.5600148064</v>
      </c>
      <c r="U48" s="1059">
        <f t="shared" si="11"/>
        <v>-255134.18552768818</v>
      </c>
      <c r="V48" s="1059">
        <f t="shared" si="11"/>
        <v>-311726.5901377995</v>
      </c>
      <c r="W48" s="1059">
        <f t="shared" si="11"/>
        <v>-356419.26447721204</v>
      </c>
      <c r="X48" s="1059">
        <f t="shared" ca="1" si="11"/>
        <v>-345804.58512490185</v>
      </c>
      <c r="Y48" s="1059">
        <f t="shared" ca="1" si="11"/>
        <v>-419793.67205746623</v>
      </c>
      <c r="Z48" s="1059">
        <f t="shared" ca="1" si="11"/>
        <v>-511117.34039984178</v>
      </c>
      <c r="AA48" s="1102">
        <f t="shared" ca="1" si="11"/>
        <v>-531696.13206102815</v>
      </c>
      <c r="AB48" s="1059">
        <f t="shared" ca="1" si="11"/>
        <v>-433589.5843298118</v>
      </c>
      <c r="AC48" s="1059">
        <f t="shared" ca="1" si="11"/>
        <v>-514053.50259349518</v>
      </c>
      <c r="AD48" s="1059">
        <f t="shared" ca="1" si="11"/>
        <v>-746288.84172062785</v>
      </c>
      <c r="AE48" s="1059">
        <f t="shared" ca="1" si="11"/>
        <v>-500716.74891174113</v>
      </c>
      <c r="AF48" s="1059">
        <f t="shared" ca="1" si="11"/>
        <v>-584880.52498608467</v>
      </c>
      <c r="AG48" s="1059">
        <f t="shared" ca="1" si="11"/>
        <v>-699904.26952736778</v>
      </c>
      <c r="AH48" s="1059">
        <f t="shared" ca="1" si="11"/>
        <v>-853236.09160150285</v>
      </c>
      <c r="AI48" s="1059">
        <f t="shared" ca="1" si="11"/>
        <v>-937958.18355660164</v>
      </c>
      <c r="AJ48" s="1059">
        <f t="shared" ca="1" si="11"/>
        <v>-558240.18897247687</v>
      </c>
      <c r="AK48" s="1059">
        <f t="shared" ca="1" si="11"/>
        <v>-845671.36735088937</v>
      </c>
      <c r="AL48" s="1059">
        <f t="shared" ca="1" si="11"/>
        <v>-1414975.2384359459</v>
      </c>
      <c r="AM48" s="1059">
        <f t="shared" ca="1" si="11"/>
        <v>-1438319.3297866865</v>
      </c>
    </row>
    <row r="49" spans="1:71" s="193" customFormat="1" ht="16.2" thickBot="1">
      <c r="B49" s="18"/>
      <c r="D49" s="999"/>
      <c r="E49" s="999"/>
      <c r="F49" s="999"/>
      <c r="G49" s="999"/>
      <c r="H49" s="999"/>
      <c r="I49" s="999"/>
      <c r="J49" s="999"/>
      <c r="K49" s="999"/>
      <c r="L49" s="999"/>
      <c r="M49" s="999"/>
      <c r="N49" s="999"/>
      <c r="O49" s="1002"/>
      <c r="P49" s="1114"/>
      <c r="Q49" s="1002"/>
      <c r="R49" s="1002"/>
      <c r="S49" s="1002"/>
      <c r="T49" s="1002"/>
      <c r="U49" s="1002"/>
      <c r="V49" s="1002"/>
      <c r="W49" s="1002"/>
      <c r="X49" s="1002"/>
      <c r="Y49" s="1002"/>
      <c r="Z49" s="1002"/>
      <c r="AA49" s="1047"/>
      <c r="AB49" s="999"/>
      <c r="AC49" s="999"/>
      <c r="AD49" s="999"/>
      <c r="AE49" s="999"/>
      <c r="AF49" s="999"/>
      <c r="AG49" s="999"/>
      <c r="AH49" s="999"/>
      <c r="AI49" s="999"/>
      <c r="AJ49" s="999"/>
      <c r="AK49" s="999"/>
      <c r="AL49" s="999"/>
      <c r="AM49" s="999"/>
      <c r="AN49" s="72"/>
      <c r="AO49" s="72"/>
      <c r="AP49" s="72"/>
      <c r="AQ49" s="72"/>
      <c r="AR49" s="72"/>
      <c r="AS49" s="72"/>
      <c r="AT49" s="72"/>
      <c r="AU49" s="72"/>
      <c r="AV49" s="72"/>
      <c r="AW49" s="72"/>
    </row>
    <row r="50" spans="1:71" s="169" customFormat="1" ht="16.8" thickTop="1" thickBot="1">
      <c r="A50" s="198"/>
      <c r="B50" s="1074" t="s">
        <v>46</v>
      </c>
      <c r="C50" s="1075"/>
      <c r="D50" s="996">
        <f>D40+D48</f>
        <v>576152.76657681703</v>
      </c>
      <c r="E50" s="996">
        <f t="shared" ref="E50:AM50" si="12">E40+E48</f>
        <v>554285.59232452884</v>
      </c>
      <c r="F50" s="996">
        <f t="shared" si="12"/>
        <v>535873.04422183661</v>
      </c>
      <c r="G50" s="996">
        <f t="shared" si="12"/>
        <v>519141.11571103055</v>
      </c>
      <c r="H50" s="996">
        <f t="shared" si="12"/>
        <v>505911.20020707679</v>
      </c>
      <c r="I50" s="996">
        <f t="shared" si="12"/>
        <v>495509.79109750368</v>
      </c>
      <c r="J50" s="996">
        <f t="shared" si="12"/>
        <v>483571.68174228788</v>
      </c>
      <c r="K50" s="996">
        <f t="shared" si="12"/>
        <v>476567.78047373937</v>
      </c>
      <c r="L50" s="996">
        <f t="shared" si="12"/>
        <v>471339.95059638575</v>
      </c>
      <c r="M50" s="996">
        <f t="shared" si="12"/>
        <v>469186.90038685716</v>
      </c>
      <c r="N50" s="996">
        <f t="shared" si="12"/>
        <v>469720.85509376944</v>
      </c>
      <c r="O50" s="1006">
        <f t="shared" si="12"/>
        <v>473716.43893760769</v>
      </c>
      <c r="P50" s="1115">
        <f t="shared" si="12"/>
        <v>442273.18844394246</v>
      </c>
      <c r="Q50" s="1006">
        <f t="shared" si="12"/>
        <v>462001.14344331191</v>
      </c>
      <c r="R50" s="1006">
        <f t="shared" si="12"/>
        <v>502357.16807110404</v>
      </c>
      <c r="S50" s="1006">
        <f t="shared" si="12"/>
        <v>545880.45576797263</v>
      </c>
      <c r="T50" s="1006">
        <f t="shared" si="12"/>
        <v>589250.46867776732</v>
      </c>
      <c r="U50" s="1006">
        <f t="shared" si="12"/>
        <v>639785.7944762134</v>
      </c>
      <c r="V50" s="1006">
        <f t="shared" si="12"/>
        <v>697636.57357742998</v>
      </c>
      <c r="W50" s="1006">
        <f t="shared" si="12"/>
        <v>753848.19094934547</v>
      </c>
      <c r="X50" s="1006">
        <f t="shared" ca="1" si="12"/>
        <v>823404.10771298327</v>
      </c>
      <c r="Y50" s="1006">
        <f t="shared" ca="1" si="12"/>
        <v>902537.21249174688</v>
      </c>
      <c r="Z50" s="1006">
        <f t="shared" ca="1" si="12"/>
        <v>992260.79826069926</v>
      </c>
      <c r="AA50" s="1054">
        <f t="shared" ca="1" si="12"/>
        <v>1081300.9484708405</v>
      </c>
      <c r="AB50" s="996">
        <f ca="1">AB40+AB48</f>
        <v>987131.55262005143</v>
      </c>
      <c r="AC50" s="996">
        <f t="shared" ca="1" si="12"/>
        <v>1069188.5831423628</v>
      </c>
      <c r="AD50" s="996">
        <f t="shared" ca="1" si="12"/>
        <v>1182614.7204772246</v>
      </c>
      <c r="AE50" s="996">
        <f t="shared" ca="1" si="12"/>
        <v>1305242.9826321059</v>
      </c>
      <c r="AF50" s="996">
        <f t="shared" ca="1" si="12"/>
        <v>1453454.7319917572</v>
      </c>
      <c r="AG50" s="996">
        <f t="shared" ca="1" si="12"/>
        <v>1643443.4649724686</v>
      </c>
      <c r="AH50" s="996">
        <f t="shared" ca="1" si="12"/>
        <v>1861664.0092763279</v>
      </c>
      <c r="AI50" s="996">
        <f t="shared" ca="1" si="12"/>
        <v>2093843.7703152236</v>
      </c>
      <c r="AJ50" s="996">
        <f t="shared" ca="1" si="12"/>
        <v>2335984.4772310946</v>
      </c>
      <c r="AK50" s="996">
        <f t="shared" ca="1" si="12"/>
        <v>2618181.1403186764</v>
      </c>
      <c r="AL50" s="996">
        <f t="shared" ca="1" si="12"/>
        <v>2918464.6159956143</v>
      </c>
      <c r="AM50" s="996">
        <f t="shared" ca="1" si="12"/>
        <v>3237813.1849330682</v>
      </c>
    </row>
    <row r="51" spans="1:71" s="193" customFormat="1" ht="16.8" thickTop="1" thickBot="1">
      <c r="A51" s="80"/>
      <c r="B51" s="197"/>
      <c r="D51" s="72"/>
      <c r="E51" s="72"/>
      <c r="F51" s="72"/>
      <c r="G51" s="72"/>
      <c r="H51" s="72"/>
      <c r="I51" s="72"/>
      <c r="J51" s="72"/>
      <c r="K51" s="72"/>
      <c r="L51" s="72"/>
      <c r="M51" s="72"/>
      <c r="N51" s="72"/>
      <c r="O51" s="71"/>
      <c r="P51" s="1110"/>
      <c r="Q51" s="71"/>
      <c r="R51" s="71"/>
      <c r="S51" s="71"/>
      <c r="T51" s="71"/>
      <c r="U51" s="71"/>
      <c r="V51" s="71"/>
      <c r="W51" s="71"/>
      <c r="X51" s="71"/>
      <c r="Y51" s="71"/>
      <c r="Z51" s="71"/>
      <c r="AA51" s="1058"/>
      <c r="AB51" s="72"/>
      <c r="AC51" s="72"/>
      <c r="AD51" s="72"/>
      <c r="AE51" s="72"/>
      <c r="AF51" s="72"/>
      <c r="AG51" s="72"/>
      <c r="AH51" s="72"/>
      <c r="AI51" s="72"/>
      <c r="AJ51" s="72"/>
      <c r="AK51" s="72"/>
      <c r="AL51" s="72"/>
      <c r="AM51" s="72"/>
      <c r="AN51" s="72"/>
      <c r="AO51" s="72"/>
      <c r="AP51" s="72"/>
      <c r="AQ51" s="72"/>
      <c r="AR51" s="72"/>
      <c r="AS51" s="72"/>
      <c r="AT51" s="72"/>
      <c r="AU51" s="72"/>
      <c r="AV51" s="72"/>
      <c r="AW51" s="72"/>
    </row>
    <row r="52" spans="1:71" s="169" customFormat="1" ht="16.2" thickTop="1">
      <c r="B52" s="1060" t="s">
        <v>47</v>
      </c>
      <c r="C52" s="1066"/>
      <c r="D52" s="72"/>
      <c r="E52" s="72"/>
      <c r="F52" s="72"/>
      <c r="G52" s="72"/>
      <c r="H52" s="72"/>
      <c r="I52" s="72"/>
      <c r="J52" s="72"/>
      <c r="K52" s="72"/>
      <c r="L52" s="72"/>
      <c r="M52" s="72"/>
      <c r="N52" s="72"/>
      <c r="O52" s="71"/>
      <c r="P52" s="1110"/>
      <c r="Q52" s="71"/>
      <c r="R52" s="71"/>
      <c r="S52" s="71"/>
      <c r="T52" s="71"/>
      <c r="U52" s="71"/>
      <c r="V52" s="71"/>
      <c r="W52" s="71"/>
      <c r="X52" s="71"/>
      <c r="Y52" s="71"/>
      <c r="Z52" s="71"/>
      <c r="AA52" s="1058"/>
      <c r="AB52" s="72"/>
      <c r="AC52" s="72"/>
      <c r="AD52" s="72"/>
      <c r="AE52" s="72"/>
      <c r="AF52" s="72"/>
      <c r="AG52" s="72"/>
      <c r="AH52" s="72"/>
      <c r="AI52" s="72"/>
      <c r="AJ52" s="72"/>
      <c r="AK52" s="72"/>
      <c r="AL52" s="72"/>
      <c r="AM52" s="72"/>
      <c r="AN52" s="72"/>
      <c r="AO52" s="72"/>
      <c r="AP52" s="72"/>
      <c r="AQ52" s="72"/>
      <c r="AR52" s="72"/>
      <c r="AS52" s="72"/>
      <c r="AT52" s="72"/>
      <c r="AU52" s="72"/>
      <c r="AV52" s="72"/>
      <c r="AW52" s="72"/>
    </row>
    <row r="53" spans="1:71" s="193" customFormat="1">
      <c r="B53" s="1062" t="s">
        <v>20</v>
      </c>
      <c r="C53" s="1067"/>
      <c r="D53" s="999">
        <f>-D120</f>
        <v>-401993.93324348371</v>
      </c>
      <c r="E53" s="999">
        <f t="shared" ref="E53:AM53" si="13">-E120</f>
        <v>-394233.29114332609</v>
      </c>
      <c r="F53" s="999">
        <f t="shared" si="13"/>
        <v>-386440.31303441781</v>
      </c>
      <c r="G53" s="999">
        <f t="shared" si="13"/>
        <v>-378614.86418338906</v>
      </c>
      <c r="H53" s="999">
        <f t="shared" si="13"/>
        <v>-370756.80929548101</v>
      </c>
      <c r="I53" s="999">
        <f t="shared" si="13"/>
        <v>-362866.01251220674</v>
      </c>
      <c r="J53" s="999">
        <f t="shared" si="13"/>
        <v>-354942.33740900212</v>
      </c>
      <c r="K53" s="999">
        <f t="shared" si="13"/>
        <v>-346985.64699286752</v>
      </c>
      <c r="L53" s="999">
        <f t="shared" si="13"/>
        <v>-338995.80369999894</v>
      </c>
      <c r="M53" s="999">
        <f t="shared" si="13"/>
        <v>-330972.66939341015</v>
      </c>
      <c r="N53" s="999">
        <f t="shared" si="13"/>
        <v>-322916.10536054388</v>
      </c>
      <c r="O53" s="1002">
        <f t="shared" si="13"/>
        <v>-314825.97231087403</v>
      </c>
      <c r="P53" s="1114">
        <f t="shared" si="13"/>
        <v>-306702.13037349726</v>
      </c>
      <c r="Q53" s="1002">
        <f t="shared" si="13"/>
        <v>-298544.4390947147</v>
      </c>
      <c r="R53" s="1002">
        <f t="shared" si="13"/>
        <v>-290352.75743560382</v>
      </c>
      <c r="S53" s="1002">
        <f t="shared" si="13"/>
        <v>-282126.94376958004</v>
      </c>
      <c r="T53" s="1002">
        <f t="shared" si="13"/>
        <v>-273866.85587994783</v>
      </c>
      <c r="U53" s="1002">
        <f t="shared" si="13"/>
        <v>-265572.35095744219</v>
      </c>
      <c r="V53" s="1002">
        <f t="shared" si="13"/>
        <v>-257243.28559775936</v>
      </c>
      <c r="W53" s="1002">
        <f t="shared" si="13"/>
        <v>-248879.51579907793</v>
      </c>
      <c r="X53" s="1002">
        <f t="shared" si="13"/>
        <v>-240480.89695956861</v>
      </c>
      <c r="Y53" s="1002">
        <f t="shared" si="13"/>
        <v>-232047.28387489473</v>
      </c>
      <c r="Z53" s="1002">
        <f t="shared" si="13"/>
        <v>-223578.53073570129</v>
      </c>
      <c r="AA53" s="1047">
        <f t="shared" si="13"/>
        <v>-215074.49112509459</v>
      </c>
      <c r="AB53" s="999">
        <f t="shared" si="13"/>
        <v>-206535.01801611035</v>
      </c>
      <c r="AC53" s="999">
        <f t="shared" si="13"/>
        <v>-197959.96376917203</v>
      </c>
      <c r="AD53" s="999">
        <f t="shared" si="13"/>
        <v>-189349.18012953812</v>
      </c>
      <c r="AE53" s="999">
        <f t="shared" si="13"/>
        <v>-180702.51822473903</v>
      </c>
      <c r="AF53" s="999">
        <f t="shared" si="13"/>
        <v>-172019.82856200333</v>
      </c>
      <c r="AG53" s="999">
        <f t="shared" si="13"/>
        <v>-163300.96102567285</v>
      </c>
      <c r="AH53" s="999">
        <f t="shared" si="13"/>
        <v>-154545.76487460773</v>
      </c>
      <c r="AI53" s="999">
        <f t="shared" si="13"/>
        <v>-145754.08873957978</v>
      </c>
      <c r="AJ53" s="999">
        <f t="shared" si="13"/>
        <v>-136925.78062065592</v>
      </c>
      <c r="AK53" s="999">
        <f t="shared" si="13"/>
        <v>-128060.68788456981</v>
      </c>
      <c r="AL53" s="999">
        <f t="shared" si="13"/>
        <v>-119158.65726208339</v>
      </c>
      <c r="AM53" s="999">
        <f t="shared" si="13"/>
        <v>-110219.5348453366</v>
      </c>
      <c r="AN53" s="72"/>
      <c r="AO53" s="72"/>
      <c r="AP53" s="72"/>
      <c r="AQ53" s="72"/>
      <c r="AR53" s="72"/>
      <c r="AS53" s="72"/>
      <c r="AT53" s="72"/>
      <c r="AU53" s="72"/>
      <c r="AV53" s="72"/>
      <c r="AW53" s="72"/>
    </row>
    <row r="54" spans="1:71" s="169" customFormat="1">
      <c r="B54" s="1062" t="s">
        <v>63</v>
      </c>
      <c r="C54" s="1032"/>
      <c r="D54" s="999">
        <f>-D125</f>
        <v>-40000</v>
      </c>
      <c r="E54" s="999">
        <f t="shared" ref="E54:AM54" si="14">-E125</f>
        <v>-40000</v>
      </c>
      <c r="F54" s="999">
        <f t="shared" si="14"/>
        <v>-40000</v>
      </c>
      <c r="G54" s="999">
        <f t="shared" si="14"/>
        <v>-40000</v>
      </c>
      <c r="H54" s="999">
        <f t="shared" si="14"/>
        <v>-40000</v>
      </c>
      <c r="I54" s="999">
        <f t="shared" si="14"/>
        <v>-40000</v>
      </c>
      <c r="J54" s="999">
        <f t="shared" si="14"/>
        <v>-35000</v>
      </c>
      <c r="K54" s="999">
        <f t="shared" si="14"/>
        <v>-35000</v>
      </c>
      <c r="L54" s="999">
        <f t="shared" si="14"/>
        <v>-35000</v>
      </c>
      <c r="M54" s="999">
        <f t="shared" si="14"/>
        <v>-35000</v>
      </c>
      <c r="N54" s="999">
        <f t="shared" si="14"/>
        <v>-35000</v>
      </c>
      <c r="O54" s="1002">
        <f t="shared" si="14"/>
        <v>-35000</v>
      </c>
      <c r="P54" s="1114">
        <f t="shared" si="14"/>
        <v>-35000</v>
      </c>
      <c r="Q54" s="1002">
        <f t="shared" si="14"/>
        <v>-30000</v>
      </c>
      <c r="R54" s="1002">
        <f t="shared" si="14"/>
        <v>-30000</v>
      </c>
      <c r="S54" s="1002">
        <f t="shared" si="14"/>
        <v>-30000</v>
      </c>
      <c r="T54" s="1002">
        <f t="shared" si="14"/>
        <v>-30000</v>
      </c>
      <c r="U54" s="1002">
        <f t="shared" si="14"/>
        <v>-30000</v>
      </c>
      <c r="V54" s="1002">
        <f t="shared" si="14"/>
        <v>-30000</v>
      </c>
      <c r="W54" s="1002">
        <f t="shared" si="14"/>
        <v>-30000</v>
      </c>
      <c r="X54" s="1002">
        <f t="shared" si="14"/>
        <v>-30000</v>
      </c>
      <c r="Y54" s="1002">
        <f t="shared" si="14"/>
        <v>-30000</v>
      </c>
      <c r="Z54" s="1002">
        <f t="shared" si="14"/>
        <v>-30000</v>
      </c>
      <c r="AA54" s="1047">
        <f t="shared" si="14"/>
        <v>-30000</v>
      </c>
      <c r="AB54" s="999">
        <f t="shared" si="14"/>
        <v>-30000</v>
      </c>
      <c r="AC54" s="999">
        <f t="shared" si="14"/>
        <v>-30000</v>
      </c>
      <c r="AD54" s="999">
        <f t="shared" si="14"/>
        <v>-30000</v>
      </c>
      <c r="AE54" s="999">
        <f t="shared" si="14"/>
        <v>-30000</v>
      </c>
      <c r="AF54" s="999">
        <f t="shared" si="14"/>
        <v>-30000</v>
      </c>
      <c r="AG54" s="999">
        <f t="shared" si="14"/>
        <v>-30000</v>
      </c>
      <c r="AH54" s="999">
        <f t="shared" si="14"/>
        <v>-30000</v>
      </c>
      <c r="AI54" s="999">
        <f t="shared" si="14"/>
        <v>-30000</v>
      </c>
      <c r="AJ54" s="999">
        <f t="shared" si="14"/>
        <v>-30000</v>
      </c>
      <c r="AK54" s="999">
        <f t="shared" si="14"/>
        <v>-30000</v>
      </c>
      <c r="AL54" s="999">
        <f t="shared" si="14"/>
        <v>-30000</v>
      </c>
      <c r="AM54" s="999">
        <f t="shared" si="14"/>
        <v>-30000</v>
      </c>
      <c r="AN54" s="72"/>
      <c r="AO54" s="72"/>
      <c r="AP54" s="72"/>
      <c r="AQ54" s="72"/>
      <c r="AR54" s="72"/>
      <c r="AS54" s="72"/>
      <c r="AT54" s="72"/>
      <c r="AU54" s="72"/>
      <c r="AV54" s="72"/>
      <c r="AW54" s="72"/>
    </row>
    <row r="55" spans="1:71" s="169" customFormat="1" ht="16.2" thickBot="1">
      <c r="B55" s="1076"/>
      <c r="C55" s="1077"/>
      <c r="D55" s="1059">
        <f>SUM(D53:D54)</f>
        <v>-441993.93324348371</v>
      </c>
      <c r="E55" s="1059">
        <f t="shared" ref="E55:AM55" si="15">SUM(E53:E54)</f>
        <v>-434233.29114332609</v>
      </c>
      <c r="F55" s="1059">
        <f t="shared" si="15"/>
        <v>-426440.31303441781</v>
      </c>
      <c r="G55" s="1059">
        <f t="shared" si="15"/>
        <v>-418614.86418338906</v>
      </c>
      <c r="H55" s="1059">
        <f t="shared" si="15"/>
        <v>-410756.80929548101</v>
      </c>
      <c r="I55" s="1059">
        <f t="shared" si="15"/>
        <v>-402866.01251220674</v>
      </c>
      <c r="J55" s="1059">
        <f t="shared" si="15"/>
        <v>-389942.33740900212</v>
      </c>
      <c r="K55" s="1059">
        <f t="shared" si="15"/>
        <v>-381985.64699286752</v>
      </c>
      <c r="L55" s="1059">
        <f t="shared" si="15"/>
        <v>-373995.80369999894</v>
      </c>
      <c r="M55" s="1059">
        <f t="shared" si="15"/>
        <v>-365972.66939341015</v>
      </c>
      <c r="N55" s="1059">
        <f t="shared" si="15"/>
        <v>-357916.10536054388</v>
      </c>
      <c r="O55" s="1059">
        <f t="shared" si="15"/>
        <v>-349825.97231087403</v>
      </c>
      <c r="P55" s="1112">
        <f t="shared" si="15"/>
        <v>-341702.13037349726</v>
      </c>
      <c r="Q55" s="1059">
        <f t="shared" si="15"/>
        <v>-328544.4390947147</v>
      </c>
      <c r="R55" s="1059">
        <f t="shared" si="15"/>
        <v>-320352.75743560382</v>
      </c>
      <c r="S55" s="1059">
        <f t="shared" si="15"/>
        <v>-312126.94376958004</v>
      </c>
      <c r="T55" s="1059">
        <f t="shared" si="15"/>
        <v>-303866.85587994783</v>
      </c>
      <c r="U55" s="1059">
        <f t="shared" si="15"/>
        <v>-295572.35095744219</v>
      </c>
      <c r="V55" s="1059">
        <f t="shared" si="15"/>
        <v>-287243.28559775936</v>
      </c>
      <c r="W55" s="1059">
        <f t="shared" si="15"/>
        <v>-278879.51579907793</v>
      </c>
      <c r="X55" s="1059">
        <f t="shared" si="15"/>
        <v>-270480.89695956861</v>
      </c>
      <c r="Y55" s="1059">
        <f t="shared" si="15"/>
        <v>-262047.28387489473</v>
      </c>
      <c r="Z55" s="1059">
        <f t="shared" si="15"/>
        <v>-253578.53073570129</v>
      </c>
      <c r="AA55" s="1102">
        <f t="shared" si="15"/>
        <v>-245074.49112509459</v>
      </c>
      <c r="AB55" s="1059">
        <f t="shared" si="15"/>
        <v>-236535.01801611035</v>
      </c>
      <c r="AC55" s="1059">
        <f t="shared" si="15"/>
        <v>-227959.96376917203</v>
      </c>
      <c r="AD55" s="1059">
        <f t="shared" si="15"/>
        <v>-219349.18012953812</v>
      </c>
      <c r="AE55" s="1059">
        <f t="shared" si="15"/>
        <v>-210702.51822473903</v>
      </c>
      <c r="AF55" s="1059">
        <f t="shared" si="15"/>
        <v>-202019.82856200333</v>
      </c>
      <c r="AG55" s="1059">
        <f t="shared" si="15"/>
        <v>-193300.96102567285</v>
      </c>
      <c r="AH55" s="1059">
        <f t="shared" si="15"/>
        <v>-184545.76487460773</v>
      </c>
      <c r="AI55" s="1059">
        <f t="shared" si="15"/>
        <v>-175754.08873957978</v>
      </c>
      <c r="AJ55" s="1059">
        <f t="shared" si="15"/>
        <v>-166925.78062065592</v>
      </c>
      <c r="AK55" s="1059">
        <f t="shared" si="15"/>
        <v>-158060.68788456981</v>
      </c>
      <c r="AL55" s="1059">
        <f t="shared" si="15"/>
        <v>-149158.65726208338</v>
      </c>
      <c r="AM55" s="1059">
        <f t="shared" si="15"/>
        <v>-140219.5348453366</v>
      </c>
    </row>
    <row r="56" spans="1:71" s="193" customFormat="1" ht="16.2" thickTop="1">
      <c r="B56" s="18"/>
      <c r="D56" s="72"/>
      <c r="E56" s="72"/>
      <c r="F56" s="72"/>
      <c r="G56" s="72"/>
      <c r="H56" s="72"/>
      <c r="I56" s="72"/>
      <c r="J56" s="72"/>
      <c r="K56" s="72"/>
      <c r="L56" s="72"/>
      <c r="M56" s="72"/>
      <c r="N56" s="72"/>
      <c r="O56" s="71"/>
      <c r="P56" s="1110"/>
      <c r="Q56" s="71"/>
      <c r="R56" s="71"/>
      <c r="S56" s="71"/>
      <c r="T56" s="71"/>
      <c r="U56" s="71"/>
      <c r="V56" s="71"/>
      <c r="W56" s="71"/>
      <c r="X56" s="71"/>
      <c r="Y56" s="71"/>
      <c r="Z56" s="71"/>
      <c r="AA56" s="1058"/>
      <c r="AB56" s="72"/>
      <c r="AC56" s="72"/>
      <c r="AD56" s="72"/>
      <c r="AE56" s="72"/>
      <c r="AF56" s="72"/>
      <c r="AG56" s="72"/>
      <c r="AH56" s="72"/>
      <c r="AI56" s="72"/>
      <c r="AJ56" s="72"/>
      <c r="AK56" s="72"/>
      <c r="AL56" s="72"/>
      <c r="AM56" s="72"/>
      <c r="AN56" s="72"/>
      <c r="AO56" s="72"/>
      <c r="AP56" s="72"/>
      <c r="AQ56" s="72"/>
      <c r="AR56" s="72"/>
      <c r="AS56" s="72"/>
      <c r="AT56" s="72"/>
      <c r="AU56" s="72"/>
      <c r="AV56" s="72"/>
      <c r="AW56" s="72"/>
    </row>
    <row r="57" spans="1:71" s="656" customFormat="1">
      <c r="B57" s="655" t="s">
        <v>48</v>
      </c>
      <c r="D57" s="656">
        <f>D33+D50+D55</f>
        <v>182605.07142857142</v>
      </c>
      <c r="E57" s="656">
        <f t="shared" ref="E57:AM57" si="16">E33+E50+E55</f>
        <v>167144.77737167897</v>
      </c>
      <c r="F57" s="656">
        <f t="shared" si="16"/>
        <v>155171.44547313312</v>
      </c>
      <c r="G57" s="656">
        <f t="shared" si="16"/>
        <v>144911.20390859392</v>
      </c>
      <c r="H57" s="656">
        <f t="shared" si="16"/>
        <v>138185.58138778625</v>
      </c>
      <c r="I57" s="656">
        <f t="shared" si="16"/>
        <v>134321.20715672552</v>
      </c>
      <c r="J57" s="656">
        <f t="shared" si="16"/>
        <v>133953.01099995244</v>
      </c>
      <c r="K57" s="656">
        <f t="shared" si="16"/>
        <v>133552.03824277659</v>
      </c>
      <c r="L57" s="656">
        <f t="shared" si="16"/>
        <v>134960.28975352965</v>
      </c>
      <c r="M57" s="656">
        <f t="shared" si="16"/>
        <v>139476.61194582796</v>
      </c>
      <c r="N57" s="656">
        <f t="shared" si="16"/>
        <v>146713.36878084461</v>
      </c>
      <c r="O57" s="1097">
        <f t="shared" si="16"/>
        <v>157445.32376959082</v>
      </c>
      <c r="P57" s="1116">
        <f>P33+P50+P55</f>
        <v>175878.28426092141</v>
      </c>
      <c r="Q57" s="1097">
        <f t="shared" si="16"/>
        <v>206136.29958669248</v>
      </c>
      <c r="R57" s="1097">
        <f t="shared" si="16"/>
        <v>252056.37492121448</v>
      </c>
      <c r="S57" s="1097">
        <f t="shared" si="16"/>
        <v>301177.84533172596</v>
      </c>
      <c r="T57" s="1097">
        <f t="shared" si="16"/>
        <v>350180.31517877191</v>
      </c>
      <c r="U57" s="1097">
        <f t="shared" si="16"/>
        <v>406382.51494734269</v>
      </c>
      <c r="V57" s="1097">
        <f t="shared" si="16"/>
        <v>469934.72845586104</v>
      </c>
      <c r="W57" s="1097">
        <f t="shared" si="16"/>
        <v>531882.48467407702</v>
      </c>
      <c r="X57" s="1097">
        <f t="shared" ca="1" si="16"/>
        <v>607209.38932484319</v>
      </c>
      <c r="Y57" s="1097">
        <f t="shared" ca="1" si="16"/>
        <v>692148.47623589972</v>
      </c>
      <c r="Z57" s="1097">
        <f t="shared" ca="1" si="16"/>
        <v>787713.18419166456</v>
      </c>
      <c r="AA57" s="1104">
        <f t="shared" ca="1" si="16"/>
        <v>882629.74306003156</v>
      </c>
      <c r="AB57" s="656">
        <f ca="1">AB33+AB50+AB55</f>
        <v>968591.98698489345</v>
      </c>
      <c r="AC57" s="656">
        <f t="shared" ca="1" si="16"/>
        <v>1051536.2384208099</v>
      </c>
      <c r="AD57" s="656">
        <f t="shared" ca="1" si="16"/>
        <v>1165885.3260619722</v>
      </c>
      <c r="AE57" s="656">
        <f t="shared" ca="1" si="16"/>
        <v>1289472.4167883194</v>
      </c>
      <c r="AF57" s="656">
        <f t="shared" ca="1" si="16"/>
        <v>1438679.022477373</v>
      </c>
      <c r="AG57" s="656">
        <f t="shared" ca="1" si="16"/>
        <v>1629698.7896610815</v>
      </c>
      <c r="AH57" s="656">
        <f t="shared" ca="1" si="16"/>
        <v>1848986.6967826725</v>
      </c>
      <c r="AI57" s="656">
        <f t="shared" ca="1" si="16"/>
        <v>2082270.300623263</v>
      </c>
      <c r="AJ57" s="656">
        <f t="shared" ca="1" si="16"/>
        <v>2325551.4823247246</v>
      </c>
      <c r="AK57" s="656">
        <f t="shared" ca="1" si="16"/>
        <v>2608925.4048150592</v>
      </c>
      <c r="AL57" s="656">
        <f t="shared" ca="1" si="16"/>
        <v>2910423.0777811501</v>
      </c>
      <c r="AM57" s="656">
        <f t="shared" ca="1" si="16"/>
        <v>3231022.9358020173</v>
      </c>
      <c r="AN57" s="361"/>
      <c r="AO57" s="361"/>
      <c r="AP57" s="361"/>
      <c r="AQ57" s="361"/>
      <c r="AR57" s="361"/>
      <c r="AS57" s="361"/>
      <c r="AT57" s="361"/>
      <c r="AU57" s="361"/>
      <c r="AV57" s="361"/>
      <c r="AW57" s="361"/>
      <c r="AX57" s="361"/>
      <c r="AY57" s="361"/>
      <c r="AZ57" s="361"/>
      <c r="BA57" s="361"/>
      <c r="BB57" s="361"/>
      <c r="BC57" s="361"/>
      <c r="BD57" s="361"/>
      <c r="BE57" s="361"/>
      <c r="BF57" s="361"/>
      <c r="BG57" s="361"/>
      <c r="BH57" s="361"/>
      <c r="BI57" s="361"/>
      <c r="BJ57" s="361"/>
      <c r="BK57" s="361"/>
      <c r="BL57" s="361"/>
      <c r="BM57" s="361"/>
      <c r="BN57" s="361"/>
      <c r="BO57" s="361"/>
      <c r="BP57" s="361"/>
      <c r="BQ57" s="361"/>
      <c r="BR57" s="361"/>
      <c r="BS57" s="361"/>
    </row>
    <row r="58" spans="1:71" s="203" customFormat="1">
      <c r="B58" s="204"/>
      <c r="C58" s="192"/>
      <c r="D58" s="72"/>
      <c r="E58" s="72"/>
      <c r="F58" s="72"/>
      <c r="G58" s="72"/>
      <c r="H58" s="72"/>
      <c r="I58" s="72"/>
      <c r="J58" s="72"/>
      <c r="K58" s="72"/>
      <c r="L58" s="72"/>
      <c r="M58" s="72"/>
      <c r="N58" s="72"/>
      <c r="O58" s="71"/>
      <c r="P58" s="1110"/>
      <c r="Q58" s="71"/>
      <c r="R58" s="71"/>
      <c r="S58" s="71"/>
      <c r="T58" s="71"/>
      <c r="U58" s="71"/>
      <c r="V58" s="71"/>
      <c r="W58" s="71"/>
      <c r="X58" s="71"/>
      <c r="Y58" s="71"/>
      <c r="Z58" s="71"/>
      <c r="AA58" s="1058"/>
      <c r="AB58" s="72"/>
      <c r="AC58" s="72"/>
      <c r="AD58" s="72"/>
      <c r="AE58" s="72"/>
      <c r="AF58" s="72"/>
      <c r="AG58" s="72"/>
      <c r="AH58" s="72"/>
      <c r="AI58" s="72"/>
      <c r="AJ58" s="72"/>
      <c r="AK58" s="72"/>
      <c r="AL58" s="72"/>
      <c r="AM58" s="72"/>
      <c r="AN58" s="72"/>
      <c r="AO58" s="72"/>
      <c r="AP58" s="72"/>
      <c r="AQ58" s="72"/>
      <c r="AR58" s="72"/>
      <c r="AS58" s="72"/>
      <c r="AT58" s="72"/>
      <c r="AU58" s="72"/>
      <c r="AV58" s="72"/>
      <c r="AW58" s="72"/>
      <c r="AX58" s="193"/>
      <c r="AY58" s="193"/>
      <c r="AZ58" s="193"/>
      <c r="BA58" s="193"/>
      <c r="BB58" s="193"/>
      <c r="BC58" s="193"/>
      <c r="BD58" s="193"/>
      <c r="BE58" s="193"/>
      <c r="BF58" s="193"/>
      <c r="BG58" s="193"/>
      <c r="BH58" s="193"/>
      <c r="BI58" s="192"/>
      <c r="BJ58" s="192"/>
      <c r="BK58" s="192"/>
      <c r="BL58" s="192"/>
    </row>
    <row r="59" spans="1:71" ht="16.2" thickBot="1">
      <c r="D59" s="72"/>
      <c r="E59" s="72"/>
      <c r="F59" s="72"/>
      <c r="G59" s="72"/>
      <c r="H59" s="72"/>
      <c r="I59" s="72"/>
      <c r="J59" s="72"/>
      <c r="K59" s="72"/>
      <c r="L59" s="72"/>
      <c r="M59" s="72"/>
      <c r="N59" s="72"/>
      <c r="O59" s="71"/>
      <c r="P59" s="1110"/>
      <c r="Q59" s="71"/>
      <c r="R59" s="71"/>
      <c r="S59" s="71"/>
      <c r="T59" s="71"/>
      <c r="U59" s="71"/>
      <c r="V59" s="71"/>
      <c r="W59" s="71"/>
      <c r="X59" s="71"/>
      <c r="Y59" s="71"/>
      <c r="Z59" s="71"/>
      <c r="AA59" s="1058"/>
      <c r="AB59" s="72"/>
      <c r="AC59" s="72"/>
      <c r="AD59" s="72"/>
      <c r="AE59" s="72"/>
      <c r="AF59" s="72"/>
      <c r="AG59" s="72"/>
      <c r="AH59" s="72"/>
      <c r="AI59" s="72"/>
      <c r="AJ59" s="72"/>
      <c r="AK59" s="72"/>
      <c r="AL59" s="72"/>
      <c r="AM59" s="72"/>
      <c r="AN59" s="72"/>
      <c r="AO59" s="72"/>
      <c r="AP59" s="72"/>
      <c r="AQ59" s="72"/>
      <c r="AR59" s="72"/>
      <c r="AS59" s="72"/>
      <c r="AT59" s="72"/>
      <c r="AU59" s="72"/>
      <c r="AV59" s="72"/>
      <c r="AW59" s="72"/>
      <c r="AX59" s="72"/>
      <c r="AY59" s="72"/>
      <c r="AZ59" s="72"/>
      <c r="BA59" s="72"/>
      <c r="BB59" s="72"/>
      <c r="BC59" s="72"/>
      <c r="BD59" s="72"/>
      <c r="BE59" s="72"/>
      <c r="BF59" s="72"/>
      <c r="BG59" s="72"/>
      <c r="BH59" s="72"/>
    </row>
    <row r="60" spans="1:71" s="168" customFormat="1" ht="16.2" thickTop="1">
      <c r="A60" s="1078"/>
      <c r="B60" s="1079" t="s">
        <v>100</v>
      </c>
      <c r="C60" s="1061"/>
      <c r="D60" s="72"/>
      <c r="E60" s="72"/>
      <c r="F60" s="72"/>
      <c r="G60" s="72"/>
      <c r="H60" s="72"/>
      <c r="I60" s="72"/>
      <c r="J60" s="72"/>
      <c r="K60" s="72"/>
      <c r="L60" s="72"/>
      <c r="M60" s="72"/>
      <c r="N60" s="72"/>
      <c r="O60" s="71"/>
      <c r="P60" s="1110"/>
      <c r="Q60" s="71"/>
      <c r="R60" s="71"/>
      <c r="S60" s="71"/>
      <c r="T60" s="71"/>
      <c r="U60" s="71"/>
      <c r="V60" s="71"/>
      <c r="W60" s="71"/>
      <c r="X60" s="71"/>
      <c r="Y60" s="71"/>
      <c r="Z60" s="71"/>
      <c r="AA60" s="1058"/>
      <c r="AB60" s="72"/>
      <c r="AC60" s="72"/>
      <c r="AD60" s="72"/>
      <c r="AE60" s="72"/>
      <c r="AF60" s="72"/>
      <c r="AG60" s="72"/>
      <c r="AH60" s="72"/>
      <c r="AI60" s="72"/>
      <c r="AJ60" s="72"/>
      <c r="AK60" s="72"/>
      <c r="AL60" s="72"/>
      <c r="AM60" s="72"/>
      <c r="AN60" s="72"/>
      <c r="AO60" s="72"/>
      <c r="AP60" s="72"/>
      <c r="AQ60" s="72"/>
      <c r="AR60" s="72"/>
      <c r="AS60" s="72"/>
      <c r="AT60" s="72"/>
      <c r="AU60" s="72"/>
      <c r="AV60" s="72"/>
      <c r="AW60" s="72"/>
      <c r="AX60" s="169"/>
      <c r="AY60" s="169"/>
      <c r="AZ60" s="169"/>
      <c r="BA60" s="169"/>
      <c r="BB60" s="169"/>
      <c r="BC60" s="169"/>
      <c r="BD60" s="169"/>
      <c r="BE60" s="169"/>
      <c r="BF60" s="169"/>
      <c r="BG60" s="169"/>
      <c r="BH60" s="169"/>
    </row>
    <row r="61" spans="1:71" s="193" customFormat="1">
      <c r="A61" s="1080"/>
      <c r="B61" s="18" t="s">
        <v>99</v>
      </c>
      <c r="C61" s="1067"/>
      <c r="D61" s="999">
        <f>D148</f>
        <v>200000</v>
      </c>
      <c r="E61" s="999">
        <f t="shared" ref="E61:AM61" si="17">E148</f>
        <v>200000</v>
      </c>
      <c r="F61" s="999">
        <f t="shared" si="17"/>
        <v>200000</v>
      </c>
      <c r="G61" s="999">
        <f t="shared" si="17"/>
        <v>200000</v>
      </c>
      <c r="H61" s="999">
        <f t="shared" si="17"/>
        <v>200000</v>
      </c>
      <c r="I61" s="999">
        <f t="shared" si="17"/>
        <v>200000</v>
      </c>
      <c r="J61" s="999">
        <f t="shared" si="17"/>
        <v>200000</v>
      </c>
      <c r="K61" s="999">
        <f t="shared" si="17"/>
        <v>200000</v>
      </c>
      <c r="L61" s="999">
        <f t="shared" si="17"/>
        <v>200000</v>
      </c>
      <c r="M61" s="999">
        <f t="shared" si="17"/>
        <v>200000</v>
      </c>
      <c r="N61" s="999">
        <f t="shared" si="17"/>
        <v>200000</v>
      </c>
      <c r="O61" s="1002">
        <f t="shared" si="17"/>
        <v>200000</v>
      </c>
      <c r="P61" s="1114">
        <f t="shared" si="17"/>
        <v>200000</v>
      </c>
      <c r="Q61" s="1002">
        <f t="shared" si="17"/>
        <v>200000</v>
      </c>
      <c r="R61" s="1002">
        <f t="shared" si="17"/>
        <v>200000</v>
      </c>
      <c r="S61" s="1002">
        <f t="shared" si="17"/>
        <v>200000</v>
      </c>
      <c r="T61" s="1002">
        <f t="shared" si="17"/>
        <v>200000</v>
      </c>
      <c r="U61" s="1002">
        <f t="shared" si="17"/>
        <v>200000</v>
      </c>
      <c r="V61" s="1002">
        <f t="shared" si="17"/>
        <v>200000</v>
      </c>
      <c r="W61" s="1002">
        <f t="shared" si="17"/>
        <v>200000</v>
      </c>
      <c r="X61" s="1002">
        <f t="shared" si="17"/>
        <v>200000</v>
      </c>
      <c r="Y61" s="1002">
        <f t="shared" si="17"/>
        <v>200000</v>
      </c>
      <c r="Z61" s="1002">
        <f t="shared" si="17"/>
        <v>200000</v>
      </c>
      <c r="AA61" s="1047">
        <f t="shared" si="17"/>
        <v>200000</v>
      </c>
      <c r="AB61" s="999">
        <f t="shared" si="17"/>
        <v>200000</v>
      </c>
      <c r="AC61" s="999">
        <f t="shared" si="17"/>
        <v>200000</v>
      </c>
      <c r="AD61" s="999">
        <f t="shared" si="17"/>
        <v>200000</v>
      </c>
      <c r="AE61" s="999">
        <f t="shared" si="17"/>
        <v>200000</v>
      </c>
      <c r="AF61" s="999">
        <f t="shared" si="17"/>
        <v>200000</v>
      </c>
      <c r="AG61" s="999">
        <f t="shared" si="17"/>
        <v>200000</v>
      </c>
      <c r="AH61" s="999">
        <f t="shared" si="17"/>
        <v>200000</v>
      </c>
      <c r="AI61" s="999">
        <f t="shared" si="17"/>
        <v>200000</v>
      </c>
      <c r="AJ61" s="999">
        <f t="shared" si="17"/>
        <v>200000</v>
      </c>
      <c r="AK61" s="999">
        <f t="shared" si="17"/>
        <v>200000</v>
      </c>
      <c r="AL61" s="999">
        <f t="shared" si="17"/>
        <v>200000</v>
      </c>
      <c r="AM61" s="999">
        <f t="shared" si="17"/>
        <v>200000</v>
      </c>
      <c r="AN61" s="72"/>
      <c r="AO61" s="72"/>
      <c r="AP61" s="72"/>
      <c r="AQ61" s="72"/>
      <c r="AR61" s="72"/>
      <c r="AS61" s="72"/>
      <c r="AT61" s="72"/>
      <c r="AU61" s="72"/>
      <c r="AV61" s="72"/>
      <c r="AW61" s="72"/>
      <c r="AX61" s="72"/>
      <c r="AY61" s="72"/>
      <c r="AZ61" s="72"/>
      <c r="BA61" s="72"/>
    </row>
    <row r="62" spans="1:71" s="193" customFormat="1">
      <c r="A62" s="1080"/>
      <c r="B62" s="18" t="s">
        <v>98</v>
      </c>
      <c r="C62" s="1067"/>
      <c r="D62" s="999">
        <f>'Profit &amp; Loss Ecommerce'!$D$78</f>
        <v>0</v>
      </c>
      <c r="E62" s="999">
        <f>'Profit &amp; Loss Ecommerce'!$D$78</f>
        <v>0</v>
      </c>
      <c r="F62" s="999">
        <f>'Profit &amp; Loss Ecommerce'!$D$78</f>
        <v>0</v>
      </c>
      <c r="G62" s="999">
        <f>'Profit &amp; Loss Ecommerce'!$D$78</f>
        <v>0</v>
      </c>
      <c r="H62" s="999">
        <f>'Profit &amp; Loss Ecommerce'!$D$78</f>
        <v>0</v>
      </c>
      <c r="I62" s="999">
        <f>'Profit &amp; Loss Ecommerce'!$D$78</f>
        <v>0</v>
      </c>
      <c r="J62" s="999">
        <f>'Profit &amp; Loss Ecommerce'!$D$78</f>
        <v>0</v>
      </c>
      <c r="K62" s="999">
        <f>'Profit &amp; Loss Ecommerce'!$D$78</f>
        <v>0</v>
      </c>
      <c r="L62" s="999">
        <f>'Profit &amp; Loss Ecommerce'!$D$78</f>
        <v>0</v>
      </c>
      <c r="M62" s="999">
        <f>'Profit &amp; Loss Ecommerce'!$D$78</f>
        <v>0</v>
      </c>
      <c r="N62" s="999">
        <f>'Profit &amp; Loss Ecommerce'!$D$78</f>
        <v>0</v>
      </c>
      <c r="O62" s="1002">
        <f>'Profit &amp; Loss Ecommerce'!$D$78</f>
        <v>0</v>
      </c>
      <c r="P62" s="1114">
        <f>'Profit &amp; Loss Ecommerce'!$D$78</f>
        <v>0</v>
      </c>
      <c r="Q62" s="1002">
        <f>'Profit &amp; Loss Ecommerce'!$D$78</f>
        <v>0</v>
      </c>
      <c r="R62" s="1002">
        <f>'Profit &amp; Loss Ecommerce'!$D$78</f>
        <v>0</v>
      </c>
      <c r="S62" s="1002">
        <f>'Profit &amp; Loss Ecommerce'!$D$78</f>
        <v>0</v>
      </c>
      <c r="T62" s="1002">
        <f>'Profit &amp; Loss Ecommerce'!$D$78</f>
        <v>0</v>
      </c>
      <c r="U62" s="1002">
        <f>'Profit &amp; Loss Ecommerce'!$D$78</f>
        <v>0</v>
      </c>
      <c r="V62" s="1002">
        <f>'Profit &amp; Loss Ecommerce'!$D$78</f>
        <v>0</v>
      </c>
      <c r="W62" s="1002">
        <f>'Profit &amp; Loss Ecommerce'!$D$78</f>
        <v>0</v>
      </c>
      <c r="X62" s="1002">
        <f>'Profit &amp; Loss Ecommerce'!$D$78</f>
        <v>0</v>
      </c>
      <c r="Y62" s="1002">
        <f>'Profit &amp; Loss Ecommerce'!$D$78</f>
        <v>0</v>
      </c>
      <c r="Z62" s="1002">
        <f>'Profit &amp; Loss Ecommerce'!$D$78</f>
        <v>0</v>
      </c>
      <c r="AA62" s="1047">
        <f>'Profit &amp; Loss Ecommerce'!$D$78</f>
        <v>0</v>
      </c>
      <c r="AB62" s="999">
        <f>'Profit &amp; Loss Ecommerce'!$D$78</f>
        <v>0</v>
      </c>
      <c r="AC62" s="999">
        <f>'Profit &amp; Loss Ecommerce'!$D$78</f>
        <v>0</v>
      </c>
      <c r="AD62" s="999">
        <f>'Profit &amp; Loss Ecommerce'!$D$78</f>
        <v>0</v>
      </c>
      <c r="AE62" s="999">
        <f>'Profit &amp; Loss Ecommerce'!$D$78</f>
        <v>0</v>
      </c>
      <c r="AF62" s="999">
        <f>'Profit &amp; Loss Ecommerce'!$D$78</f>
        <v>0</v>
      </c>
      <c r="AG62" s="999">
        <f>'Profit &amp; Loss Ecommerce'!$D$78</f>
        <v>0</v>
      </c>
      <c r="AH62" s="999">
        <f>'Profit &amp; Loss Ecommerce'!$D$78</f>
        <v>0</v>
      </c>
      <c r="AI62" s="999">
        <f>'Profit &amp; Loss Ecommerce'!$D$78</f>
        <v>0</v>
      </c>
      <c r="AJ62" s="999">
        <f>'Profit &amp; Loss Ecommerce'!$D$78</f>
        <v>0</v>
      </c>
      <c r="AK62" s="999">
        <f>'Profit &amp; Loss Ecommerce'!$D$78</f>
        <v>0</v>
      </c>
      <c r="AL62" s="999">
        <f>'Profit &amp; Loss Ecommerce'!$D$78</f>
        <v>0</v>
      </c>
      <c r="AM62" s="999">
        <f>'Profit &amp; Loss Ecommerce'!$D$78</f>
        <v>0</v>
      </c>
      <c r="AN62" s="72"/>
      <c r="AO62" s="72"/>
      <c r="AP62" s="72"/>
      <c r="AQ62" s="72"/>
      <c r="AR62" s="72"/>
      <c r="AS62" s="72"/>
      <c r="AT62" s="72"/>
      <c r="AU62" s="72"/>
      <c r="AV62" s="72"/>
      <c r="AW62" s="72"/>
      <c r="AX62" s="72"/>
      <c r="AY62" s="72"/>
      <c r="AZ62" s="72"/>
      <c r="BA62" s="72"/>
    </row>
    <row r="63" spans="1:71" s="192" customFormat="1" ht="16.2" thickBot="1">
      <c r="A63" s="1081"/>
      <c r="B63" s="1082" t="s">
        <v>97</v>
      </c>
      <c r="C63" s="1083"/>
      <c r="D63" s="999">
        <f>D143</f>
        <v>-17394.928571428569</v>
      </c>
      <c r="E63" s="999">
        <f t="shared" ref="E63:AM63" si="18">E143</f>
        <v>-32855.222628321004</v>
      </c>
      <c r="F63" s="999">
        <f t="shared" si="18"/>
        <v>-44828.554526866741</v>
      </c>
      <c r="G63" s="999">
        <f t="shared" si="18"/>
        <v>-55088.796091405995</v>
      </c>
      <c r="H63" s="999">
        <f t="shared" si="18"/>
        <v>-61814.418612213747</v>
      </c>
      <c r="I63" s="999">
        <f t="shared" si="18"/>
        <v>-65678.792843274437</v>
      </c>
      <c r="J63" s="999">
        <f t="shared" si="18"/>
        <v>-66046.98900004747</v>
      </c>
      <c r="K63" s="999">
        <f t="shared" si="18"/>
        <v>-66447.961757223296</v>
      </c>
      <c r="L63" s="999">
        <f t="shared" si="18"/>
        <v>-65039.710246470277</v>
      </c>
      <c r="M63" s="999">
        <f t="shared" si="18"/>
        <v>-60523.388054172035</v>
      </c>
      <c r="N63" s="999">
        <f t="shared" si="18"/>
        <v>-53286.631219155461</v>
      </c>
      <c r="O63" s="1002">
        <f t="shared" si="18"/>
        <v>-42554.676230409226</v>
      </c>
      <c r="P63" s="1114">
        <f t="shared" si="18"/>
        <v>-24121.715739078529</v>
      </c>
      <c r="Q63" s="1002">
        <f t="shared" si="18"/>
        <v>6136.2995866926613</v>
      </c>
      <c r="R63" s="1002">
        <f t="shared" si="18"/>
        <v>52056.374921214505</v>
      </c>
      <c r="S63" s="1002">
        <f t="shared" si="18"/>
        <v>101177.84533172593</v>
      </c>
      <c r="T63" s="1002">
        <f t="shared" si="18"/>
        <v>150180.31517877188</v>
      </c>
      <c r="U63" s="1002">
        <f t="shared" si="18"/>
        <v>206382.51494734257</v>
      </c>
      <c r="V63" s="1002">
        <f t="shared" si="18"/>
        <v>269934.72845586098</v>
      </c>
      <c r="W63" s="1002">
        <f t="shared" si="18"/>
        <v>331882.4846740769</v>
      </c>
      <c r="X63" s="1002">
        <f t="shared" si="18"/>
        <v>407209.38932484324</v>
      </c>
      <c r="Y63" s="1002">
        <f t="shared" si="18"/>
        <v>492148.47623589978</v>
      </c>
      <c r="Z63" s="1002">
        <f t="shared" si="18"/>
        <v>587713.18419166445</v>
      </c>
      <c r="AA63" s="1047">
        <f t="shared" si="18"/>
        <v>682629.74306003179</v>
      </c>
      <c r="AB63" s="999">
        <f>AB143</f>
        <v>768591.98698489368</v>
      </c>
      <c r="AC63" s="999">
        <f t="shared" si="18"/>
        <v>851536.23842080985</v>
      </c>
      <c r="AD63" s="999">
        <f t="shared" si="18"/>
        <v>965885.32606197218</v>
      </c>
      <c r="AE63" s="999">
        <f t="shared" si="18"/>
        <v>1089472.4167883191</v>
      </c>
      <c r="AF63" s="999">
        <f t="shared" si="18"/>
        <v>1238679.0224773725</v>
      </c>
      <c r="AG63" s="999">
        <f t="shared" si="18"/>
        <v>1429698.789661081</v>
      </c>
      <c r="AH63" s="999">
        <f t="shared" si="18"/>
        <v>1648986.6967826723</v>
      </c>
      <c r="AI63" s="999">
        <f t="shared" si="18"/>
        <v>1882270.3006232628</v>
      </c>
      <c r="AJ63" s="999">
        <f t="shared" si="18"/>
        <v>2125551.4823247241</v>
      </c>
      <c r="AK63" s="999">
        <f t="shared" si="18"/>
        <v>2408925.4048150587</v>
      </c>
      <c r="AL63" s="999">
        <f t="shared" si="18"/>
        <v>2710423.0777811497</v>
      </c>
      <c r="AM63" s="999">
        <f t="shared" si="18"/>
        <v>3031022.9358020173</v>
      </c>
      <c r="AN63" s="72"/>
      <c r="AO63" s="72"/>
      <c r="AP63" s="72"/>
      <c r="AQ63" s="72"/>
      <c r="AR63" s="72"/>
      <c r="AS63" s="72"/>
      <c r="AT63" s="72"/>
      <c r="AU63" s="72"/>
      <c r="AV63" s="72"/>
      <c r="AW63" s="72"/>
      <c r="AX63" s="72"/>
      <c r="AY63" s="72"/>
      <c r="AZ63" s="72"/>
      <c r="BA63" s="72"/>
      <c r="BB63" s="193"/>
      <c r="BC63" s="193"/>
      <c r="BD63" s="193"/>
      <c r="BE63" s="193"/>
      <c r="BF63" s="193"/>
      <c r="BG63" s="193"/>
      <c r="BH63" s="193"/>
    </row>
    <row r="64" spans="1:71" s="205" customFormat="1" ht="16.2" thickTop="1">
      <c r="B64" s="206"/>
      <c r="C64" s="201"/>
      <c r="D64" s="72"/>
      <c r="E64" s="72"/>
      <c r="F64" s="72"/>
      <c r="G64" s="72"/>
      <c r="H64" s="72"/>
      <c r="I64" s="72"/>
      <c r="J64" s="72"/>
      <c r="K64" s="72"/>
      <c r="L64" s="72"/>
      <c r="M64" s="72"/>
      <c r="N64" s="72"/>
      <c r="O64" s="71"/>
      <c r="P64" s="1110"/>
      <c r="Q64" s="71"/>
      <c r="R64" s="71"/>
      <c r="S64" s="71"/>
      <c r="T64" s="71"/>
      <c r="U64" s="71"/>
      <c r="V64" s="71"/>
      <c r="W64" s="71"/>
      <c r="X64" s="71"/>
      <c r="Y64" s="71"/>
      <c r="Z64" s="71"/>
      <c r="AA64" s="1058"/>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193"/>
      <c r="BC64" s="193"/>
      <c r="BD64" s="193"/>
      <c r="BE64" s="193"/>
      <c r="BF64" s="193"/>
      <c r="BG64" s="193"/>
      <c r="BH64" s="193"/>
      <c r="BI64" s="201"/>
      <c r="BJ64" s="201"/>
      <c r="BK64" s="201"/>
      <c r="BL64" s="201"/>
    </row>
    <row r="65" spans="2:71" s="659" customFormat="1">
      <c r="B65" s="657" t="s">
        <v>49</v>
      </c>
      <c r="C65" s="658"/>
      <c r="D65" s="656">
        <f>SUM(D61:D64)</f>
        <v>182605.07142857142</v>
      </c>
      <c r="E65" s="656">
        <f t="shared" ref="E65:AM65" si="19">SUM(E61:E64)</f>
        <v>167144.777371679</v>
      </c>
      <c r="F65" s="656">
        <f>SUM(F61:F64)</f>
        <v>155171.44547313327</v>
      </c>
      <c r="G65" s="656">
        <f t="shared" si="19"/>
        <v>144911.20390859401</v>
      </c>
      <c r="H65" s="656">
        <f t="shared" si="19"/>
        <v>138185.58138778625</v>
      </c>
      <c r="I65" s="656">
        <f t="shared" si="19"/>
        <v>134321.20715672558</v>
      </c>
      <c r="J65" s="656">
        <f t="shared" si="19"/>
        <v>133953.01099995253</v>
      </c>
      <c r="K65" s="656">
        <f t="shared" si="19"/>
        <v>133552.0382427767</v>
      </c>
      <c r="L65" s="656">
        <f t="shared" si="19"/>
        <v>134960.28975352971</v>
      </c>
      <c r="M65" s="656">
        <f t="shared" si="19"/>
        <v>139476.61194582796</v>
      </c>
      <c r="N65" s="656">
        <f t="shared" si="19"/>
        <v>146713.36878084455</v>
      </c>
      <c r="O65" s="1097">
        <f t="shared" si="19"/>
        <v>157445.32376959076</v>
      </c>
      <c r="P65" s="1116">
        <f t="shared" si="19"/>
        <v>175878.28426092147</v>
      </c>
      <c r="Q65" s="1097">
        <f t="shared" si="19"/>
        <v>206136.29958669265</v>
      </c>
      <c r="R65" s="1097">
        <f t="shared" si="19"/>
        <v>252056.3749212145</v>
      </c>
      <c r="S65" s="1097">
        <f t="shared" si="19"/>
        <v>301177.8453317259</v>
      </c>
      <c r="T65" s="1097">
        <f t="shared" si="19"/>
        <v>350180.31517877185</v>
      </c>
      <c r="U65" s="1097">
        <f t="shared" si="19"/>
        <v>406382.51494734257</v>
      </c>
      <c r="V65" s="1097">
        <f t="shared" si="19"/>
        <v>469934.72845586098</v>
      </c>
      <c r="W65" s="1097">
        <f t="shared" si="19"/>
        <v>531882.4846740769</v>
      </c>
      <c r="X65" s="1097">
        <f t="shared" si="19"/>
        <v>607209.38932484319</v>
      </c>
      <c r="Y65" s="1097">
        <f t="shared" si="19"/>
        <v>692148.47623589984</v>
      </c>
      <c r="Z65" s="1097">
        <f t="shared" si="19"/>
        <v>787713.18419166445</v>
      </c>
      <c r="AA65" s="1104">
        <f t="shared" si="19"/>
        <v>882629.74306003179</v>
      </c>
      <c r="AB65" s="656">
        <f>SUM(AB61:AB64)</f>
        <v>968591.98698489368</v>
      </c>
      <c r="AC65" s="656">
        <f t="shared" si="19"/>
        <v>1051536.2384208099</v>
      </c>
      <c r="AD65" s="656">
        <f t="shared" si="19"/>
        <v>1165885.3260619722</v>
      </c>
      <c r="AE65" s="656">
        <f t="shared" si="19"/>
        <v>1289472.4167883191</v>
      </c>
      <c r="AF65" s="656">
        <f t="shared" si="19"/>
        <v>1438679.0224773725</v>
      </c>
      <c r="AG65" s="656">
        <f t="shared" si="19"/>
        <v>1629698.789661081</v>
      </c>
      <c r="AH65" s="656">
        <f t="shared" si="19"/>
        <v>1848986.6967826723</v>
      </c>
      <c r="AI65" s="656">
        <f t="shared" si="19"/>
        <v>2082270.3006232628</v>
      </c>
      <c r="AJ65" s="656">
        <f t="shared" si="19"/>
        <v>2325551.4823247241</v>
      </c>
      <c r="AK65" s="656">
        <f t="shared" si="19"/>
        <v>2608925.4048150587</v>
      </c>
      <c r="AL65" s="656">
        <f t="shared" si="19"/>
        <v>2910423.0777811497</v>
      </c>
      <c r="AM65" s="656">
        <f t="shared" si="19"/>
        <v>3231022.9358020173</v>
      </c>
      <c r="AN65" s="361"/>
      <c r="AO65" s="361"/>
      <c r="AP65" s="361"/>
      <c r="AQ65" s="361"/>
      <c r="AR65" s="361"/>
      <c r="AS65" s="361"/>
      <c r="AT65" s="361"/>
      <c r="AU65" s="361"/>
      <c r="AV65" s="361"/>
      <c r="AW65" s="361"/>
      <c r="AX65" s="361"/>
      <c r="AY65" s="361"/>
      <c r="AZ65" s="361"/>
      <c r="BA65" s="361"/>
      <c r="BB65" s="361"/>
      <c r="BC65" s="361"/>
      <c r="BD65" s="361"/>
      <c r="BE65" s="361"/>
      <c r="BF65" s="361"/>
      <c r="BG65" s="361"/>
      <c r="BH65" s="361"/>
      <c r="BI65" s="1122"/>
      <c r="BJ65" s="1122"/>
      <c r="BK65" s="1122"/>
      <c r="BL65" s="1122"/>
      <c r="BM65" s="1123"/>
      <c r="BN65" s="1123"/>
      <c r="BO65" s="1123"/>
      <c r="BP65" s="1123"/>
      <c r="BQ65" s="1123"/>
      <c r="BR65" s="1123"/>
      <c r="BS65" s="1123"/>
    </row>
    <row r="66" spans="2:71">
      <c r="D66" s="72"/>
      <c r="E66" s="72"/>
      <c r="F66" s="72"/>
      <c r="G66" s="72"/>
      <c r="H66" s="72"/>
      <c r="I66" s="72"/>
      <c r="J66" s="72"/>
      <c r="K66" s="72"/>
      <c r="L66" s="72"/>
      <c r="M66" s="72"/>
      <c r="N66" s="72"/>
      <c r="O66" s="71"/>
      <c r="P66" s="1110"/>
      <c r="Q66" s="71"/>
      <c r="R66" s="71"/>
      <c r="S66" s="71"/>
      <c r="T66" s="71"/>
      <c r="U66" s="71"/>
      <c r="V66" s="71"/>
      <c r="W66" s="71"/>
      <c r="X66" s="71"/>
      <c r="Y66" s="71"/>
      <c r="Z66" s="71"/>
      <c r="AA66" s="1058"/>
      <c r="AB66" s="72"/>
      <c r="AC66" s="72"/>
      <c r="AD66" s="72"/>
      <c r="AE66" s="72"/>
      <c r="AF66" s="72"/>
      <c r="AG66" s="72"/>
      <c r="AH66" s="72"/>
      <c r="AI66" s="72"/>
      <c r="AJ66" s="72"/>
      <c r="AK66" s="72"/>
      <c r="AL66" s="72"/>
      <c r="AM66" s="72"/>
      <c r="AN66" s="72"/>
      <c r="AO66" s="72"/>
      <c r="AP66" s="72"/>
      <c r="AQ66" s="72"/>
      <c r="AR66" s="72"/>
      <c r="AS66" s="72"/>
      <c r="AT66" s="72"/>
      <c r="AU66" s="72"/>
      <c r="AV66" s="72"/>
      <c r="AW66" s="72"/>
      <c r="AX66" s="72"/>
      <c r="AY66" s="72"/>
      <c r="AZ66" s="72"/>
      <c r="BA66" s="72"/>
      <c r="BB66" s="72"/>
      <c r="BC66" s="72"/>
      <c r="BD66" s="72"/>
      <c r="BE66" s="72"/>
      <c r="BF66" s="72"/>
      <c r="BG66" s="72"/>
      <c r="BH66" s="72"/>
    </row>
    <row r="67" spans="2:71" s="67" customFormat="1">
      <c r="B67" s="186" t="s">
        <v>23</v>
      </c>
      <c r="C67" s="187"/>
      <c r="D67" s="798">
        <f>D57-D65</f>
        <v>0</v>
      </c>
      <c r="E67" s="798">
        <f t="shared" ref="E67:AL67" si="20">E57-E65</f>
        <v>0</v>
      </c>
      <c r="F67" s="799">
        <f>F57-F65</f>
        <v>0</v>
      </c>
      <c r="G67" s="799">
        <f t="shared" si="20"/>
        <v>0</v>
      </c>
      <c r="H67" s="799">
        <f>H57-H65</f>
        <v>0</v>
      </c>
      <c r="I67" s="799">
        <f t="shared" si="20"/>
        <v>0</v>
      </c>
      <c r="J67" s="799">
        <f t="shared" si="20"/>
        <v>0</v>
      </c>
      <c r="K67" s="799">
        <f t="shared" si="20"/>
        <v>0</v>
      </c>
      <c r="L67" s="799">
        <f t="shared" si="20"/>
        <v>0</v>
      </c>
      <c r="M67" s="799">
        <f t="shared" si="20"/>
        <v>0</v>
      </c>
      <c r="N67" s="799">
        <f t="shared" si="20"/>
        <v>0</v>
      </c>
      <c r="O67" s="1098">
        <f t="shared" si="20"/>
        <v>0</v>
      </c>
      <c r="P67" s="1117">
        <f>P57-P65</f>
        <v>0</v>
      </c>
      <c r="Q67" s="800">
        <f t="shared" si="20"/>
        <v>0</v>
      </c>
      <c r="R67" s="800">
        <f t="shared" si="20"/>
        <v>0</v>
      </c>
      <c r="S67" s="800">
        <f t="shared" si="20"/>
        <v>0</v>
      </c>
      <c r="T67" s="800">
        <f t="shared" si="20"/>
        <v>0</v>
      </c>
      <c r="U67" s="800">
        <f t="shared" si="20"/>
        <v>0</v>
      </c>
      <c r="V67" s="800">
        <f t="shared" si="20"/>
        <v>0</v>
      </c>
      <c r="W67" s="800">
        <f t="shared" si="20"/>
        <v>0</v>
      </c>
      <c r="X67" s="800">
        <f t="shared" ca="1" si="20"/>
        <v>0</v>
      </c>
      <c r="Y67" s="800">
        <f t="shared" ca="1" si="20"/>
        <v>0</v>
      </c>
      <c r="Z67" s="800">
        <f t="shared" ca="1" si="20"/>
        <v>0</v>
      </c>
      <c r="AA67" s="1105">
        <f t="shared" ca="1" si="20"/>
        <v>0</v>
      </c>
      <c r="AB67" s="800">
        <f ca="1">AB57-AB65</f>
        <v>0</v>
      </c>
      <c r="AC67" s="799">
        <f t="shared" ca="1" si="20"/>
        <v>0</v>
      </c>
      <c r="AD67" s="799">
        <f t="shared" ca="1" si="20"/>
        <v>0</v>
      </c>
      <c r="AE67" s="799">
        <f t="shared" ca="1" si="20"/>
        <v>0</v>
      </c>
      <c r="AF67" s="799">
        <f t="shared" ca="1" si="20"/>
        <v>0</v>
      </c>
      <c r="AG67" s="799">
        <f t="shared" ca="1" si="20"/>
        <v>0</v>
      </c>
      <c r="AH67" s="799">
        <f t="shared" ca="1" si="20"/>
        <v>0</v>
      </c>
      <c r="AI67" s="799">
        <f t="shared" ca="1" si="20"/>
        <v>0</v>
      </c>
      <c r="AJ67" s="799">
        <f t="shared" ca="1" si="20"/>
        <v>0</v>
      </c>
      <c r="AK67" s="799">
        <f t="shared" ca="1" si="20"/>
        <v>0</v>
      </c>
      <c r="AL67" s="799">
        <f t="shared" ca="1" si="20"/>
        <v>0</v>
      </c>
      <c r="AM67" s="799">
        <f ca="1">AM57-AM65</f>
        <v>0</v>
      </c>
      <c r="AN67" s="1124"/>
      <c r="AO67" s="1124"/>
      <c r="AP67" s="72"/>
      <c r="AQ67" s="72"/>
      <c r="AR67" s="72"/>
      <c r="AS67" s="72"/>
      <c r="AT67" s="72"/>
      <c r="AU67" s="72"/>
      <c r="AV67" s="72"/>
      <c r="AW67" s="72"/>
      <c r="AX67" s="72"/>
      <c r="AY67" s="72"/>
      <c r="AZ67" s="72"/>
      <c r="BA67" s="72"/>
      <c r="BB67" s="72"/>
      <c r="BC67" s="72"/>
      <c r="BD67" s="72"/>
      <c r="BE67" s="72"/>
      <c r="BF67" s="72"/>
      <c r="BG67" s="72"/>
      <c r="BH67" s="72"/>
      <c r="BI67" s="72"/>
      <c r="BJ67" s="72"/>
      <c r="BK67" s="72"/>
      <c r="BL67" s="72"/>
      <c r="BM67" s="72"/>
      <c r="BN67" s="72"/>
      <c r="BO67" s="72"/>
      <c r="BP67" s="72"/>
      <c r="BQ67" s="72"/>
      <c r="BR67" s="72"/>
      <c r="BS67" s="72"/>
    </row>
    <row r="68" spans="2:71" ht="15" customHeight="1">
      <c r="D68" s="72"/>
      <c r="E68" s="72"/>
      <c r="F68" s="72"/>
      <c r="G68" s="72"/>
      <c r="H68" s="72"/>
      <c r="I68" s="72"/>
      <c r="J68" s="72"/>
      <c r="K68" s="72"/>
      <c r="L68" s="72"/>
      <c r="M68" s="72"/>
      <c r="N68" s="72"/>
      <c r="O68" s="71"/>
      <c r="P68" s="1110"/>
      <c r="Q68" s="71"/>
      <c r="R68" s="71"/>
      <c r="S68" s="71"/>
      <c r="T68" s="71"/>
      <c r="U68" s="71"/>
      <c r="V68" s="71"/>
      <c r="W68" s="71"/>
      <c r="X68" s="71"/>
      <c r="Y68" s="71"/>
      <c r="Z68" s="71"/>
      <c r="AA68" s="1058"/>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72"/>
    </row>
    <row r="69" spans="2:71" ht="4.2" hidden="1" customHeight="1">
      <c r="D69" s="72"/>
      <c r="E69" s="72"/>
      <c r="F69" s="72"/>
      <c r="G69" s="72"/>
      <c r="H69" s="72"/>
      <c r="I69" s="72"/>
      <c r="J69" s="72"/>
      <c r="K69" s="72"/>
      <c r="L69" s="72"/>
      <c r="M69" s="72"/>
      <c r="N69" s="72"/>
      <c r="O69" s="71"/>
      <c r="P69" s="1110"/>
      <c r="Q69" s="71"/>
      <c r="R69" s="71"/>
      <c r="S69" s="71"/>
      <c r="T69" s="71"/>
      <c r="U69" s="71"/>
      <c r="V69" s="71"/>
      <c r="W69" s="71"/>
      <c r="X69" s="71"/>
      <c r="Y69" s="71"/>
      <c r="Z69" s="71"/>
      <c r="AA69" s="1058"/>
      <c r="AB69" s="72"/>
      <c r="AC69" s="72"/>
      <c r="AD69" s="72"/>
      <c r="AE69" s="72"/>
      <c r="AF69" s="72"/>
      <c r="AG69" s="72"/>
      <c r="AH69" s="72"/>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2"/>
      <c r="BG69" s="72"/>
      <c r="BH69" s="72"/>
    </row>
    <row r="70" spans="2:71" ht="1.8" hidden="1" customHeight="1">
      <c r="D70" s="72"/>
      <c r="E70" s="72"/>
      <c r="F70" s="72"/>
      <c r="G70" s="72"/>
      <c r="H70" s="72"/>
      <c r="I70" s="72"/>
      <c r="J70" s="72"/>
      <c r="K70" s="72"/>
      <c r="L70" s="72"/>
      <c r="M70" s="72"/>
      <c r="N70" s="72"/>
      <c r="O70" s="71"/>
      <c r="P70" s="1110"/>
      <c r="Q70" s="71"/>
      <c r="R70" s="71"/>
      <c r="S70" s="71"/>
      <c r="T70" s="71"/>
      <c r="U70" s="71"/>
      <c r="V70" s="71"/>
      <c r="W70" s="71"/>
      <c r="X70" s="71"/>
      <c r="Y70" s="71"/>
      <c r="Z70" s="71"/>
      <c r="AA70" s="1058"/>
      <c r="AB70" s="72"/>
      <c r="AC70" s="72"/>
      <c r="AD70" s="72"/>
      <c r="AE70" s="72"/>
      <c r="AF70" s="72"/>
      <c r="AG70" s="72"/>
      <c r="AH70" s="72"/>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F70" s="72"/>
      <c r="BG70" s="72"/>
      <c r="BH70" s="72"/>
    </row>
    <row r="71" spans="2:71" hidden="1">
      <c r="D71" s="72"/>
      <c r="E71" s="72"/>
      <c r="F71" s="72"/>
      <c r="G71" s="72"/>
      <c r="H71" s="72"/>
      <c r="I71" s="72"/>
      <c r="J71" s="72"/>
      <c r="K71" s="72"/>
      <c r="L71" s="72"/>
      <c r="M71" s="72"/>
      <c r="N71" s="72"/>
      <c r="O71" s="71"/>
      <c r="P71" s="1110"/>
      <c r="Q71" s="71"/>
      <c r="R71" s="71"/>
      <c r="S71" s="71"/>
      <c r="T71" s="71"/>
      <c r="U71" s="71"/>
      <c r="V71" s="71"/>
      <c r="W71" s="71"/>
      <c r="X71" s="71"/>
      <c r="Y71" s="71"/>
      <c r="Z71" s="71"/>
      <c r="AA71" s="1058"/>
      <c r="AB71" s="72"/>
      <c r="AC71" s="72"/>
      <c r="AD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row>
    <row r="72" spans="2:71" hidden="1">
      <c r="D72" s="72"/>
      <c r="E72" s="72"/>
      <c r="F72" s="72"/>
      <c r="G72" s="72"/>
      <c r="H72" s="72"/>
      <c r="I72" s="72"/>
      <c r="J72" s="72"/>
      <c r="K72" s="72"/>
      <c r="L72" s="72"/>
      <c r="M72" s="72"/>
      <c r="N72" s="72"/>
      <c r="O72" s="71"/>
      <c r="P72" s="1110"/>
      <c r="Q72" s="71"/>
      <c r="R72" s="71"/>
      <c r="S72" s="71"/>
      <c r="T72" s="71"/>
      <c r="U72" s="71"/>
      <c r="V72" s="71"/>
      <c r="W72" s="71"/>
      <c r="X72" s="71"/>
      <c r="Y72" s="71"/>
      <c r="Z72" s="71"/>
      <c r="AA72" s="1058"/>
      <c r="AB72" s="72"/>
      <c r="AC72" s="72"/>
      <c r="AD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row>
    <row r="73" spans="2:71" hidden="1">
      <c r="D73" s="72"/>
      <c r="E73" s="72"/>
      <c r="F73" s="72"/>
      <c r="G73" s="72"/>
      <c r="H73" s="72"/>
      <c r="I73" s="72"/>
      <c r="J73" s="72"/>
      <c r="K73" s="72"/>
      <c r="L73" s="72"/>
      <c r="M73" s="72"/>
      <c r="N73" s="72"/>
      <c r="O73" s="71"/>
      <c r="P73" s="1110"/>
      <c r="Q73" s="71"/>
      <c r="R73" s="71"/>
      <c r="S73" s="71"/>
      <c r="T73" s="71"/>
      <c r="U73" s="71"/>
      <c r="V73" s="71"/>
      <c r="W73" s="71"/>
      <c r="X73" s="71"/>
      <c r="Y73" s="71"/>
      <c r="Z73" s="71"/>
      <c r="AA73" s="1058"/>
      <c r="AB73" s="72"/>
      <c r="AC73" s="72"/>
      <c r="AD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row>
    <row r="74" spans="2:71" hidden="1">
      <c r="D74" s="72"/>
      <c r="E74" s="72"/>
      <c r="F74" s="72"/>
      <c r="G74" s="72"/>
      <c r="H74" s="72"/>
      <c r="I74" s="72"/>
      <c r="J74" s="72"/>
      <c r="K74" s="72"/>
      <c r="L74" s="72"/>
      <c r="M74" s="72"/>
      <c r="N74" s="72"/>
      <c r="O74" s="71"/>
      <c r="P74" s="1110"/>
      <c r="Q74" s="71"/>
      <c r="R74" s="71"/>
      <c r="S74" s="71"/>
      <c r="T74" s="71"/>
      <c r="U74" s="71"/>
      <c r="V74" s="71"/>
      <c r="W74" s="71"/>
      <c r="X74" s="71"/>
      <c r="Y74" s="71"/>
      <c r="Z74" s="71"/>
      <c r="AA74" s="1058"/>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72"/>
      <c r="BC74" s="72"/>
      <c r="BD74" s="72"/>
      <c r="BE74" s="72"/>
      <c r="BF74" s="72"/>
      <c r="BG74" s="72"/>
      <c r="BH74" s="72"/>
    </row>
    <row r="75" spans="2:71" hidden="1">
      <c r="D75" s="72"/>
      <c r="E75" s="72"/>
      <c r="F75" s="72"/>
      <c r="G75" s="72"/>
      <c r="H75" s="72"/>
      <c r="I75" s="72"/>
      <c r="J75" s="72"/>
      <c r="K75" s="72"/>
      <c r="L75" s="72"/>
      <c r="M75" s="72"/>
      <c r="N75" s="72"/>
      <c r="O75" s="71"/>
      <c r="P75" s="1110"/>
      <c r="Q75" s="71"/>
      <c r="R75" s="71"/>
      <c r="S75" s="71"/>
      <c r="T75" s="71"/>
      <c r="U75" s="71"/>
      <c r="V75" s="71"/>
      <c r="W75" s="71"/>
      <c r="X75" s="71"/>
      <c r="Y75" s="71"/>
      <c r="Z75" s="71"/>
      <c r="AA75" s="1058"/>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72"/>
      <c r="BH75" s="72"/>
    </row>
    <row r="76" spans="2:71" hidden="1">
      <c r="D76" s="72"/>
      <c r="E76" s="72"/>
      <c r="F76" s="72"/>
      <c r="G76" s="72"/>
      <c r="H76" s="72"/>
      <c r="I76" s="72"/>
      <c r="J76" s="72"/>
      <c r="K76" s="72"/>
      <c r="L76" s="72"/>
      <c r="M76" s="72"/>
      <c r="N76" s="72"/>
      <c r="O76" s="71"/>
      <c r="P76" s="1110"/>
      <c r="Q76" s="71"/>
      <c r="R76" s="71"/>
      <c r="S76" s="71"/>
      <c r="T76" s="71"/>
      <c r="U76" s="71"/>
      <c r="V76" s="71"/>
      <c r="W76" s="71"/>
      <c r="X76" s="71"/>
      <c r="Y76" s="71"/>
      <c r="Z76" s="71"/>
      <c r="AA76" s="1058"/>
      <c r="AB76" s="72"/>
      <c r="AC76" s="72"/>
      <c r="AD76" s="72"/>
      <c r="AE76" s="72"/>
      <c r="AF76" s="72"/>
      <c r="AG76" s="72"/>
      <c r="AH76" s="72"/>
      <c r="AI76" s="72"/>
      <c r="AJ76" s="72"/>
      <c r="AK76" s="72"/>
      <c r="AL76" s="72"/>
      <c r="AM76" s="72"/>
      <c r="AN76" s="72"/>
      <c r="AO76" s="72"/>
      <c r="AP76" s="72"/>
      <c r="AQ76" s="72"/>
      <c r="AR76" s="72"/>
      <c r="AS76" s="72"/>
      <c r="AT76" s="72"/>
      <c r="AU76" s="72"/>
      <c r="AV76" s="72"/>
      <c r="AW76" s="72"/>
      <c r="AX76" s="72"/>
      <c r="AY76" s="72"/>
      <c r="AZ76" s="72"/>
      <c r="BA76" s="72"/>
      <c r="BB76" s="72"/>
      <c r="BC76" s="72"/>
      <c r="BD76" s="72"/>
      <c r="BE76" s="72"/>
      <c r="BF76" s="72"/>
      <c r="BG76" s="72"/>
      <c r="BH76" s="72"/>
    </row>
    <row r="77" spans="2:71" hidden="1">
      <c r="D77" s="72"/>
      <c r="E77" s="72"/>
      <c r="F77" s="72"/>
      <c r="G77" s="72"/>
      <c r="H77" s="72"/>
      <c r="I77" s="72"/>
      <c r="J77" s="72"/>
      <c r="K77" s="72"/>
      <c r="L77" s="72"/>
      <c r="M77" s="72"/>
      <c r="N77" s="72"/>
      <c r="O77" s="71"/>
      <c r="P77" s="1110"/>
      <c r="Q77" s="71"/>
      <c r="R77" s="71"/>
      <c r="S77" s="71"/>
      <c r="T77" s="71"/>
      <c r="U77" s="71"/>
      <c r="V77" s="71"/>
      <c r="W77" s="71"/>
      <c r="X77" s="71"/>
      <c r="Y77" s="71"/>
      <c r="Z77" s="71"/>
      <c r="AA77" s="1058"/>
      <c r="AB77" s="72"/>
      <c r="AC77" s="72"/>
      <c r="AD77" s="72"/>
      <c r="AE77" s="72"/>
      <c r="AF77" s="72"/>
      <c r="AG77" s="72"/>
      <c r="AH77" s="72"/>
      <c r="AI77" s="72"/>
      <c r="AJ77" s="72"/>
      <c r="AK77" s="72"/>
      <c r="AL77" s="72"/>
      <c r="AM77" s="72"/>
      <c r="AN77" s="72"/>
      <c r="AO77" s="72"/>
      <c r="AP77" s="72"/>
      <c r="AQ77" s="72"/>
      <c r="AR77" s="72"/>
      <c r="AS77" s="72"/>
      <c r="AT77" s="72"/>
      <c r="AU77" s="72"/>
      <c r="AV77" s="72"/>
      <c r="AW77" s="72"/>
      <c r="AX77" s="72"/>
      <c r="AY77" s="72"/>
      <c r="AZ77" s="72"/>
      <c r="BA77" s="72"/>
      <c r="BB77" s="72"/>
      <c r="BC77" s="72"/>
      <c r="BD77" s="72"/>
      <c r="BE77" s="72"/>
      <c r="BF77" s="72"/>
      <c r="BG77" s="72"/>
      <c r="BH77" s="72"/>
    </row>
    <row r="78" spans="2:71" hidden="1">
      <c r="D78" s="72"/>
      <c r="E78" s="72"/>
      <c r="F78" s="72"/>
      <c r="G78" s="72"/>
      <c r="H78" s="72"/>
      <c r="I78" s="72"/>
      <c r="J78" s="72"/>
      <c r="K78" s="72"/>
      <c r="L78" s="72"/>
      <c r="M78" s="72"/>
      <c r="N78" s="72"/>
      <c r="O78" s="71"/>
      <c r="P78" s="1110"/>
      <c r="Q78" s="71"/>
      <c r="R78" s="71"/>
      <c r="S78" s="71"/>
      <c r="T78" s="71"/>
      <c r="U78" s="71"/>
      <c r="V78" s="71"/>
      <c r="W78" s="71"/>
      <c r="X78" s="71"/>
      <c r="Y78" s="71"/>
      <c r="Z78" s="71"/>
      <c r="AA78" s="1058"/>
      <c r="AB78" s="72"/>
      <c r="AC78" s="72"/>
      <c r="AD78" s="72"/>
      <c r="AE78" s="72"/>
      <c r="AF78" s="72"/>
      <c r="AG78" s="72"/>
      <c r="AH78" s="72"/>
      <c r="AI78" s="72"/>
      <c r="AJ78" s="72"/>
      <c r="AK78" s="72"/>
      <c r="AL78" s="72"/>
      <c r="AM78" s="72"/>
      <c r="AN78" s="72"/>
      <c r="AO78" s="72"/>
      <c r="AP78" s="72"/>
      <c r="AQ78" s="72"/>
      <c r="AR78" s="72"/>
      <c r="AS78" s="72"/>
      <c r="AT78" s="72"/>
      <c r="AU78" s="72"/>
      <c r="AV78" s="72"/>
      <c r="AW78" s="72"/>
      <c r="AX78" s="72"/>
      <c r="AY78" s="72"/>
      <c r="AZ78" s="72"/>
      <c r="BA78" s="72"/>
      <c r="BB78" s="72"/>
      <c r="BC78" s="72"/>
      <c r="BD78" s="72"/>
      <c r="BE78" s="72"/>
      <c r="BF78" s="72"/>
      <c r="BG78" s="72"/>
      <c r="BH78" s="72"/>
    </row>
    <row r="79" spans="2:71" hidden="1">
      <c r="D79" s="72"/>
      <c r="E79" s="72"/>
      <c r="F79" s="72"/>
      <c r="G79" s="72"/>
      <c r="H79" s="72"/>
      <c r="I79" s="72"/>
      <c r="J79" s="72"/>
      <c r="K79" s="72"/>
      <c r="L79" s="72"/>
      <c r="M79" s="72"/>
      <c r="N79" s="72"/>
      <c r="O79" s="71"/>
      <c r="P79" s="1110"/>
      <c r="Q79" s="71"/>
      <c r="R79" s="71"/>
      <c r="S79" s="71"/>
      <c r="T79" s="71"/>
      <c r="U79" s="71"/>
      <c r="V79" s="71"/>
      <c r="W79" s="71"/>
      <c r="X79" s="71"/>
      <c r="Y79" s="71"/>
      <c r="Z79" s="71"/>
      <c r="AA79" s="1058"/>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72"/>
    </row>
    <row r="80" spans="2:71" hidden="1">
      <c r="D80" s="72"/>
      <c r="E80" s="72"/>
      <c r="F80" s="72"/>
      <c r="G80" s="72"/>
      <c r="H80" s="72"/>
      <c r="I80" s="72"/>
      <c r="J80" s="72"/>
      <c r="K80" s="72"/>
      <c r="L80" s="72"/>
      <c r="M80" s="72"/>
      <c r="N80" s="72"/>
      <c r="O80" s="71"/>
      <c r="P80" s="1110"/>
      <c r="Q80" s="71"/>
      <c r="R80" s="71"/>
      <c r="S80" s="71"/>
      <c r="T80" s="71"/>
      <c r="U80" s="71"/>
      <c r="V80" s="71"/>
      <c r="W80" s="71"/>
      <c r="X80" s="71"/>
      <c r="Y80" s="71"/>
      <c r="Z80" s="71"/>
      <c r="AA80" s="1058"/>
      <c r="AB80" s="72"/>
      <c r="AC80" s="72"/>
      <c r="AD80" s="72"/>
      <c r="AE80" s="72"/>
      <c r="AF80" s="72"/>
      <c r="AG80" s="72"/>
      <c r="AH80" s="72"/>
      <c r="AI80" s="72"/>
      <c r="AJ80" s="72"/>
      <c r="AK80" s="72"/>
      <c r="AL80" s="72"/>
      <c r="AM80" s="72"/>
      <c r="AN80" s="72"/>
      <c r="AO80" s="72"/>
      <c r="AP80" s="72"/>
      <c r="AQ80" s="72"/>
      <c r="AR80" s="72"/>
      <c r="AS80" s="72"/>
      <c r="AT80" s="72"/>
      <c r="AU80" s="72"/>
      <c r="AV80" s="72"/>
      <c r="AW80" s="72"/>
      <c r="AX80" s="72"/>
      <c r="AY80" s="72"/>
      <c r="AZ80" s="72"/>
      <c r="BA80" s="72"/>
      <c r="BB80" s="72"/>
      <c r="BC80" s="72"/>
      <c r="BD80" s="72"/>
      <c r="BE80" s="72"/>
      <c r="BF80" s="72"/>
      <c r="BG80" s="72"/>
      <c r="BH80" s="72"/>
    </row>
    <row r="81" spans="1:133" ht="0.45" customHeight="1">
      <c r="D81" s="72"/>
      <c r="E81" s="72"/>
      <c r="F81" s="72"/>
      <c r="G81" s="72"/>
      <c r="H81" s="72"/>
      <c r="I81" s="72"/>
      <c r="J81" s="72"/>
      <c r="K81" s="72"/>
      <c r="L81" s="72"/>
      <c r="M81" s="72"/>
      <c r="N81" s="72"/>
      <c r="O81" s="71"/>
      <c r="P81" s="1110"/>
      <c r="Q81" s="71"/>
      <c r="R81" s="71"/>
      <c r="S81" s="71"/>
      <c r="T81" s="71"/>
      <c r="U81" s="71"/>
      <c r="V81" s="71"/>
      <c r="W81" s="71"/>
      <c r="X81" s="71"/>
      <c r="Y81" s="71"/>
      <c r="Z81" s="71"/>
      <c r="AA81" s="1058"/>
      <c r="AB81" s="72"/>
      <c r="AC81" s="72"/>
      <c r="AD81" s="72"/>
      <c r="AE81" s="72"/>
      <c r="AF81" s="72"/>
      <c r="AG81" s="72"/>
      <c r="AH81" s="72"/>
      <c r="AI81" s="72"/>
      <c r="AJ81" s="72"/>
      <c r="AK81" s="72"/>
      <c r="AL81" s="72"/>
      <c r="AM81" s="72"/>
      <c r="AN81" s="72"/>
      <c r="AO81" s="72"/>
      <c r="AP81" s="72"/>
      <c r="AQ81" s="72"/>
      <c r="AR81" s="72"/>
      <c r="AS81" s="72"/>
      <c r="AT81" s="72"/>
      <c r="AU81" s="72"/>
      <c r="AV81" s="72"/>
      <c r="AW81" s="72"/>
      <c r="AX81" s="72"/>
      <c r="AY81" s="72"/>
      <c r="AZ81" s="72"/>
      <c r="BA81" s="72"/>
      <c r="BB81" s="72"/>
      <c r="BC81" s="72"/>
      <c r="BD81" s="72"/>
      <c r="BE81" s="72"/>
      <c r="BF81" s="72"/>
      <c r="BG81" s="72"/>
      <c r="BH81" s="72"/>
    </row>
    <row r="82" spans="1:133" s="137" customFormat="1" ht="25.8">
      <c r="A82" s="987"/>
      <c r="B82" s="573" t="s">
        <v>61</v>
      </c>
      <c r="C82" s="987"/>
      <c r="D82" s="991"/>
      <c r="E82" s="987"/>
      <c r="F82" s="987"/>
      <c r="G82" s="987"/>
      <c r="H82" s="987"/>
      <c r="I82" s="987"/>
      <c r="J82" s="987"/>
      <c r="K82" s="987"/>
      <c r="L82" s="987"/>
      <c r="M82" s="987"/>
      <c r="N82" s="987"/>
      <c r="O82" s="990"/>
      <c r="P82" s="1121"/>
      <c r="Q82" s="990"/>
      <c r="R82" s="990"/>
      <c r="S82" s="990"/>
      <c r="T82" s="990"/>
      <c r="U82" s="990"/>
      <c r="V82" s="990"/>
      <c r="W82" s="990"/>
      <c r="X82" s="990"/>
      <c r="Y82" s="990"/>
      <c r="Z82" s="990"/>
      <c r="AA82" s="1038"/>
      <c r="AB82" s="990"/>
      <c r="AC82" s="987"/>
      <c r="AD82" s="987"/>
      <c r="AE82" s="987"/>
      <c r="AF82" s="987"/>
      <c r="AG82" s="987"/>
      <c r="AH82" s="987"/>
      <c r="AI82" s="987"/>
      <c r="AJ82" s="987"/>
      <c r="AK82" s="987"/>
      <c r="AL82" s="987"/>
      <c r="AM82" s="987"/>
      <c r="AN82" s="71"/>
      <c r="AO82" s="72"/>
      <c r="AP82" s="72"/>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row>
    <row r="83" spans="1:133">
      <c r="D83" s="1217"/>
      <c r="E83" s="1217"/>
      <c r="F83" s="1217"/>
      <c r="G83" s="1217"/>
      <c r="H83" s="1217"/>
      <c r="I83" s="1217"/>
      <c r="J83" s="1217"/>
      <c r="K83" s="1217"/>
      <c r="L83" s="1217"/>
      <c r="M83" s="1217"/>
      <c r="N83" s="1217"/>
      <c r="O83" s="1229"/>
      <c r="P83" s="1217"/>
      <c r="Q83" s="1217"/>
      <c r="R83" s="1217"/>
      <c r="S83" s="1217"/>
      <c r="T83" s="1217"/>
      <c r="U83" s="1217"/>
      <c r="V83" s="1217"/>
      <c r="W83" s="1217"/>
      <c r="X83" s="1217"/>
      <c r="Y83" s="1217"/>
      <c r="Z83" s="1217"/>
      <c r="AA83" s="1229"/>
      <c r="AB83" s="1217"/>
      <c r="AC83" s="1217"/>
      <c r="AD83" s="1217"/>
      <c r="AE83" s="1217"/>
      <c r="AF83" s="1217"/>
      <c r="AG83" s="1217"/>
      <c r="AH83" s="1217"/>
      <c r="AI83" s="1217"/>
      <c r="AJ83" s="1217"/>
      <c r="AK83" s="1217"/>
      <c r="AL83" s="1217"/>
      <c r="AM83" s="1217"/>
    </row>
    <row r="84" spans="1:133" s="168" customFormat="1">
      <c r="B84" s="57"/>
      <c r="C84" s="168" t="str">
        <f t="shared" ref="C84:AM84" si="21">C16</f>
        <v>Month:</v>
      </c>
      <c r="D84" s="207">
        <f t="shared" si="21"/>
        <v>45292</v>
      </c>
      <c r="E84" s="207">
        <f t="shared" si="21"/>
        <v>45323</v>
      </c>
      <c r="F84" s="207">
        <f t="shared" si="21"/>
        <v>45352</v>
      </c>
      <c r="G84" s="207">
        <f t="shared" si="21"/>
        <v>45383</v>
      </c>
      <c r="H84" s="207">
        <f t="shared" si="21"/>
        <v>45413</v>
      </c>
      <c r="I84" s="207">
        <f t="shared" si="21"/>
        <v>45444</v>
      </c>
      <c r="J84" s="207">
        <f t="shared" si="21"/>
        <v>45474</v>
      </c>
      <c r="K84" s="207">
        <f t="shared" si="21"/>
        <v>45505</v>
      </c>
      <c r="L84" s="207">
        <f t="shared" si="21"/>
        <v>45536</v>
      </c>
      <c r="M84" s="207">
        <f t="shared" si="21"/>
        <v>45566</v>
      </c>
      <c r="N84" s="207">
        <f t="shared" si="21"/>
        <v>45597</v>
      </c>
      <c r="O84" s="1099">
        <f t="shared" si="21"/>
        <v>45627</v>
      </c>
      <c r="P84" s="1118">
        <f t="shared" si="21"/>
        <v>45658</v>
      </c>
      <c r="Q84" s="1099">
        <f t="shared" si="21"/>
        <v>45689</v>
      </c>
      <c r="R84" s="1099">
        <f t="shared" si="21"/>
        <v>45717</v>
      </c>
      <c r="S84" s="1099">
        <f t="shared" si="21"/>
        <v>45748</v>
      </c>
      <c r="T84" s="1099">
        <f t="shared" si="21"/>
        <v>45778</v>
      </c>
      <c r="U84" s="1099">
        <f t="shared" si="21"/>
        <v>45809</v>
      </c>
      <c r="V84" s="1099">
        <f t="shared" si="21"/>
        <v>45839</v>
      </c>
      <c r="W84" s="1099">
        <f t="shared" si="21"/>
        <v>45870</v>
      </c>
      <c r="X84" s="1099">
        <f t="shared" si="21"/>
        <v>45901</v>
      </c>
      <c r="Y84" s="1099">
        <f t="shared" si="21"/>
        <v>45931</v>
      </c>
      <c r="Z84" s="1099">
        <f t="shared" si="21"/>
        <v>45962</v>
      </c>
      <c r="AA84" s="1106">
        <f t="shared" si="21"/>
        <v>45992</v>
      </c>
      <c r="AB84" s="207">
        <f t="shared" si="21"/>
        <v>46023</v>
      </c>
      <c r="AC84" s="207">
        <f t="shared" si="21"/>
        <v>46054</v>
      </c>
      <c r="AD84" s="207">
        <f t="shared" si="21"/>
        <v>46082</v>
      </c>
      <c r="AE84" s="207">
        <f t="shared" si="21"/>
        <v>46113</v>
      </c>
      <c r="AF84" s="207">
        <f t="shared" si="21"/>
        <v>46143</v>
      </c>
      <c r="AG84" s="207">
        <f t="shared" si="21"/>
        <v>46174</v>
      </c>
      <c r="AH84" s="207">
        <f t="shared" si="21"/>
        <v>46204</v>
      </c>
      <c r="AI84" s="207">
        <f t="shared" si="21"/>
        <v>46235</v>
      </c>
      <c r="AJ84" s="207">
        <f t="shared" si="21"/>
        <v>46266</v>
      </c>
      <c r="AK84" s="207">
        <f t="shared" si="21"/>
        <v>46296</v>
      </c>
      <c r="AL84" s="207">
        <f t="shared" si="21"/>
        <v>46327</v>
      </c>
      <c r="AM84" s="207">
        <f t="shared" si="21"/>
        <v>46357.899999999994</v>
      </c>
      <c r="AN84" s="207"/>
      <c r="AO84" s="207"/>
      <c r="AP84" s="207"/>
      <c r="AQ84" s="207"/>
      <c r="AR84" s="207"/>
      <c r="AS84" s="207"/>
      <c r="AT84" s="207"/>
      <c r="AU84" s="207"/>
      <c r="AV84" s="207"/>
      <c r="AW84" s="207"/>
      <c r="AX84" s="207"/>
      <c r="AY84" s="207"/>
      <c r="AZ84" s="207"/>
      <c r="BA84" s="207"/>
      <c r="BB84" s="207"/>
      <c r="BC84" s="207"/>
      <c r="BD84" s="207"/>
      <c r="BE84" s="207"/>
      <c r="BF84" s="207"/>
      <c r="BG84" s="207"/>
      <c r="BH84" s="207"/>
      <c r="BI84" s="207"/>
      <c r="BJ84" s="207"/>
      <c r="BK84" s="207"/>
      <c r="BL84" s="207"/>
      <c r="BM84" s="207"/>
      <c r="BN84" s="207"/>
      <c r="BO84" s="207"/>
      <c r="BP84" s="207"/>
      <c r="BQ84" s="207"/>
      <c r="BR84" s="207"/>
      <c r="BS84" s="207"/>
      <c r="BT84" s="207"/>
      <c r="BU84" s="207"/>
      <c r="BV84" s="207"/>
      <c r="BW84" s="207"/>
      <c r="BX84" s="207"/>
      <c r="BY84" s="207"/>
      <c r="BZ84" s="207"/>
      <c r="CA84" s="207"/>
      <c r="CB84" s="207"/>
      <c r="CC84" s="207"/>
      <c r="CD84" s="207"/>
      <c r="CE84" s="207"/>
      <c r="CF84" s="207"/>
      <c r="CG84" s="207"/>
      <c r="CH84" s="207"/>
      <c r="CI84" s="207"/>
      <c r="CJ84" s="207"/>
      <c r="CK84" s="207"/>
      <c r="CL84" s="207"/>
      <c r="CM84" s="207"/>
      <c r="CN84" s="207"/>
      <c r="CO84" s="207"/>
      <c r="CP84" s="207"/>
      <c r="CQ84" s="207"/>
      <c r="CR84" s="207"/>
      <c r="CS84" s="207"/>
      <c r="CT84" s="207"/>
      <c r="CU84" s="207"/>
      <c r="CV84" s="207"/>
      <c r="CW84" s="207"/>
      <c r="CX84" s="207"/>
      <c r="CY84" s="207"/>
      <c r="CZ84" s="207"/>
      <c r="DA84" s="207"/>
      <c r="DB84" s="207"/>
      <c r="DC84" s="207"/>
      <c r="DD84" s="207"/>
      <c r="DE84" s="207"/>
      <c r="DF84" s="207"/>
      <c r="DG84" s="207"/>
      <c r="DH84" s="207"/>
      <c r="DI84" s="207"/>
      <c r="DJ84" s="207"/>
      <c r="DK84" s="207"/>
      <c r="DL84" s="207"/>
      <c r="DM84" s="207"/>
      <c r="DN84" s="207"/>
      <c r="DO84" s="207"/>
      <c r="DP84" s="207"/>
      <c r="DQ84" s="207"/>
      <c r="DR84" s="207"/>
      <c r="DS84" s="207"/>
      <c r="DT84" s="207"/>
      <c r="DU84" s="207"/>
      <c r="DV84" s="207"/>
      <c r="DW84" s="207"/>
      <c r="DX84" s="207"/>
      <c r="DY84" s="207"/>
      <c r="DZ84" s="207"/>
      <c r="EA84" s="207"/>
      <c r="EB84" s="207"/>
      <c r="EC84" s="207"/>
    </row>
    <row r="85" spans="1:133" s="168" customFormat="1" hidden="1" outlineLevel="1">
      <c r="B85" s="57"/>
      <c r="D85" s="208">
        <v>1</v>
      </c>
      <c r="E85" s="208">
        <v>2</v>
      </c>
      <c r="F85" s="208">
        <v>3</v>
      </c>
      <c r="G85" s="208">
        <v>4</v>
      </c>
      <c r="H85" s="208">
        <v>5</v>
      </c>
      <c r="I85" s="208">
        <v>6</v>
      </c>
      <c r="J85" s="208">
        <v>7</v>
      </c>
      <c r="K85" s="208">
        <v>8</v>
      </c>
      <c r="L85" s="208">
        <v>9</v>
      </c>
      <c r="M85" s="208">
        <v>10</v>
      </c>
      <c r="N85" s="208">
        <v>11</v>
      </c>
      <c r="O85" s="1100">
        <v>12</v>
      </c>
      <c r="P85" s="1119">
        <v>13</v>
      </c>
      <c r="Q85" s="1100">
        <v>14</v>
      </c>
      <c r="R85" s="1100">
        <v>15</v>
      </c>
      <c r="S85" s="1100">
        <v>16</v>
      </c>
      <c r="T85" s="1100">
        <v>17</v>
      </c>
      <c r="U85" s="1100">
        <v>18</v>
      </c>
      <c r="V85" s="1100">
        <v>19</v>
      </c>
      <c r="W85" s="1100">
        <v>20</v>
      </c>
      <c r="X85" s="1100">
        <v>21</v>
      </c>
      <c r="Y85" s="1100">
        <v>22</v>
      </c>
      <c r="Z85" s="1100">
        <v>23</v>
      </c>
      <c r="AA85" s="1107">
        <v>24</v>
      </c>
      <c r="AB85" s="208">
        <v>25</v>
      </c>
      <c r="AC85" s="208">
        <v>26</v>
      </c>
      <c r="AD85" s="208">
        <v>27</v>
      </c>
      <c r="AE85" s="208">
        <v>28</v>
      </c>
      <c r="AF85" s="208">
        <v>29</v>
      </c>
      <c r="AG85" s="208">
        <v>30</v>
      </c>
      <c r="AH85" s="208">
        <v>31</v>
      </c>
      <c r="AI85" s="208">
        <v>32</v>
      </c>
      <c r="AJ85" s="208">
        <v>33</v>
      </c>
      <c r="AK85" s="208">
        <v>34</v>
      </c>
      <c r="AL85" s="208">
        <v>35</v>
      </c>
      <c r="AM85" s="208">
        <v>36</v>
      </c>
      <c r="AN85" s="207">
        <v>37</v>
      </c>
      <c r="AO85" s="207"/>
      <c r="AP85" s="207"/>
      <c r="AQ85" s="207"/>
      <c r="AR85" s="207"/>
      <c r="AS85" s="207"/>
      <c r="AT85" s="207"/>
      <c r="AU85" s="207"/>
      <c r="AV85" s="207"/>
      <c r="AW85" s="207"/>
      <c r="AX85" s="207"/>
      <c r="AY85" s="207"/>
      <c r="AZ85" s="207"/>
      <c r="BA85" s="207"/>
      <c r="BB85" s="207"/>
      <c r="BC85" s="207"/>
      <c r="BD85" s="207"/>
      <c r="BE85" s="207"/>
      <c r="BF85" s="207"/>
      <c r="BG85" s="207"/>
      <c r="BH85" s="207"/>
      <c r="BI85" s="207"/>
      <c r="BJ85" s="207"/>
      <c r="BK85" s="207"/>
      <c r="BL85" s="207"/>
      <c r="BM85" s="207"/>
      <c r="BN85" s="207"/>
      <c r="BO85" s="207"/>
      <c r="BP85" s="207"/>
      <c r="BQ85" s="207"/>
      <c r="BR85" s="207"/>
      <c r="BS85" s="207"/>
      <c r="BT85" s="207"/>
      <c r="BU85" s="207"/>
      <c r="BV85" s="207"/>
      <c r="BW85" s="207"/>
      <c r="BX85" s="207"/>
      <c r="BY85" s="207"/>
      <c r="BZ85" s="207"/>
      <c r="CA85" s="207"/>
      <c r="CB85" s="207"/>
      <c r="CC85" s="207"/>
      <c r="CD85" s="207"/>
      <c r="CE85" s="207"/>
      <c r="CF85" s="207"/>
      <c r="CG85" s="207"/>
      <c r="CH85" s="207"/>
      <c r="CI85" s="207"/>
      <c r="CJ85" s="207"/>
      <c r="CK85" s="207"/>
      <c r="CL85" s="207"/>
      <c r="CM85" s="207"/>
      <c r="CN85" s="207"/>
      <c r="CO85" s="207"/>
      <c r="CP85" s="207"/>
      <c r="CQ85" s="207"/>
      <c r="CR85" s="207"/>
      <c r="CS85" s="207"/>
      <c r="CT85" s="207"/>
      <c r="CU85" s="207"/>
      <c r="CV85" s="207"/>
      <c r="CW85" s="207"/>
      <c r="CX85" s="207"/>
      <c r="CY85" s="207"/>
      <c r="CZ85" s="207"/>
      <c r="DA85" s="207"/>
      <c r="DB85" s="207"/>
      <c r="DC85" s="207"/>
      <c r="DD85" s="207"/>
      <c r="DE85" s="207"/>
      <c r="DF85" s="207"/>
      <c r="DG85" s="207"/>
      <c r="DH85" s="207"/>
      <c r="DI85" s="207"/>
      <c r="DJ85" s="207"/>
      <c r="DK85" s="207"/>
      <c r="DL85" s="207"/>
      <c r="DM85" s="207"/>
      <c r="DN85" s="207"/>
      <c r="DO85" s="207"/>
      <c r="DP85" s="207"/>
      <c r="DQ85" s="207"/>
      <c r="DR85" s="207"/>
      <c r="DS85" s="207"/>
      <c r="DT85" s="207"/>
      <c r="DU85" s="207"/>
      <c r="DV85" s="207"/>
      <c r="DW85" s="207"/>
      <c r="DX85" s="207"/>
      <c r="DY85" s="207"/>
      <c r="DZ85" s="207"/>
      <c r="EA85" s="207"/>
      <c r="EB85" s="207"/>
      <c r="EC85" s="207"/>
    </row>
    <row r="86" spans="1:133" ht="4.2" customHeight="1" collapsed="1"/>
    <row r="87" spans="1:133">
      <c r="B87" s="57" t="s">
        <v>258</v>
      </c>
      <c r="D87" s="124" t="s">
        <v>259</v>
      </c>
      <c r="E87" s="72"/>
      <c r="F87" s="72"/>
      <c r="G87" s="72"/>
      <c r="H87" s="72"/>
      <c r="I87" s="72"/>
      <c r="J87" s="72"/>
      <c r="K87" s="72"/>
      <c r="L87" s="72"/>
      <c r="M87" s="72"/>
      <c r="N87" s="72"/>
      <c r="O87" s="71"/>
      <c r="P87" s="1110"/>
      <c r="Q87" s="71"/>
      <c r="R87" s="71"/>
      <c r="S87" s="71"/>
      <c r="T87" s="71"/>
      <c r="U87" s="71"/>
      <c r="V87" s="71"/>
      <c r="W87" s="71"/>
      <c r="X87" s="71"/>
      <c r="Y87" s="71"/>
      <c r="Z87" s="71"/>
      <c r="AA87" s="1058"/>
      <c r="AB87" s="72"/>
      <c r="AC87" s="72"/>
      <c r="AD87" s="72"/>
      <c r="AE87" s="72"/>
      <c r="AF87" s="72"/>
      <c r="AG87" s="72"/>
      <c r="AH87" s="72"/>
      <c r="AI87" s="72"/>
      <c r="AJ87" s="72"/>
      <c r="AK87" s="72"/>
      <c r="AL87" s="72"/>
      <c r="AM87" s="72"/>
      <c r="AN87" s="72"/>
      <c r="AO87" s="72"/>
      <c r="AP87" s="72"/>
      <c r="AQ87" s="72"/>
      <c r="AR87" s="72"/>
      <c r="AS87" s="72"/>
      <c r="AT87" s="72"/>
      <c r="AU87" s="72"/>
      <c r="AV87" s="72"/>
      <c r="AW87" s="72"/>
      <c r="AX87" s="72"/>
      <c r="AY87" s="72"/>
      <c r="AZ87" s="72"/>
      <c r="BA87" s="72"/>
      <c r="BB87" s="72"/>
      <c r="BC87" s="72"/>
      <c r="BD87" s="72"/>
      <c r="BE87" s="72"/>
      <c r="BF87" s="72"/>
      <c r="BG87" s="72"/>
      <c r="BH87" s="72"/>
    </row>
    <row r="88" spans="1:133" ht="16.2" thickBot="1">
      <c r="D88" s="72"/>
      <c r="E88" s="72"/>
      <c r="F88" s="72"/>
      <c r="G88" s="72"/>
      <c r="H88" s="72"/>
      <c r="I88" s="72"/>
      <c r="J88" s="72"/>
      <c r="K88" s="72"/>
      <c r="L88" s="72"/>
      <c r="M88" s="72"/>
      <c r="N88" s="72"/>
      <c r="O88" s="71"/>
      <c r="P88" s="1110"/>
      <c r="Q88" s="71"/>
      <c r="R88" s="71"/>
      <c r="S88" s="71"/>
      <c r="T88" s="71"/>
      <c r="U88" s="71"/>
      <c r="V88" s="71"/>
      <c r="W88" s="71"/>
      <c r="X88" s="71"/>
      <c r="Y88" s="71"/>
      <c r="Z88" s="71"/>
      <c r="AA88" s="1058"/>
      <c r="AB88" s="72"/>
      <c r="AC88" s="72"/>
      <c r="AD88" s="72"/>
      <c r="AE88" s="72"/>
      <c r="AF88" s="72"/>
      <c r="AG88" s="72"/>
      <c r="AH88" s="72"/>
      <c r="AI88" s="72"/>
      <c r="AJ88" s="72"/>
      <c r="AK88" s="72"/>
      <c r="AL88" s="72"/>
      <c r="AM88" s="72"/>
      <c r="AN88" s="72"/>
      <c r="AO88" s="72"/>
      <c r="AP88" s="72"/>
      <c r="AQ88" s="72"/>
      <c r="AR88" s="72"/>
      <c r="AS88" s="72"/>
      <c r="AT88" s="72"/>
      <c r="AU88" s="72"/>
      <c r="AV88" s="72"/>
      <c r="AW88" s="72"/>
      <c r="AX88" s="72"/>
      <c r="AY88" s="72"/>
      <c r="AZ88" s="72"/>
      <c r="BA88" s="72"/>
      <c r="BB88" s="72"/>
      <c r="BC88" s="72"/>
      <c r="BD88" s="72"/>
      <c r="BE88" s="72"/>
      <c r="BF88" s="72"/>
      <c r="BG88" s="72"/>
      <c r="BH88" s="72"/>
    </row>
    <row r="89" spans="1:133" s="168" customFormat="1" ht="16.2" thickTop="1">
      <c r="B89" s="1060" t="s">
        <v>42</v>
      </c>
      <c r="C89" s="1061"/>
      <c r="D89" s="209"/>
      <c r="E89" s="72"/>
      <c r="F89" s="72"/>
      <c r="G89" s="72"/>
      <c r="H89" s="72"/>
      <c r="I89" s="72"/>
      <c r="J89" s="72"/>
      <c r="K89" s="72"/>
      <c r="L89" s="72"/>
      <c r="M89" s="72"/>
      <c r="N89" s="72"/>
      <c r="O89" s="71"/>
      <c r="P89" s="1110"/>
      <c r="Q89" s="71"/>
      <c r="R89" s="71"/>
      <c r="S89" s="71"/>
      <c r="T89" s="71"/>
      <c r="U89" s="71"/>
      <c r="V89" s="71"/>
      <c r="W89" s="71"/>
      <c r="X89" s="71"/>
      <c r="Y89" s="71"/>
      <c r="Z89" s="71"/>
      <c r="AA89" s="1058"/>
      <c r="AB89" s="72"/>
      <c r="AC89" s="72"/>
      <c r="AD89" s="72"/>
      <c r="AE89" s="72"/>
      <c r="AF89" s="72"/>
      <c r="AG89" s="72"/>
      <c r="AH89" s="72"/>
      <c r="AI89" s="72"/>
      <c r="AJ89" s="72"/>
      <c r="AK89" s="72"/>
      <c r="AL89" s="72"/>
      <c r="AM89" s="72"/>
      <c r="AN89" s="72"/>
      <c r="AO89" s="72"/>
      <c r="AP89" s="72"/>
      <c r="AQ89" s="72"/>
      <c r="AR89" s="72"/>
      <c r="AS89" s="72"/>
      <c r="AT89" s="72"/>
      <c r="AU89" s="72"/>
      <c r="AV89" s="72"/>
      <c r="AW89" s="72"/>
      <c r="AX89" s="72"/>
      <c r="AY89" s="207"/>
      <c r="AZ89" s="207"/>
      <c r="BA89" s="207"/>
      <c r="BB89" s="207"/>
      <c r="BC89" s="207"/>
      <c r="BD89" s="207"/>
      <c r="BE89" s="207"/>
      <c r="BF89" s="207"/>
      <c r="BG89" s="207"/>
      <c r="BH89" s="207"/>
      <c r="BI89" s="207"/>
      <c r="BJ89" s="207"/>
      <c r="BK89" s="207"/>
      <c r="BL89" s="207"/>
      <c r="BM89" s="207"/>
      <c r="BN89" s="207"/>
      <c r="BO89" s="207"/>
      <c r="BP89" s="207"/>
      <c r="BQ89" s="207"/>
      <c r="BR89" s="207"/>
      <c r="BS89" s="207"/>
      <c r="BT89" s="207"/>
      <c r="BU89" s="207"/>
      <c r="BV89" s="207"/>
      <c r="BW89" s="207"/>
      <c r="BX89" s="207"/>
      <c r="BY89" s="207"/>
      <c r="BZ89" s="207"/>
      <c r="CA89" s="207"/>
      <c r="CB89" s="207"/>
      <c r="CC89" s="207"/>
      <c r="CD89" s="207"/>
      <c r="CE89" s="207"/>
      <c r="CF89" s="207"/>
      <c r="CG89" s="207"/>
      <c r="CH89" s="207"/>
      <c r="CI89" s="207"/>
      <c r="CJ89" s="207"/>
      <c r="CK89" s="207"/>
      <c r="CL89" s="207"/>
      <c r="CM89" s="207"/>
      <c r="CN89" s="207"/>
      <c r="CO89" s="207"/>
      <c r="CP89" s="207"/>
      <c r="CQ89" s="207"/>
      <c r="CR89" s="207"/>
      <c r="CS89" s="207"/>
      <c r="CT89" s="207"/>
      <c r="CU89" s="207"/>
      <c r="CV89" s="207"/>
      <c r="CW89" s="207"/>
      <c r="CX89" s="207"/>
      <c r="CY89" s="207"/>
      <c r="CZ89" s="207"/>
      <c r="DA89" s="207"/>
      <c r="DB89" s="207"/>
      <c r="DC89" s="207"/>
      <c r="DD89" s="207"/>
      <c r="DE89" s="207"/>
      <c r="DF89" s="207"/>
      <c r="DG89" s="207"/>
      <c r="DH89" s="207"/>
      <c r="DI89" s="207"/>
      <c r="DJ89" s="207"/>
      <c r="DK89" s="207"/>
      <c r="DL89" s="207"/>
      <c r="DM89" s="207"/>
      <c r="DN89" s="207"/>
      <c r="DO89" s="207"/>
      <c r="DP89" s="207"/>
      <c r="DQ89" s="207"/>
      <c r="DR89" s="207"/>
      <c r="DS89" s="207"/>
      <c r="DT89" s="207"/>
      <c r="DU89" s="207"/>
      <c r="DV89" s="207"/>
      <c r="DW89" s="207"/>
      <c r="DX89" s="207"/>
      <c r="DY89" s="207"/>
      <c r="DZ89" s="207"/>
      <c r="EA89" s="207"/>
      <c r="EB89" s="207"/>
      <c r="EC89" s="207"/>
    </row>
    <row r="90" spans="1:133" s="168" customFormat="1">
      <c r="B90" s="1062" t="s">
        <v>112</v>
      </c>
      <c r="C90" s="1084"/>
      <c r="D90" s="999"/>
      <c r="E90" s="999">
        <f>D92</f>
        <v>8348</v>
      </c>
      <c r="F90" s="999">
        <f t="shared" ref="F90:N90" si="22">E92</f>
        <v>37627.800000000003</v>
      </c>
      <c r="G90" s="999">
        <f t="shared" si="22"/>
        <v>35463</v>
      </c>
      <c r="H90" s="999">
        <f t="shared" si="22"/>
        <v>44027.199999999997</v>
      </c>
      <c r="I90" s="999">
        <f t="shared" si="22"/>
        <v>46107.200000000004</v>
      </c>
      <c r="J90" s="999">
        <f t="shared" si="22"/>
        <v>53456.4</v>
      </c>
      <c r="K90" s="999">
        <f t="shared" si="22"/>
        <v>59220.800000000003</v>
      </c>
      <c r="L90" s="999">
        <f t="shared" si="22"/>
        <v>65838.800000000017</v>
      </c>
      <c r="M90" s="999">
        <f t="shared" si="22"/>
        <v>67555.200000000012</v>
      </c>
      <c r="N90" s="999">
        <f t="shared" si="22"/>
        <v>64610.80000000001</v>
      </c>
      <c r="O90" s="1002">
        <f t="shared" ref="O90:AM90" si="23">N92</f>
        <v>87969.600000000006</v>
      </c>
      <c r="P90" s="1114">
        <f t="shared" si="23"/>
        <v>115191.80000000002</v>
      </c>
      <c r="Q90" s="1002">
        <f t="shared" si="23"/>
        <v>100577.33000000002</v>
      </c>
      <c r="R90" s="1002">
        <f t="shared" si="23"/>
        <v>101286.04000000002</v>
      </c>
      <c r="S90" s="1002">
        <f t="shared" si="23"/>
        <v>152051.17000000001</v>
      </c>
      <c r="T90" s="1002">
        <f t="shared" si="23"/>
        <v>193378.30000000005</v>
      </c>
      <c r="U90" s="1002">
        <f t="shared" si="23"/>
        <v>230556.83000000007</v>
      </c>
      <c r="V90" s="1002">
        <f t="shared" si="23"/>
        <v>249875.66000000003</v>
      </c>
      <c r="W90" s="1002">
        <f t="shared" si="23"/>
        <v>271309.19000000006</v>
      </c>
      <c r="X90" s="1002">
        <f t="shared" si="23"/>
        <v>288811.82000000007</v>
      </c>
      <c r="Y90" s="1002">
        <f t="shared" si="23"/>
        <v>302852.47000000003</v>
      </c>
      <c r="Z90" s="1002">
        <f t="shared" si="23"/>
        <v>320452.92000000004</v>
      </c>
      <c r="AA90" s="1047">
        <f t="shared" si="23"/>
        <v>352964.25000000006</v>
      </c>
      <c r="AB90" s="999">
        <f t="shared" si="23"/>
        <v>423926.38000000006</v>
      </c>
      <c r="AC90" s="999">
        <f t="shared" si="23"/>
        <v>428555.71300000005</v>
      </c>
      <c r="AD90" s="999">
        <f t="shared" si="23"/>
        <v>415514.21700000006</v>
      </c>
      <c r="AE90" s="999">
        <f t="shared" si="23"/>
        <v>531744.40260000003</v>
      </c>
      <c r="AF90" s="999">
        <f t="shared" si="23"/>
        <v>587029.18240000005</v>
      </c>
      <c r="AG90" s="999">
        <f t="shared" si="23"/>
        <v>600304.77679999999</v>
      </c>
      <c r="AH90" s="999">
        <f t="shared" si="23"/>
        <v>718038.82240000006</v>
      </c>
      <c r="AI90" s="999">
        <f t="shared" si="23"/>
        <v>835617.95620000013</v>
      </c>
      <c r="AJ90" s="999">
        <f t="shared" si="23"/>
        <v>889381.31780000008</v>
      </c>
      <c r="AK90" s="999">
        <f t="shared" si="23"/>
        <v>842679.20820000011</v>
      </c>
      <c r="AL90" s="999">
        <f t="shared" si="23"/>
        <v>866154.52880000009</v>
      </c>
      <c r="AM90" s="999">
        <f t="shared" si="23"/>
        <v>1239838.0471999999</v>
      </c>
      <c r="AN90" s="72"/>
      <c r="AO90" s="72"/>
      <c r="AP90" s="72"/>
      <c r="AQ90" s="72"/>
      <c r="AR90" s="72"/>
      <c r="AS90" s="72"/>
      <c r="AT90" s="72"/>
      <c r="AU90" s="72"/>
      <c r="AV90" s="72"/>
      <c r="AW90" s="72"/>
      <c r="AX90" s="72"/>
      <c r="AY90" s="207"/>
      <c r="AZ90" s="207"/>
      <c r="BA90" s="207"/>
      <c r="BB90" s="207"/>
      <c r="BC90" s="207"/>
      <c r="BD90" s="207"/>
      <c r="BE90" s="207"/>
      <c r="BF90" s="207"/>
      <c r="BG90" s="207"/>
      <c r="BH90" s="207"/>
      <c r="BI90" s="207"/>
      <c r="BJ90" s="207"/>
      <c r="BK90" s="207"/>
      <c r="BL90" s="207"/>
      <c r="BM90" s="207"/>
      <c r="BN90" s="207"/>
      <c r="BO90" s="207"/>
      <c r="BP90" s="207"/>
      <c r="BQ90" s="207"/>
      <c r="BR90" s="207"/>
      <c r="BS90" s="207"/>
      <c r="BT90" s="207"/>
      <c r="BU90" s="207"/>
      <c r="BV90" s="207"/>
      <c r="BW90" s="207"/>
      <c r="BX90" s="207"/>
      <c r="BY90" s="207"/>
      <c r="BZ90" s="207"/>
      <c r="CA90" s="207"/>
      <c r="CB90" s="207"/>
      <c r="CC90" s="207"/>
      <c r="CD90" s="207"/>
      <c r="CE90" s="207"/>
      <c r="CF90" s="207"/>
      <c r="CG90" s="207"/>
      <c r="CH90" s="207"/>
      <c r="CI90" s="207"/>
      <c r="CJ90" s="207"/>
      <c r="CK90" s="207"/>
      <c r="CL90" s="207"/>
      <c r="CM90" s="207"/>
      <c r="CN90" s="207"/>
      <c r="CO90" s="207"/>
      <c r="CP90" s="207"/>
      <c r="CQ90" s="207"/>
      <c r="CR90" s="207"/>
      <c r="CS90" s="207"/>
      <c r="CT90" s="207"/>
      <c r="CU90" s="207"/>
      <c r="CV90" s="207"/>
      <c r="CW90" s="207"/>
      <c r="CX90" s="207"/>
      <c r="CY90" s="207"/>
      <c r="CZ90" s="207"/>
      <c r="DA90" s="207"/>
      <c r="DB90" s="207"/>
      <c r="DC90" s="207"/>
      <c r="DD90" s="207"/>
      <c r="DE90" s="207"/>
      <c r="DF90" s="207"/>
      <c r="DG90" s="207"/>
      <c r="DH90" s="207"/>
      <c r="DI90" s="207"/>
      <c r="DJ90" s="207"/>
      <c r="DK90" s="207"/>
      <c r="DL90" s="207"/>
      <c r="DM90" s="207"/>
      <c r="DN90" s="207"/>
      <c r="DO90" s="207"/>
      <c r="DP90" s="207"/>
      <c r="DQ90" s="207"/>
      <c r="DR90" s="207"/>
      <c r="DS90" s="207"/>
      <c r="DT90" s="207"/>
      <c r="DU90" s="207"/>
      <c r="DV90" s="207"/>
      <c r="DW90" s="207"/>
      <c r="DX90" s="207"/>
      <c r="DY90" s="207"/>
      <c r="DZ90" s="207"/>
      <c r="EA90" s="207"/>
      <c r="EB90" s="207"/>
      <c r="EC90" s="207"/>
    </row>
    <row r="91" spans="1:133" s="168" customFormat="1">
      <c r="B91" s="1062" t="s">
        <v>166</v>
      </c>
      <c r="C91" s="1084"/>
      <c r="D91" s="999">
        <f>'Cash Flow'!D88</f>
        <v>8348</v>
      </c>
      <c r="E91" s="999">
        <f>'Cash Flow'!E88</f>
        <v>29279.800000000003</v>
      </c>
      <c r="F91" s="999">
        <f>'Cash Flow'!F88</f>
        <v>-2164.7999999999993</v>
      </c>
      <c r="G91" s="999">
        <f>'Cash Flow'!G88</f>
        <v>8564.1999999999953</v>
      </c>
      <c r="H91" s="999">
        <f>'Cash Flow'!H88</f>
        <v>2080.0000000000064</v>
      </c>
      <c r="I91" s="999">
        <f>'Cash Flow'!I88</f>
        <v>7349.199999999998</v>
      </c>
      <c r="J91" s="999">
        <f>'Cash Flow'!J88</f>
        <v>5764.4</v>
      </c>
      <c r="K91" s="999">
        <f>'Cash Flow'!K88</f>
        <v>6618.0000000000073</v>
      </c>
      <c r="L91" s="999">
        <f>'Cash Flow'!L88</f>
        <v>1716.399999999991</v>
      </c>
      <c r="M91" s="999">
        <f>'Cash Flow'!M88</f>
        <v>-2944.3999999999996</v>
      </c>
      <c r="N91" s="999">
        <f>'Cash Flow'!N88</f>
        <v>23358.799999999996</v>
      </c>
      <c r="O91" s="1002">
        <f>'Cash Flow'!O88</f>
        <v>27222.200000000015</v>
      </c>
      <c r="P91" s="1114">
        <f>'Cash Flow'!P88</f>
        <v>-14614.470000000008</v>
      </c>
      <c r="Q91" s="1002">
        <f>'Cash Flow'!Q88</f>
        <v>708.71000000000276</v>
      </c>
      <c r="R91" s="1002">
        <f>'Cash Flow'!R88</f>
        <v>50765.12999999999</v>
      </c>
      <c r="S91" s="1002">
        <f>'Cash Flow'!S88</f>
        <v>41327.130000000034</v>
      </c>
      <c r="T91" s="1002">
        <f>'Cash Flow'!T88</f>
        <v>37178.530000000013</v>
      </c>
      <c r="U91" s="1002">
        <f>'Cash Flow'!U88</f>
        <v>19318.829999999973</v>
      </c>
      <c r="V91" s="1002">
        <f>'Cash Flow'!V88</f>
        <v>21433.53</v>
      </c>
      <c r="W91" s="1002">
        <f>'Cash Flow'!W88</f>
        <v>17502.630000000012</v>
      </c>
      <c r="X91" s="1002">
        <f>'Cash Flow'!X88</f>
        <v>14040.64999999998</v>
      </c>
      <c r="Y91" s="1002">
        <f>'Cash Flow'!Y88</f>
        <v>17600.450000000019</v>
      </c>
      <c r="Z91" s="1002">
        <f>'Cash Flow'!Z88</f>
        <v>32511.329999999998</v>
      </c>
      <c r="AA91" s="1047">
        <f>'Cash Flow'!AA88</f>
        <v>70962.12999999999</v>
      </c>
      <c r="AB91" s="999">
        <f>'Cash Flow'!AB88</f>
        <v>4629.3330000000042</v>
      </c>
      <c r="AC91" s="999">
        <f>'Cash Flow'!AC88</f>
        <v>-13041.495999999999</v>
      </c>
      <c r="AD91" s="999">
        <f>'Cash Flow'!AD88</f>
        <v>116230.18559999998</v>
      </c>
      <c r="AE91" s="999">
        <f>'Cash Flow'!AE88</f>
        <v>55284.779800000004</v>
      </c>
      <c r="AF91" s="999">
        <f>'Cash Flow'!AF88</f>
        <v>13275.594399999951</v>
      </c>
      <c r="AG91" s="999">
        <f>'Cash Flow'!AG88</f>
        <v>117734.04560000004</v>
      </c>
      <c r="AH91" s="999">
        <f>'Cash Flow'!AH88</f>
        <v>117579.13380000003</v>
      </c>
      <c r="AI91" s="999">
        <f>'Cash Flow'!AI88</f>
        <v>53763.361599999989</v>
      </c>
      <c r="AJ91" s="999">
        <f>'Cash Flow'!AJ88</f>
        <v>-46702.109599999996</v>
      </c>
      <c r="AK91" s="999">
        <f>'Cash Flow'!AK88</f>
        <v>23475.320600000021</v>
      </c>
      <c r="AL91" s="999">
        <f>'Cash Flow'!AL88</f>
        <v>373683.51839999988</v>
      </c>
      <c r="AM91" s="999">
        <f>'Cash Flow'!AM88</f>
        <v>378989.8196000001</v>
      </c>
      <c r="AN91" s="72"/>
      <c r="AO91" s="72"/>
      <c r="AP91" s="72"/>
      <c r="AQ91" s="72"/>
      <c r="AR91" s="72"/>
      <c r="AS91" s="72"/>
      <c r="AT91" s="72"/>
      <c r="AU91" s="72"/>
      <c r="AV91" s="72"/>
      <c r="AW91" s="72"/>
      <c r="AX91" s="72"/>
      <c r="AY91" s="207"/>
      <c r="AZ91" s="207"/>
      <c r="BA91" s="207"/>
      <c r="BB91" s="207"/>
      <c r="BC91" s="207"/>
      <c r="BD91" s="207"/>
      <c r="BE91" s="207"/>
      <c r="BF91" s="207"/>
      <c r="BG91" s="207"/>
      <c r="BH91" s="207"/>
      <c r="BI91" s="207"/>
      <c r="BJ91" s="207"/>
      <c r="BK91" s="207"/>
      <c r="BL91" s="207"/>
      <c r="BM91" s="207"/>
      <c r="BN91" s="207"/>
      <c r="BO91" s="207"/>
      <c r="BP91" s="207"/>
      <c r="BQ91" s="207"/>
      <c r="BR91" s="207"/>
      <c r="BS91" s="207"/>
      <c r="BT91" s="207"/>
      <c r="BU91" s="207"/>
      <c r="BV91" s="207"/>
      <c r="BW91" s="207"/>
      <c r="BX91" s="207"/>
      <c r="BY91" s="207"/>
      <c r="BZ91" s="207"/>
      <c r="CA91" s="207"/>
      <c r="CB91" s="207"/>
      <c r="CC91" s="207"/>
      <c r="CD91" s="207"/>
      <c r="CE91" s="207"/>
      <c r="CF91" s="207"/>
      <c r="CG91" s="207"/>
      <c r="CH91" s="207"/>
      <c r="CI91" s="207"/>
      <c r="CJ91" s="207"/>
      <c r="CK91" s="207"/>
      <c r="CL91" s="207"/>
      <c r="CM91" s="207"/>
      <c r="CN91" s="207"/>
      <c r="CO91" s="207"/>
      <c r="CP91" s="207"/>
      <c r="CQ91" s="207"/>
      <c r="CR91" s="207"/>
      <c r="CS91" s="207"/>
      <c r="CT91" s="207"/>
      <c r="CU91" s="207"/>
      <c r="CV91" s="207"/>
      <c r="CW91" s="207"/>
      <c r="CX91" s="207"/>
      <c r="CY91" s="207"/>
      <c r="CZ91" s="207"/>
      <c r="DA91" s="207"/>
      <c r="DB91" s="207"/>
      <c r="DC91" s="207"/>
      <c r="DD91" s="207"/>
      <c r="DE91" s="207"/>
      <c r="DF91" s="207"/>
      <c r="DG91" s="207"/>
      <c r="DH91" s="207"/>
      <c r="DI91" s="207"/>
      <c r="DJ91" s="207"/>
      <c r="DK91" s="207"/>
      <c r="DL91" s="207"/>
      <c r="DM91" s="207"/>
      <c r="DN91" s="207"/>
      <c r="DO91" s="207"/>
      <c r="DP91" s="207"/>
      <c r="DQ91" s="207"/>
      <c r="DR91" s="207"/>
      <c r="DS91" s="207"/>
      <c r="DT91" s="207"/>
      <c r="DU91" s="207"/>
      <c r="DV91" s="207"/>
      <c r="DW91" s="207"/>
      <c r="DX91" s="207"/>
      <c r="DY91" s="207"/>
      <c r="DZ91" s="207"/>
      <c r="EA91" s="207"/>
      <c r="EB91" s="207"/>
      <c r="EC91" s="207"/>
    </row>
    <row r="92" spans="1:133" s="168" customFormat="1" ht="16.2" thickBot="1">
      <c r="B92" s="1076" t="s">
        <v>140</v>
      </c>
      <c r="C92" s="1085"/>
      <c r="D92" s="996">
        <f>D90+D91</f>
        <v>8348</v>
      </c>
      <c r="E92" s="996">
        <f>E90+E91</f>
        <v>37627.800000000003</v>
      </c>
      <c r="F92" s="996">
        <f t="shared" ref="F92:N92" si="24">F90+F91</f>
        <v>35463</v>
      </c>
      <c r="G92" s="996">
        <f t="shared" si="24"/>
        <v>44027.199999999997</v>
      </c>
      <c r="H92" s="996">
        <f t="shared" si="24"/>
        <v>46107.200000000004</v>
      </c>
      <c r="I92" s="996">
        <f t="shared" si="24"/>
        <v>53456.4</v>
      </c>
      <c r="J92" s="996">
        <f t="shared" si="24"/>
        <v>59220.800000000003</v>
      </c>
      <c r="K92" s="996">
        <f t="shared" si="24"/>
        <v>65838.800000000017</v>
      </c>
      <c r="L92" s="996">
        <f t="shared" si="24"/>
        <v>67555.200000000012</v>
      </c>
      <c r="M92" s="996">
        <f t="shared" si="24"/>
        <v>64610.80000000001</v>
      </c>
      <c r="N92" s="996">
        <f t="shared" si="24"/>
        <v>87969.600000000006</v>
      </c>
      <c r="O92" s="1006">
        <f t="shared" ref="O92" si="25">O90+O91</f>
        <v>115191.80000000002</v>
      </c>
      <c r="P92" s="1115">
        <f t="shared" ref="P92" si="26">P90+P91</f>
        <v>100577.33000000002</v>
      </c>
      <c r="Q92" s="1006">
        <f t="shared" ref="Q92" si="27">Q90+Q91</f>
        <v>101286.04000000002</v>
      </c>
      <c r="R92" s="1006">
        <f t="shared" ref="R92" si="28">R90+R91</f>
        <v>152051.17000000001</v>
      </c>
      <c r="S92" s="1006">
        <f t="shared" ref="S92" si="29">S90+S91</f>
        <v>193378.30000000005</v>
      </c>
      <c r="T92" s="1006">
        <f t="shared" ref="T92" si="30">T90+T91</f>
        <v>230556.83000000007</v>
      </c>
      <c r="U92" s="1006">
        <f t="shared" ref="U92" si="31">U90+U91</f>
        <v>249875.66000000003</v>
      </c>
      <c r="V92" s="1006">
        <f t="shared" ref="V92:W92" si="32">V90+V91</f>
        <v>271309.19000000006</v>
      </c>
      <c r="W92" s="1006">
        <f t="shared" si="32"/>
        <v>288811.82000000007</v>
      </c>
      <c r="X92" s="1006">
        <f t="shared" ref="X92" si="33">X90+X91</f>
        <v>302852.47000000003</v>
      </c>
      <c r="Y92" s="1006">
        <f t="shared" ref="Y92" si="34">Y90+Y91</f>
        <v>320452.92000000004</v>
      </c>
      <c r="Z92" s="1006">
        <f t="shared" ref="Z92" si="35">Z90+Z91</f>
        <v>352964.25000000006</v>
      </c>
      <c r="AA92" s="1054">
        <f t="shared" ref="AA92" si="36">AA90+AA91</f>
        <v>423926.38000000006</v>
      </c>
      <c r="AB92" s="996">
        <f t="shared" ref="AB92" si="37">AB90+AB91</f>
        <v>428555.71300000005</v>
      </c>
      <c r="AC92" s="996">
        <f t="shared" ref="AC92" si="38">AC90+AC91</f>
        <v>415514.21700000006</v>
      </c>
      <c r="AD92" s="996">
        <f t="shared" ref="AD92" si="39">AD90+AD91</f>
        <v>531744.40260000003</v>
      </c>
      <c r="AE92" s="996">
        <f t="shared" ref="AE92:AF92" si="40">AE90+AE91</f>
        <v>587029.18240000005</v>
      </c>
      <c r="AF92" s="996">
        <f t="shared" si="40"/>
        <v>600304.77679999999</v>
      </c>
      <c r="AG92" s="996">
        <f t="shared" ref="AG92" si="41">AG90+AG91</f>
        <v>718038.82240000006</v>
      </c>
      <c r="AH92" s="996">
        <f t="shared" ref="AH92" si="42">AH90+AH91</f>
        <v>835617.95620000013</v>
      </c>
      <c r="AI92" s="996">
        <f t="shared" ref="AI92" si="43">AI90+AI91</f>
        <v>889381.31780000008</v>
      </c>
      <c r="AJ92" s="996">
        <f t="shared" ref="AJ92" si="44">AJ90+AJ91</f>
        <v>842679.20820000011</v>
      </c>
      <c r="AK92" s="996">
        <f t="shared" ref="AK92" si="45">AK90+AK91</f>
        <v>866154.52880000009</v>
      </c>
      <c r="AL92" s="996">
        <f t="shared" ref="AL92" si="46">AL90+AL91</f>
        <v>1239838.0471999999</v>
      </c>
      <c r="AM92" s="996">
        <f t="shared" ref="AM92" si="47">AM90+AM91</f>
        <v>1618827.8668</v>
      </c>
      <c r="AN92" s="169"/>
      <c r="AO92" s="169"/>
      <c r="AP92" s="169"/>
      <c r="AQ92" s="169"/>
      <c r="AR92" s="169"/>
      <c r="AS92" s="169"/>
      <c r="AT92" s="169"/>
      <c r="AU92" s="169"/>
      <c r="AV92" s="169"/>
      <c r="AW92" s="169"/>
      <c r="AX92" s="169"/>
      <c r="AY92" s="207"/>
      <c r="AZ92" s="207"/>
      <c r="BA92" s="207"/>
      <c r="BB92" s="207"/>
      <c r="BC92" s="207"/>
      <c r="BD92" s="207"/>
      <c r="BE92" s="207"/>
      <c r="BF92" s="207"/>
      <c r="BG92" s="207"/>
      <c r="BH92" s="207"/>
      <c r="BI92" s="207"/>
      <c r="BJ92" s="207"/>
      <c r="BK92" s="207"/>
      <c r="BL92" s="207"/>
      <c r="BM92" s="207"/>
      <c r="BN92" s="207"/>
      <c r="BO92" s="207"/>
      <c r="BP92" s="207"/>
      <c r="BQ92" s="207"/>
      <c r="BR92" s="207"/>
      <c r="BS92" s="207"/>
      <c r="BT92" s="207"/>
      <c r="BU92" s="207"/>
      <c r="BV92" s="207"/>
      <c r="BW92" s="207"/>
      <c r="BX92" s="207"/>
      <c r="BY92" s="207"/>
      <c r="BZ92" s="207"/>
      <c r="CA92" s="207"/>
      <c r="CB92" s="207"/>
      <c r="CC92" s="207"/>
      <c r="CD92" s="207"/>
      <c r="CE92" s="207"/>
      <c r="CF92" s="207"/>
      <c r="CG92" s="207"/>
      <c r="CH92" s="207"/>
      <c r="CI92" s="207"/>
      <c r="CJ92" s="207"/>
      <c r="CK92" s="207"/>
      <c r="CL92" s="207"/>
      <c r="CM92" s="207"/>
      <c r="CN92" s="207"/>
      <c r="CO92" s="207"/>
      <c r="CP92" s="207"/>
      <c r="CQ92" s="207"/>
      <c r="CR92" s="207"/>
      <c r="CS92" s="207"/>
      <c r="CT92" s="207"/>
      <c r="CU92" s="207"/>
      <c r="CV92" s="207"/>
      <c r="CW92" s="207"/>
      <c r="CX92" s="207"/>
      <c r="CY92" s="207"/>
      <c r="CZ92" s="207"/>
      <c r="DA92" s="207"/>
      <c r="DB92" s="207"/>
      <c r="DC92" s="207"/>
      <c r="DD92" s="207"/>
      <c r="DE92" s="207"/>
      <c r="DF92" s="207"/>
      <c r="DG92" s="207"/>
      <c r="DH92" s="207"/>
      <c r="DI92" s="207"/>
      <c r="DJ92" s="207"/>
      <c r="DK92" s="207"/>
      <c r="DL92" s="207"/>
      <c r="DM92" s="207"/>
      <c r="DN92" s="207"/>
      <c r="DO92" s="207"/>
      <c r="DP92" s="207"/>
      <c r="DQ92" s="207"/>
      <c r="DR92" s="207"/>
      <c r="DS92" s="207"/>
      <c r="DT92" s="207"/>
      <c r="DU92" s="207"/>
      <c r="DV92" s="207"/>
      <c r="DW92" s="207"/>
      <c r="DX92" s="207"/>
      <c r="DY92" s="207"/>
      <c r="DZ92" s="207"/>
      <c r="EA92" s="207"/>
      <c r="EB92" s="207"/>
      <c r="EC92" s="207"/>
    </row>
    <row r="93" spans="1:133" s="168" customFormat="1" ht="16.8" thickTop="1" thickBot="1">
      <c r="B93" s="57"/>
      <c r="D93" s="209"/>
      <c r="E93" s="72"/>
      <c r="F93" s="72"/>
      <c r="G93" s="72"/>
      <c r="H93" s="72"/>
      <c r="I93" s="72"/>
      <c r="J93" s="72"/>
      <c r="K93" s="72"/>
      <c r="L93" s="72"/>
      <c r="M93" s="72"/>
      <c r="N93" s="72"/>
      <c r="O93" s="71"/>
      <c r="P93" s="1110"/>
      <c r="Q93" s="71"/>
      <c r="R93" s="71"/>
      <c r="S93" s="71"/>
      <c r="T93" s="71"/>
      <c r="U93" s="71"/>
      <c r="V93" s="71"/>
      <c r="W93" s="71"/>
      <c r="X93" s="71"/>
      <c r="Y93" s="71"/>
      <c r="Z93" s="71"/>
      <c r="AA93" s="1058"/>
      <c r="AB93" s="72"/>
      <c r="AC93" s="72"/>
      <c r="AD93" s="72"/>
      <c r="AE93" s="72"/>
      <c r="AF93" s="72"/>
      <c r="AG93" s="72"/>
      <c r="AH93" s="72"/>
      <c r="AI93" s="72"/>
      <c r="AJ93" s="72"/>
      <c r="AK93" s="72"/>
      <c r="AL93" s="72"/>
      <c r="AM93" s="72"/>
      <c r="AN93" s="72"/>
      <c r="AO93" s="72"/>
      <c r="AP93" s="72"/>
      <c r="AQ93" s="72"/>
      <c r="AR93" s="72"/>
      <c r="AS93" s="72"/>
      <c r="AT93" s="72"/>
      <c r="AU93" s="72"/>
      <c r="AV93" s="72"/>
      <c r="AW93" s="72"/>
      <c r="AX93" s="72"/>
      <c r="AY93" s="207"/>
      <c r="AZ93" s="207"/>
      <c r="BA93" s="207"/>
      <c r="BB93" s="207"/>
      <c r="BC93" s="207"/>
      <c r="BD93" s="207"/>
      <c r="BE93" s="207"/>
      <c r="BF93" s="207"/>
      <c r="BG93" s="207"/>
      <c r="BH93" s="207"/>
      <c r="BI93" s="207"/>
      <c r="BJ93" s="207"/>
      <c r="BK93" s="207"/>
      <c r="BL93" s="207"/>
      <c r="BM93" s="207"/>
      <c r="BN93" s="207"/>
      <c r="BO93" s="207"/>
      <c r="BP93" s="207"/>
      <c r="BQ93" s="207"/>
      <c r="BR93" s="207"/>
      <c r="BS93" s="207"/>
      <c r="BT93" s="207"/>
      <c r="BU93" s="207"/>
      <c r="BV93" s="207"/>
      <c r="BW93" s="207"/>
      <c r="BX93" s="207"/>
      <c r="BY93" s="207"/>
      <c r="BZ93" s="207"/>
      <c r="CA93" s="207"/>
      <c r="CB93" s="207"/>
      <c r="CC93" s="207"/>
      <c r="CD93" s="207"/>
      <c r="CE93" s="207"/>
      <c r="CF93" s="207"/>
      <c r="CG93" s="207"/>
      <c r="CH93" s="207"/>
      <c r="CI93" s="207"/>
      <c r="CJ93" s="207"/>
      <c r="CK93" s="207"/>
      <c r="CL93" s="207"/>
      <c r="CM93" s="207"/>
      <c r="CN93" s="207"/>
      <c r="CO93" s="207"/>
      <c r="CP93" s="207"/>
      <c r="CQ93" s="207"/>
      <c r="CR93" s="207"/>
      <c r="CS93" s="207"/>
      <c r="CT93" s="207"/>
      <c r="CU93" s="207"/>
      <c r="CV93" s="207"/>
      <c r="CW93" s="207"/>
      <c r="CX93" s="207"/>
      <c r="CY93" s="207"/>
      <c r="CZ93" s="207"/>
      <c r="DA93" s="207"/>
      <c r="DB93" s="207"/>
      <c r="DC93" s="207"/>
      <c r="DD93" s="207"/>
      <c r="DE93" s="207"/>
      <c r="DF93" s="207"/>
      <c r="DG93" s="207"/>
      <c r="DH93" s="207"/>
      <c r="DI93" s="207"/>
      <c r="DJ93" s="207"/>
      <c r="DK93" s="207"/>
      <c r="DL93" s="207"/>
      <c r="DM93" s="207"/>
      <c r="DN93" s="207"/>
      <c r="DO93" s="207"/>
      <c r="DP93" s="207"/>
      <c r="DQ93" s="207"/>
      <c r="DR93" s="207"/>
      <c r="DS93" s="207"/>
      <c r="DT93" s="207"/>
      <c r="DU93" s="207"/>
      <c r="DV93" s="207"/>
      <c r="DW93" s="207"/>
      <c r="DX93" s="207"/>
      <c r="DY93" s="207"/>
      <c r="DZ93" s="207"/>
      <c r="EA93" s="207"/>
      <c r="EB93" s="207"/>
      <c r="EC93" s="207"/>
    </row>
    <row r="94" spans="1:133" s="168" customFormat="1" ht="16.2" thickTop="1">
      <c r="B94" s="1086" t="s">
        <v>38</v>
      </c>
      <c r="C94" s="1061"/>
      <c r="D94" s="209"/>
      <c r="E94" s="72"/>
      <c r="F94" s="72"/>
      <c r="G94" s="72"/>
      <c r="H94" s="72"/>
      <c r="I94" s="72"/>
      <c r="J94" s="72"/>
      <c r="K94" s="72"/>
      <c r="L94" s="72"/>
      <c r="M94" s="72"/>
      <c r="N94" s="72"/>
      <c r="O94" s="71"/>
      <c r="P94" s="1110"/>
      <c r="Q94" s="71"/>
      <c r="R94" s="71"/>
      <c r="S94" s="71"/>
      <c r="T94" s="71"/>
      <c r="U94" s="71"/>
      <c r="V94" s="71"/>
      <c r="W94" s="71"/>
      <c r="X94" s="71"/>
      <c r="Y94" s="71"/>
      <c r="Z94" s="71"/>
      <c r="AA94" s="1058"/>
      <c r="AB94" s="72"/>
      <c r="AC94" s="72"/>
      <c r="AD94" s="72"/>
      <c r="AE94" s="72"/>
      <c r="AF94" s="72"/>
      <c r="AG94" s="72"/>
      <c r="AH94" s="72"/>
      <c r="AI94" s="72"/>
      <c r="AJ94" s="72"/>
      <c r="AK94" s="72"/>
      <c r="AL94" s="72"/>
      <c r="AM94" s="72"/>
      <c r="AN94" s="72"/>
      <c r="AO94" s="72"/>
      <c r="AP94" s="72"/>
      <c r="AQ94" s="72"/>
      <c r="AR94" s="72"/>
      <c r="AS94" s="72"/>
      <c r="AT94" s="72"/>
      <c r="AU94" s="72"/>
      <c r="AV94" s="72"/>
      <c r="AW94" s="72"/>
      <c r="AX94" s="72"/>
      <c r="AY94" s="207"/>
      <c r="AZ94" s="207"/>
      <c r="BA94" s="207"/>
      <c r="BB94" s="207"/>
      <c r="BC94" s="207"/>
      <c r="BD94" s="207"/>
      <c r="BE94" s="207"/>
      <c r="BF94" s="207"/>
      <c r="BG94" s="207"/>
      <c r="BH94" s="207"/>
      <c r="BI94" s="207"/>
      <c r="BJ94" s="207"/>
      <c r="BK94" s="207"/>
      <c r="BL94" s="207"/>
      <c r="BM94" s="207"/>
      <c r="BN94" s="207"/>
      <c r="BO94" s="207"/>
      <c r="BP94" s="207"/>
      <c r="BQ94" s="207"/>
      <c r="BR94" s="207"/>
      <c r="BS94" s="207"/>
      <c r="BT94" s="207"/>
      <c r="BU94" s="207"/>
      <c r="BV94" s="207"/>
      <c r="BW94" s="207"/>
      <c r="BX94" s="207"/>
      <c r="BY94" s="207"/>
      <c r="BZ94" s="207"/>
      <c r="CA94" s="207"/>
      <c r="CB94" s="207"/>
      <c r="CC94" s="207"/>
      <c r="CD94" s="207"/>
      <c r="CE94" s="207"/>
      <c r="CF94" s="207"/>
      <c r="CG94" s="207"/>
      <c r="CH94" s="207"/>
      <c r="CI94" s="207"/>
      <c r="CJ94" s="207"/>
      <c r="CK94" s="207"/>
      <c r="CL94" s="207"/>
      <c r="CM94" s="207"/>
      <c r="CN94" s="207"/>
      <c r="CO94" s="207"/>
      <c r="CP94" s="207"/>
      <c r="CQ94" s="207"/>
      <c r="CR94" s="207"/>
      <c r="CS94" s="207"/>
      <c r="CT94" s="207"/>
      <c r="CU94" s="207"/>
      <c r="CV94" s="207"/>
      <c r="CW94" s="207"/>
      <c r="CX94" s="207"/>
      <c r="CY94" s="207"/>
      <c r="CZ94" s="207"/>
      <c r="DA94" s="207"/>
      <c r="DB94" s="207"/>
      <c r="DC94" s="207"/>
      <c r="DD94" s="207"/>
      <c r="DE94" s="207"/>
      <c r="DF94" s="207"/>
      <c r="DG94" s="207"/>
      <c r="DH94" s="207"/>
      <c r="DI94" s="207"/>
      <c r="DJ94" s="207"/>
      <c r="DK94" s="207"/>
      <c r="DL94" s="207"/>
      <c r="DM94" s="207"/>
      <c r="DN94" s="207"/>
      <c r="DO94" s="207"/>
      <c r="DP94" s="207"/>
      <c r="DQ94" s="207"/>
      <c r="DR94" s="207"/>
      <c r="DS94" s="207"/>
      <c r="DT94" s="207"/>
      <c r="DU94" s="207"/>
      <c r="DV94" s="207"/>
      <c r="DW94" s="207"/>
      <c r="DX94" s="207"/>
      <c r="DY94" s="207"/>
      <c r="DZ94" s="207"/>
      <c r="EA94" s="207"/>
      <c r="EB94" s="207"/>
      <c r="EC94" s="207"/>
    </row>
    <row r="95" spans="1:133" s="168" customFormat="1">
      <c r="B95" s="1062" t="s">
        <v>112</v>
      </c>
      <c r="C95" s="1084"/>
      <c r="D95" s="999"/>
      <c r="E95" s="999">
        <f>D97</f>
        <v>30926.399999999998</v>
      </c>
      <c r="F95" s="999">
        <f t="shared" ref="F95:M95" si="48">E97</f>
        <v>35469.599999999999</v>
      </c>
      <c r="G95" s="999">
        <f t="shared" si="48"/>
        <v>43524</v>
      </c>
      <c r="H95" s="999">
        <f t="shared" si="48"/>
        <v>45796.800000000003</v>
      </c>
      <c r="I95" s="999">
        <f t="shared" si="48"/>
        <v>53700</v>
      </c>
      <c r="J95" s="999">
        <f t="shared" si="48"/>
        <v>59373.599999999999</v>
      </c>
      <c r="K95" s="999">
        <f t="shared" si="48"/>
        <v>66290.399999999994</v>
      </c>
      <c r="L95" s="999">
        <f t="shared" si="48"/>
        <v>68075.399999999994</v>
      </c>
      <c r="M95" s="999">
        <f t="shared" si="48"/>
        <v>71805.599999999991</v>
      </c>
      <c r="N95" s="999">
        <f t="shared" ref="N95:AM95" si="49">M97</f>
        <v>77459.999999999985</v>
      </c>
      <c r="O95" s="1002">
        <f t="shared" si="49"/>
        <v>84132.719999999987</v>
      </c>
      <c r="P95" s="1114">
        <f t="shared" si="49"/>
        <v>92114.39999999998</v>
      </c>
      <c r="Q95" s="1002">
        <f t="shared" si="49"/>
        <v>124268.15999999997</v>
      </c>
      <c r="R95" s="1002">
        <f t="shared" si="49"/>
        <v>156208.67999999996</v>
      </c>
      <c r="S95" s="1002">
        <f t="shared" si="49"/>
        <v>199582.79999999996</v>
      </c>
      <c r="T95" s="1002">
        <f t="shared" si="49"/>
        <v>238368.11999999997</v>
      </c>
      <c r="U95" s="1002">
        <f t="shared" si="49"/>
        <v>257274.23999999996</v>
      </c>
      <c r="V95" s="1002">
        <f t="shared" si="49"/>
        <v>278055.95999999996</v>
      </c>
      <c r="W95" s="1002">
        <f t="shared" si="49"/>
        <v>297966.48</v>
      </c>
      <c r="X95" s="1002">
        <f t="shared" si="49"/>
        <v>299086.07999999996</v>
      </c>
      <c r="Y95" s="1002">
        <f t="shared" si="49"/>
        <v>332749.68</v>
      </c>
      <c r="Z95" s="1002">
        <f t="shared" si="49"/>
        <v>358357.8</v>
      </c>
      <c r="AA95" s="1047">
        <f t="shared" si="49"/>
        <v>385912.31999999995</v>
      </c>
      <c r="AB95" s="999">
        <f t="shared" si="49"/>
        <v>383887.55999999994</v>
      </c>
      <c r="AC95" s="999">
        <f t="shared" si="49"/>
        <v>446259.67200000002</v>
      </c>
      <c r="AD95" s="999">
        <f t="shared" si="49"/>
        <v>490615.76639999996</v>
      </c>
      <c r="AE95" s="999">
        <f t="shared" si="49"/>
        <v>564255.63839999994</v>
      </c>
      <c r="AF95" s="999">
        <f t="shared" si="49"/>
        <v>589456.272</v>
      </c>
      <c r="AG95" s="999">
        <f t="shared" si="49"/>
        <v>650022.06960000005</v>
      </c>
      <c r="AH95" s="999">
        <f t="shared" si="49"/>
        <v>744822.77519999992</v>
      </c>
      <c r="AI95" s="999">
        <f t="shared" si="49"/>
        <v>812276.94767999998</v>
      </c>
      <c r="AJ95" s="999">
        <f t="shared" si="49"/>
        <v>843655.22879999992</v>
      </c>
      <c r="AK95" s="999">
        <f t="shared" si="49"/>
        <v>867929.88719999988</v>
      </c>
      <c r="AL95" s="999">
        <f t="shared" si="49"/>
        <v>955858.38239999989</v>
      </c>
      <c r="AM95" s="999">
        <f t="shared" si="49"/>
        <v>1018470.2563679998</v>
      </c>
      <c r="AN95" s="72"/>
      <c r="AO95" s="72"/>
      <c r="AP95" s="72"/>
      <c r="AQ95" s="72"/>
      <c r="AR95" s="72"/>
      <c r="AS95" s="72"/>
      <c r="AT95" s="72"/>
      <c r="AU95" s="72"/>
      <c r="AV95" s="72"/>
      <c r="AW95" s="72"/>
      <c r="AX95" s="72"/>
      <c r="AY95" s="207"/>
      <c r="AZ95" s="207"/>
      <c r="BA95" s="207"/>
      <c r="BB95" s="207"/>
      <c r="BC95" s="207"/>
      <c r="BD95" s="207"/>
      <c r="BE95" s="207"/>
      <c r="BF95" s="207"/>
      <c r="BG95" s="207"/>
      <c r="BH95" s="207"/>
      <c r="BI95" s="207"/>
      <c r="BJ95" s="207"/>
      <c r="BK95" s="207"/>
      <c r="BL95" s="207"/>
      <c r="BM95" s="207"/>
      <c r="BN95" s="207"/>
      <c r="BO95" s="207"/>
      <c r="BP95" s="207"/>
      <c r="BQ95" s="207"/>
      <c r="BR95" s="207"/>
      <c r="BS95" s="207"/>
      <c r="BT95" s="207"/>
      <c r="BU95" s="207"/>
      <c r="BV95" s="207"/>
      <c r="BW95" s="207"/>
      <c r="BX95" s="207"/>
      <c r="BY95" s="207"/>
      <c r="BZ95" s="207"/>
      <c r="CA95" s="207"/>
      <c r="CB95" s="207"/>
      <c r="CC95" s="207"/>
      <c r="CD95" s="207"/>
      <c r="CE95" s="207"/>
      <c r="CF95" s="207"/>
      <c r="CG95" s="207"/>
      <c r="CH95" s="207"/>
      <c r="CI95" s="207"/>
      <c r="CJ95" s="207"/>
      <c r="CK95" s="207"/>
      <c r="CL95" s="207"/>
      <c r="CM95" s="207"/>
      <c r="CN95" s="207"/>
      <c r="CO95" s="207"/>
      <c r="CP95" s="207"/>
      <c r="CQ95" s="207"/>
      <c r="CR95" s="207"/>
      <c r="CS95" s="207"/>
      <c r="CT95" s="207"/>
      <c r="CU95" s="207"/>
      <c r="CV95" s="207"/>
      <c r="CW95" s="207"/>
      <c r="CX95" s="207"/>
      <c r="CY95" s="207"/>
      <c r="CZ95" s="207"/>
      <c r="DA95" s="207"/>
      <c r="DB95" s="207"/>
      <c r="DC95" s="207"/>
      <c r="DD95" s="207"/>
      <c r="DE95" s="207"/>
      <c r="DF95" s="207"/>
      <c r="DG95" s="207"/>
      <c r="DH95" s="207"/>
      <c r="DI95" s="207"/>
      <c r="DJ95" s="207"/>
      <c r="DK95" s="207"/>
      <c r="DL95" s="207"/>
      <c r="DM95" s="207"/>
      <c r="DN95" s="207"/>
      <c r="DO95" s="207"/>
      <c r="DP95" s="207"/>
      <c r="DQ95" s="207"/>
      <c r="DR95" s="207"/>
      <c r="DS95" s="207"/>
      <c r="DT95" s="207"/>
      <c r="DU95" s="207"/>
      <c r="DV95" s="207"/>
      <c r="DW95" s="207"/>
      <c r="DX95" s="207"/>
      <c r="DY95" s="207"/>
      <c r="DZ95" s="207"/>
      <c r="EA95" s="207"/>
      <c r="EB95" s="207"/>
      <c r="EC95" s="207"/>
    </row>
    <row r="96" spans="1:133" s="168" customFormat="1">
      <c r="B96" s="1062" t="s">
        <v>166</v>
      </c>
      <c r="C96" s="1084"/>
      <c r="D96" s="999">
        <f>'Cash Flow'!D84</f>
        <v>30926.399999999998</v>
      </c>
      <c r="E96" s="999">
        <f>'Cash Flow'!E84</f>
        <v>4543.2</v>
      </c>
      <c r="F96" s="999">
        <f>'Cash Flow'!F84</f>
        <v>8054.4</v>
      </c>
      <c r="G96" s="999">
        <f>'Cash Flow'!G84</f>
        <v>2272.7999999999997</v>
      </c>
      <c r="H96" s="999">
        <f>'Cash Flow'!H84</f>
        <v>7903.2</v>
      </c>
      <c r="I96" s="999">
        <f>'Cash Flow'!I84</f>
        <v>5673.5999999999995</v>
      </c>
      <c r="J96" s="999">
        <f>'Cash Flow'!J84</f>
        <v>6916.8</v>
      </c>
      <c r="K96" s="999">
        <f>'Cash Flow'!K84</f>
        <v>1785</v>
      </c>
      <c r="L96" s="999">
        <f>'Cash Flow'!L84</f>
        <v>3730.2</v>
      </c>
      <c r="M96" s="999">
        <f>'Cash Flow'!M84</f>
        <v>5654.4</v>
      </c>
      <c r="N96" s="999">
        <f>'Cash Flow'!N84</f>
        <v>6672.7200000000066</v>
      </c>
      <c r="O96" s="1002">
        <f>'Cash Flow'!O84</f>
        <v>7981.679999999993</v>
      </c>
      <c r="P96" s="1114">
        <f>'Cash Flow'!P84</f>
        <v>32153.760000000002</v>
      </c>
      <c r="Q96" s="1002">
        <f>'Cash Flow'!Q84</f>
        <v>31940.51999999999</v>
      </c>
      <c r="R96" s="1002">
        <f>'Cash Flow'!R84</f>
        <v>43374.12</v>
      </c>
      <c r="S96" s="1002">
        <f>'Cash Flow'!S84</f>
        <v>38785.320000000007</v>
      </c>
      <c r="T96" s="1002">
        <f>'Cash Flow'!T84</f>
        <v>18906.120000000006</v>
      </c>
      <c r="U96" s="1002">
        <f>'Cash Flow'!U84</f>
        <v>20781.719999999972</v>
      </c>
      <c r="V96" s="1002">
        <f>'Cash Flow'!V84</f>
        <v>19910.520000000008</v>
      </c>
      <c r="W96" s="1002">
        <f>'Cash Flow'!W84</f>
        <v>1119.5999999999999</v>
      </c>
      <c r="X96" s="1002">
        <f>'Cash Flow'!X84</f>
        <v>33663.600000000035</v>
      </c>
      <c r="Y96" s="1002">
        <f>'Cash Flow'!Y84</f>
        <v>25608.11999999997</v>
      </c>
      <c r="Z96" s="1002">
        <f>'Cash Flow'!Z84</f>
        <v>27554.519999999971</v>
      </c>
      <c r="AA96" s="1047">
        <f>'Cash Flow'!AA84</f>
        <v>-2024.7599999999859</v>
      </c>
      <c r="AB96" s="999">
        <f>'Cash Flow'!AB84</f>
        <v>62372.112000000081</v>
      </c>
      <c r="AC96" s="999">
        <f>'Cash Flow'!AC84</f>
        <v>44356.094399999944</v>
      </c>
      <c r="AD96" s="999">
        <f>'Cash Flow'!AD84</f>
        <v>73639.871999999988</v>
      </c>
      <c r="AE96" s="999">
        <f>'Cash Flow'!AE84</f>
        <v>25200.633600000059</v>
      </c>
      <c r="AF96" s="999">
        <f>'Cash Flow'!AF84</f>
        <v>60565.79760000002</v>
      </c>
      <c r="AG96" s="999">
        <f>'Cash Flow'!AG84</f>
        <v>94800.705599999841</v>
      </c>
      <c r="AH96" s="999">
        <f>'Cash Flow'!AH84</f>
        <v>67454.172480000081</v>
      </c>
      <c r="AI96" s="999">
        <f>'Cash Flow'!AI84</f>
        <v>31378.281119999941</v>
      </c>
      <c r="AJ96" s="999">
        <f>'Cash Flow'!AJ84</f>
        <v>24274.658399999978</v>
      </c>
      <c r="AK96" s="999">
        <f>'Cash Flow'!AK84</f>
        <v>87928.495200000048</v>
      </c>
      <c r="AL96" s="999">
        <f>'Cash Flow'!AL84</f>
        <v>62611.873967999963</v>
      </c>
      <c r="AM96" s="999">
        <f>'Cash Flow'!AM84</f>
        <v>61836.468191999942</v>
      </c>
      <c r="AN96" s="72"/>
      <c r="AO96" s="72"/>
      <c r="AP96" s="72"/>
      <c r="AQ96" s="72"/>
      <c r="AR96" s="72"/>
      <c r="AS96" s="72"/>
      <c r="AT96" s="72"/>
      <c r="AU96" s="72"/>
      <c r="AV96" s="72"/>
      <c r="AW96" s="72"/>
      <c r="AX96" s="72"/>
      <c r="AY96" s="207"/>
      <c r="AZ96" s="207"/>
      <c r="BA96" s="207"/>
      <c r="BB96" s="207"/>
      <c r="BC96" s="207"/>
      <c r="BD96" s="207"/>
      <c r="BE96" s="207"/>
      <c r="BF96" s="207"/>
      <c r="BG96" s="207"/>
      <c r="BH96" s="207"/>
      <c r="BI96" s="207"/>
      <c r="BJ96" s="207"/>
      <c r="BK96" s="207"/>
      <c r="BL96" s="207"/>
      <c r="BM96" s="207"/>
      <c r="BN96" s="207"/>
      <c r="BO96" s="207"/>
      <c r="BP96" s="207"/>
      <c r="BQ96" s="207"/>
      <c r="BR96" s="207"/>
      <c r="BS96" s="207"/>
      <c r="BT96" s="207"/>
      <c r="BU96" s="207"/>
      <c r="BV96" s="207"/>
      <c r="BW96" s="207"/>
      <c r="BX96" s="207"/>
      <c r="BY96" s="207"/>
      <c r="BZ96" s="207"/>
      <c r="CA96" s="207"/>
      <c r="CB96" s="207"/>
      <c r="CC96" s="207"/>
      <c r="CD96" s="207"/>
      <c r="CE96" s="207"/>
      <c r="CF96" s="207"/>
      <c r="CG96" s="207"/>
      <c r="CH96" s="207"/>
      <c r="CI96" s="207"/>
      <c r="CJ96" s="207"/>
      <c r="CK96" s="207"/>
      <c r="CL96" s="207"/>
      <c r="CM96" s="207"/>
      <c r="CN96" s="207"/>
      <c r="CO96" s="207"/>
      <c r="CP96" s="207"/>
      <c r="CQ96" s="207"/>
      <c r="CR96" s="207"/>
      <c r="CS96" s="207"/>
      <c r="CT96" s="207"/>
      <c r="CU96" s="207"/>
      <c r="CV96" s="207"/>
      <c r="CW96" s="207"/>
      <c r="CX96" s="207"/>
      <c r="CY96" s="207"/>
      <c r="CZ96" s="207"/>
      <c r="DA96" s="207"/>
      <c r="DB96" s="207"/>
      <c r="DC96" s="207"/>
      <c r="DD96" s="207"/>
      <c r="DE96" s="207"/>
      <c r="DF96" s="207"/>
      <c r="DG96" s="207"/>
      <c r="DH96" s="207"/>
      <c r="DI96" s="207"/>
      <c r="DJ96" s="207"/>
      <c r="DK96" s="207"/>
      <c r="DL96" s="207"/>
      <c r="DM96" s="207"/>
      <c r="DN96" s="207"/>
      <c r="DO96" s="207"/>
      <c r="DP96" s="207"/>
      <c r="DQ96" s="207"/>
      <c r="DR96" s="207"/>
      <c r="DS96" s="207"/>
      <c r="DT96" s="207"/>
      <c r="DU96" s="207"/>
      <c r="DV96" s="207"/>
      <c r="DW96" s="207"/>
      <c r="DX96" s="207"/>
      <c r="DY96" s="207"/>
      <c r="DZ96" s="207"/>
      <c r="EA96" s="207"/>
      <c r="EB96" s="207"/>
      <c r="EC96" s="207"/>
    </row>
    <row r="97" spans="1:133" s="168" customFormat="1" ht="16.2" thickBot="1">
      <c r="B97" s="1064" t="s">
        <v>140</v>
      </c>
      <c r="C97" s="1085"/>
      <c r="D97" s="999">
        <f>D95+D96</f>
        <v>30926.399999999998</v>
      </c>
      <c r="E97" s="999">
        <f>E95+E96</f>
        <v>35469.599999999999</v>
      </c>
      <c r="F97" s="999">
        <f t="shared" ref="F97:M97" si="50">F95+F96</f>
        <v>43524</v>
      </c>
      <c r="G97" s="999">
        <f t="shared" si="50"/>
        <v>45796.800000000003</v>
      </c>
      <c r="H97" s="999">
        <f t="shared" si="50"/>
        <v>53700</v>
      </c>
      <c r="I97" s="999">
        <f t="shared" si="50"/>
        <v>59373.599999999999</v>
      </c>
      <c r="J97" s="999">
        <f t="shared" si="50"/>
        <v>66290.399999999994</v>
      </c>
      <c r="K97" s="999">
        <f t="shared" si="50"/>
        <v>68075.399999999994</v>
      </c>
      <c r="L97" s="999">
        <f t="shared" si="50"/>
        <v>71805.599999999991</v>
      </c>
      <c r="M97" s="999">
        <f t="shared" si="50"/>
        <v>77459.999999999985</v>
      </c>
      <c r="N97" s="999">
        <f t="shared" ref="N97" si="51">N95+N96</f>
        <v>84132.719999999987</v>
      </c>
      <c r="O97" s="1002">
        <f t="shared" ref="O97" si="52">O95+O96</f>
        <v>92114.39999999998</v>
      </c>
      <c r="P97" s="1114">
        <f t="shared" ref="P97" si="53">P95+P96</f>
        <v>124268.15999999997</v>
      </c>
      <c r="Q97" s="1002">
        <f t="shared" ref="Q97" si="54">Q95+Q96</f>
        <v>156208.67999999996</v>
      </c>
      <c r="R97" s="1002">
        <f t="shared" ref="R97" si="55">R95+R96</f>
        <v>199582.79999999996</v>
      </c>
      <c r="S97" s="1002">
        <f t="shared" ref="S97" si="56">S95+S96</f>
        <v>238368.11999999997</v>
      </c>
      <c r="T97" s="1002">
        <f t="shared" ref="T97:U97" si="57">T95+T96</f>
        <v>257274.23999999996</v>
      </c>
      <c r="U97" s="1002">
        <f t="shared" si="57"/>
        <v>278055.95999999996</v>
      </c>
      <c r="V97" s="1002">
        <f t="shared" ref="V97" si="58">V95+V96</f>
        <v>297966.48</v>
      </c>
      <c r="W97" s="1002">
        <f t="shared" ref="W97" si="59">W95+W96</f>
        <v>299086.07999999996</v>
      </c>
      <c r="X97" s="1002">
        <f t="shared" ref="X97" si="60">X95+X96</f>
        <v>332749.68</v>
      </c>
      <c r="Y97" s="1002">
        <f t="shared" ref="Y97" si="61">Y95+Y96</f>
        <v>358357.8</v>
      </c>
      <c r="Z97" s="1002">
        <f t="shared" ref="Z97" si="62">Z95+Z96</f>
        <v>385912.31999999995</v>
      </c>
      <c r="AA97" s="1047">
        <f t="shared" ref="AA97" si="63">AA95+AA96</f>
        <v>383887.55999999994</v>
      </c>
      <c r="AB97" s="999">
        <f t="shared" ref="AB97:AC97" si="64">AB95+AB96</f>
        <v>446259.67200000002</v>
      </c>
      <c r="AC97" s="999">
        <f t="shared" si="64"/>
        <v>490615.76639999996</v>
      </c>
      <c r="AD97" s="999">
        <f t="shared" ref="AD97" si="65">AD95+AD96</f>
        <v>564255.63839999994</v>
      </c>
      <c r="AE97" s="999">
        <f t="shared" ref="AE97" si="66">AE95+AE96</f>
        <v>589456.272</v>
      </c>
      <c r="AF97" s="999">
        <f t="shared" ref="AF97" si="67">AF95+AF96</f>
        <v>650022.06960000005</v>
      </c>
      <c r="AG97" s="999">
        <f t="shared" ref="AG97" si="68">AG95+AG96</f>
        <v>744822.77519999992</v>
      </c>
      <c r="AH97" s="999">
        <f t="shared" ref="AH97" si="69">AH95+AH96</f>
        <v>812276.94767999998</v>
      </c>
      <c r="AI97" s="999">
        <f t="shared" ref="AI97" si="70">AI95+AI96</f>
        <v>843655.22879999992</v>
      </c>
      <c r="AJ97" s="999">
        <f t="shared" ref="AJ97:AK97" si="71">AJ95+AJ96</f>
        <v>867929.88719999988</v>
      </c>
      <c r="AK97" s="999">
        <f t="shared" si="71"/>
        <v>955858.38239999989</v>
      </c>
      <c r="AL97" s="999">
        <f t="shared" ref="AL97" si="72">AL95+AL96</f>
        <v>1018470.2563679998</v>
      </c>
      <c r="AM97" s="999">
        <f t="shared" ref="AM97" si="73">AM95+AM96</f>
        <v>1080306.7245599998</v>
      </c>
      <c r="AN97" s="72"/>
      <c r="AO97" s="72"/>
      <c r="AP97" s="72"/>
      <c r="AQ97" s="72"/>
      <c r="AR97" s="72"/>
      <c r="AS97" s="72"/>
      <c r="AT97" s="72"/>
      <c r="AU97" s="72"/>
      <c r="AV97" s="72"/>
      <c r="AW97" s="72"/>
      <c r="AX97" s="72"/>
      <c r="AY97" s="207"/>
      <c r="AZ97" s="207"/>
      <c r="BA97" s="207"/>
      <c r="BB97" s="207"/>
      <c r="BC97" s="207"/>
      <c r="BD97" s="207"/>
      <c r="BE97" s="207"/>
      <c r="BF97" s="207"/>
      <c r="BG97" s="207"/>
      <c r="BH97" s="207"/>
      <c r="BI97" s="207"/>
      <c r="BJ97" s="207"/>
      <c r="BK97" s="207"/>
      <c r="BL97" s="207"/>
      <c r="BM97" s="207"/>
      <c r="BN97" s="207"/>
      <c r="BO97" s="207"/>
      <c r="BP97" s="207"/>
      <c r="BQ97" s="207"/>
      <c r="BR97" s="207"/>
      <c r="BS97" s="207"/>
      <c r="BT97" s="207"/>
      <c r="BU97" s="207"/>
      <c r="BV97" s="207"/>
      <c r="BW97" s="207"/>
      <c r="BX97" s="207"/>
      <c r="BY97" s="207"/>
      <c r="BZ97" s="207"/>
      <c r="CA97" s="207"/>
      <c r="CB97" s="207"/>
      <c r="CC97" s="207"/>
      <c r="CD97" s="207"/>
      <c r="CE97" s="207"/>
      <c r="CF97" s="207"/>
      <c r="CG97" s="207"/>
      <c r="CH97" s="207"/>
      <c r="CI97" s="207"/>
      <c r="CJ97" s="207"/>
      <c r="CK97" s="207"/>
      <c r="CL97" s="207"/>
      <c r="CM97" s="207"/>
      <c r="CN97" s="207"/>
      <c r="CO97" s="207"/>
      <c r="CP97" s="207"/>
      <c r="CQ97" s="207"/>
      <c r="CR97" s="207"/>
      <c r="CS97" s="207"/>
      <c r="CT97" s="207"/>
      <c r="CU97" s="207"/>
      <c r="CV97" s="207"/>
      <c r="CW97" s="207"/>
      <c r="CX97" s="207"/>
      <c r="CY97" s="207"/>
      <c r="CZ97" s="207"/>
      <c r="DA97" s="207"/>
      <c r="DB97" s="207"/>
      <c r="DC97" s="207"/>
      <c r="DD97" s="207"/>
      <c r="DE97" s="207"/>
      <c r="DF97" s="207"/>
      <c r="DG97" s="207"/>
      <c r="DH97" s="207"/>
      <c r="DI97" s="207"/>
      <c r="DJ97" s="207"/>
      <c r="DK97" s="207"/>
      <c r="DL97" s="207"/>
      <c r="DM97" s="207"/>
      <c r="DN97" s="207"/>
      <c r="DO97" s="207"/>
      <c r="DP97" s="207"/>
      <c r="DQ97" s="207"/>
      <c r="DR97" s="207"/>
      <c r="DS97" s="207"/>
      <c r="DT97" s="207"/>
      <c r="DU97" s="207"/>
      <c r="DV97" s="207"/>
      <c r="DW97" s="207"/>
      <c r="DX97" s="207"/>
      <c r="DY97" s="207"/>
      <c r="DZ97" s="207"/>
      <c r="EA97" s="207"/>
      <c r="EB97" s="207"/>
      <c r="EC97" s="207"/>
    </row>
    <row r="98" spans="1:133" s="168" customFormat="1" ht="16.8" thickTop="1" thickBot="1">
      <c r="B98" s="23"/>
      <c r="D98" s="209"/>
      <c r="E98" s="72"/>
      <c r="F98" s="72"/>
      <c r="G98" s="72"/>
      <c r="H98" s="72"/>
      <c r="I98" s="72"/>
      <c r="J98" s="72"/>
      <c r="K98" s="72"/>
      <c r="L98" s="72"/>
      <c r="M98" s="72"/>
      <c r="N98" s="72"/>
      <c r="O98" s="71"/>
      <c r="P98" s="1110"/>
      <c r="Q98" s="71"/>
      <c r="R98" s="71"/>
      <c r="S98" s="71"/>
      <c r="T98" s="71"/>
      <c r="U98" s="71"/>
      <c r="V98" s="71"/>
      <c r="W98" s="71"/>
      <c r="X98" s="71"/>
      <c r="Y98" s="71"/>
      <c r="Z98" s="71"/>
      <c r="AA98" s="1058"/>
      <c r="AB98" s="72"/>
      <c r="AC98" s="72"/>
      <c r="AD98" s="72"/>
      <c r="AE98" s="72"/>
      <c r="AF98" s="72"/>
      <c r="AG98" s="72"/>
      <c r="AH98" s="72"/>
      <c r="AI98" s="72"/>
      <c r="AJ98" s="72"/>
      <c r="AK98" s="72"/>
      <c r="AL98" s="72"/>
      <c r="AM98" s="72"/>
      <c r="AN98" s="72"/>
      <c r="AO98" s="72"/>
      <c r="AP98" s="72"/>
      <c r="AQ98" s="72"/>
      <c r="AR98" s="72"/>
      <c r="AS98" s="72"/>
      <c r="AT98" s="72"/>
      <c r="AU98" s="72"/>
      <c r="AV98" s="72"/>
      <c r="AW98" s="72"/>
      <c r="AX98" s="72"/>
      <c r="AY98" s="207"/>
      <c r="AZ98" s="207"/>
      <c r="BA98" s="207"/>
      <c r="BB98" s="207"/>
      <c r="BC98" s="207"/>
      <c r="BD98" s="207"/>
      <c r="BE98" s="207"/>
      <c r="BF98" s="207"/>
      <c r="BG98" s="207"/>
      <c r="BH98" s="207"/>
      <c r="BI98" s="207"/>
      <c r="BJ98" s="207"/>
      <c r="BK98" s="207"/>
      <c r="BL98" s="207"/>
      <c r="BM98" s="207"/>
      <c r="BN98" s="207"/>
      <c r="BO98" s="207"/>
      <c r="BP98" s="207"/>
      <c r="BQ98" s="207"/>
      <c r="BR98" s="207"/>
      <c r="BS98" s="207"/>
      <c r="BT98" s="207"/>
      <c r="BU98" s="207"/>
      <c r="BV98" s="207"/>
      <c r="BW98" s="207"/>
      <c r="BX98" s="207"/>
      <c r="BY98" s="207"/>
      <c r="BZ98" s="207"/>
      <c r="CA98" s="207"/>
      <c r="CB98" s="207"/>
      <c r="CC98" s="207"/>
      <c r="CD98" s="207"/>
      <c r="CE98" s="207"/>
      <c r="CF98" s="207"/>
      <c r="CG98" s="207"/>
      <c r="CH98" s="207"/>
      <c r="CI98" s="207"/>
      <c r="CJ98" s="207"/>
      <c r="CK98" s="207"/>
      <c r="CL98" s="207"/>
      <c r="CM98" s="207"/>
      <c r="CN98" s="207"/>
      <c r="CO98" s="207"/>
      <c r="CP98" s="207"/>
      <c r="CQ98" s="207"/>
      <c r="CR98" s="207"/>
      <c r="CS98" s="207"/>
      <c r="CT98" s="207"/>
      <c r="CU98" s="207"/>
      <c r="CV98" s="207"/>
      <c r="CW98" s="207"/>
      <c r="CX98" s="207"/>
      <c r="CY98" s="207"/>
      <c r="CZ98" s="207"/>
      <c r="DA98" s="207"/>
      <c r="DB98" s="207"/>
      <c r="DC98" s="207"/>
      <c r="DD98" s="207"/>
      <c r="DE98" s="207"/>
      <c r="DF98" s="207"/>
      <c r="DG98" s="207"/>
      <c r="DH98" s="207"/>
      <c r="DI98" s="207"/>
      <c r="DJ98" s="207"/>
      <c r="DK98" s="207"/>
      <c r="DL98" s="207"/>
      <c r="DM98" s="207"/>
      <c r="DN98" s="207"/>
      <c r="DO98" s="207"/>
      <c r="DP98" s="207"/>
      <c r="DQ98" s="207"/>
      <c r="DR98" s="207"/>
      <c r="DS98" s="207"/>
      <c r="DT98" s="207"/>
      <c r="DU98" s="207"/>
      <c r="DV98" s="207"/>
      <c r="DW98" s="207"/>
      <c r="DX98" s="207"/>
      <c r="DY98" s="207"/>
      <c r="DZ98" s="207"/>
      <c r="EA98" s="207"/>
      <c r="EB98" s="207"/>
      <c r="EC98" s="207"/>
    </row>
    <row r="99" spans="1:133" s="168" customFormat="1" ht="16.2" thickTop="1">
      <c r="B99" s="1060" t="s">
        <v>39</v>
      </c>
      <c r="C99" s="1061"/>
      <c r="D99" s="72"/>
      <c r="E99" s="72"/>
      <c r="F99" s="72"/>
      <c r="G99" s="72"/>
      <c r="H99" s="72"/>
      <c r="I99" s="72"/>
      <c r="J99" s="72"/>
      <c r="K99" s="72"/>
      <c r="L99" s="72"/>
      <c r="M99" s="72"/>
      <c r="N99" s="72"/>
      <c r="O99" s="71"/>
      <c r="P99" s="1110"/>
      <c r="Q99" s="71"/>
      <c r="R99" s="71"/>
      <c r="S99" s="71"/>
      <c r="T99" s="71"/>
      <c r="U99" s="71"/>
      <c r="V99" s="71"/>
      <c r="W99" s="71"/>
      <c r="X99" s="71"/>
      <c r="Y99" s="71"/>
      <c r="Z99" s="71"/>
      <c r="AA99" s="1058"/>
      <c r="AB99" s="72"/>
      <c r="AC99" s="72"/>
      <c r="AD99" s="72"/>
      <c r="AE99" s="72"/>
      <c r="AF99" s="72"/>
      <c r="AG99" s="72"/>
      <c r="AH99" s="72"/>
      <c r="AI99" s="72"/>
      <c r="AJ99" s="72"/>
      <c r="AK99" s="72"/>
      <c r="AL99" s="72"/>
      <c r="AM99" s="72"/>
      <c r="AN99" s="72"/>
      <c r="AO99" s="72"/>
      <c r="AP99" s="72"/>
      <c r="AQ99" s="72"/>
      <c r="AR99" s="72"/>
      <c r="AS99" s="72"/>
      <c r="AT99" s="72"/>
      <c r="AU99" s="72"/>
      <c r="AV99" s="72"/>
      <c r="AW99" s="72"/>
      <c r="AX99" s="72"/>
      <c r="AY99" s="207"/>
      <c r="AZ99" s="207"/>
      <c r="BA99" s="207"/>
      <c r="BB99" s="207"/>
      <c r="BC99" s="207"/>
      <c r="BD99" s="207"/>
      <c r="BE99" s="207"/>
      <c r="BF99" s="207"/>
      <c r="BG99" s="207"/>
      <c r="BH99" s="207"/>
      <c r="BI99" s="207"/>
      <c r="BJ99" s="207"/>
      <c r="BK99" s="207"/>
      <c r="BL99" s="207"/>
      <c r="BM99" s="207"/>
      <c r="BN99" s="207"/>
      <c r="BO99" s="207"/>
      <c r="BP99" s="207"/>
      <c r="BQ99" s="207"/>
      <c r="BR99" s="207"/>
      <c r="BS99" s="207"/>
      <c r="BT99" s="207"/>
      <c r="BU99" s="207"/>
      <c r="BV99" s="207"/>
      <c r="BW99" s="207"/>
      <c r="BX99" s="207"/>
      <c r="BY99" s="207"/>
      <c r="BZ99" s="207"/>
      <c r="CA99" s="207"/>
      <c r="CB99" s="207"/>
      <c r="CC99" s="207"/>
      <c r="CD99" s="207"/>
      <c r="CE99" s="207"/>
      <c r="CF99" s="207"/>
      <c r="CG99" s="207"/>
      <c r="CH99" s="207"/>
      <c r="CI99" s="207"/>
      <c r="CJ99" s="207"/>
      <c r="CK99" s="207"/>
      <c r="CL99" s="207"/>
      <c r="CM99" s="207"/>
      <c r="CN99" s="207"/>
      <c r="CO99" s="207"/>
      <c r="CP99" s="207"/>
      <c r="CQ99" s="207"/>
      <c r="CR99" s="207"/>
      <c r="CS99" s="207"/>
      <c r="CT99" s="207"/>
      <c r="CU99" s="207"/>
      <c r="CV99" s="207"/>
      <c r="CW99" s="207"/>
      <c r="CX99" s="207"/>
      <c r="CY99" s="207"/>
      <c r="CZ99" s="207"/>
      <c r="DA99" s="207"/>
      <c r="DB99" s="207"/>
      <c r="DC99" s="207"/>
      <c r="DD99" s="207"/>
      <c r="DE99" s="207"/>
      <c r="DF99" s="207"/>
      <c r="DG99" s="207"/>
      <c r="DH99" s="207"/>
      <c r="DI99" s="207"/>
      <c r="DJ99" s="207"/>
      <c r="DK99" s="207"/>
      <c r="DL99" s="207"/>
      <c r="DM99" s="207"/>
      <c r="DN99" s="207"/>
      <c r="DO99" s="207"/>
      <c r="DP99" s="207"/>
      <c r="DQ99" s="207"/>
      <c r="DR99" s="207"/>
      <c r="DS99" s="207"/>
      <c r="DT99" s="207"/>
      <c r="DU99" s="207"/>
      <c r="DV99" s="207"/>
      <c r="DW99" s="207"/>
      <c r="DX99" s="207"/>
      <c r="DY99" s="207"/>
      <c r="DZ99" s="207"/>
      <c r="EA99" s="207"/>
      <c r="EB99" s="207"/>
      <c r="EC99" s="207"/>
    </row>
    <row r="100" spans="1:133" s="168" customFormat="1">
      <c r="B100" s="1062" t="s">
        <v>112</v>
      </c>
      <c r="C100" s="1084"/>
      <c r="D100" s="999"/>
      <c r="E100" s="999">
        <f>D102</f>
        <v>5000</v>
      </c>
      <c r="F100" s="999">
        <f t="shared" ref="F100:H100" si="74">E102</f>
        <v>2500</v>
      </c>
      <c r="G100" s="999">
        <f t="shared" si="74"/>
        <v>0</v>
      </c>
      <c r="H100" s="999">
        <f t="shared" si="74"/>
        <v>5000</v>
      </c>
      <c r="I100" s="999">
        <f t="shared" ref="I100:W100" si="75">H102</f>
        <v>2500</v>
      </c>
      <c r="J100" s="999">
        <f t="shared" si="75"/>
        <v>0</v>
      </c>
      <c r="K100" s="999">
        <f t="shared" si="75"/>
        <v>5000</v>
      </c>
      <c r="L100" s="999">
        <f t="shared" si="75"/>
        <v>2500</v>
      </c>
      <c r="M100" s="999">
        <f t="shared" si="75"/>
        <v>0</v>
      </c>
      <c r="N100" s="999">
        <f t="shared" si="75"/>
        <v>5000</v>
      </c>
      <c r="O100" s="1002">
        <f t="shared" si="75"/>
        <v>2500</v>
      </c>
      <c r="P100" s="1114">
        <f t="shared" si="75"/>
        <v>0</v>
      </c>
      <c r="Q100" s="1002">
        <f t="shared" si="75"/>
        <v>5000</v>
      </c>
      <c r="R100" s="1002">
        <f t="shared" si="75"/>
        <v>2500</v>
      </c>
      <c r="S100" s="1002">
        <f t="shared" si="75"/>
        <v>0</v>
      </c>
      <c r="T100" s="1002">
        <f t="shared" si="75"/>
        <v>5000</v>
      </c>
      <c r="U100" s="1002">
        <f t="shared" si="75"/>
        <v>2500</v>
      </c>
      <c r="V100" s="1002">
        <f t="shared" si="75"/>
        <v>0</v>
      </c>
      <c r="W100" s="1002">
        <f t="shared" si="75"/>
        <v>5000</v>
      </c>
      <c r="X100" s="1002">
        <f t="shared" ref="X100:AM100" si="76">W102</f>
        <v>2500</v>
      </c>
      <c r="Y100" s="1002">
        <f t="shared" si="76"/>
        <v>0</v>
      </c>
      <c r="Z100" s="1002">
        <f t="shared" si="76"/>
        <v>5000</v>
      </c>
      <c r="AA100" s="1047">
        <f t="shared" si="76"/>
        <v>2500</v>
      </c>
      <c r="AB100" s="999">
        <f t="shared" si="76"/>
        <v>0</v>
      </c>
      <c r="AC100" s="999">
        <f t="shared" si="76"/>
        <v>5550</v>
      </c>
      <c r="AD100" s="999">
        <f t="shared" si="76"/>
        <v>2775</v>
      </c>
      <c r="AE100" s="999">
        <f t="shared" si="76"/>
        <v>0</v>
      </c>
      <c r="AF100" s="999">
        <f t="shared" si="76"/>
        <v>5550</v>
      </c>
      <c r="AG100" s="999">
        <f t="shared" si="76"/>
        <v>2775</v>
      </c>
      <c r="AH100" s="999">
        <f t="shared" si="76"/>
        <v>0</v>
      </c>
      <c r="AI100" s="999">
        <f t="shared" si="76"/>
        <v>5550</v>
      </c>
      <c r="AJ100" s="999">
        <f t="shared" si="76"/>
        <v>2775</v>
      </c>
      <c r="AK100" s="999">
        <f t="shared" si="76"/>
        <v>0</v>
      </c>
      <c r="AL100" s="999">
        <f t="shared" si="76"/>
        <v>5550</v>
      </c>
      <c r="AM100" s="999">
        <f t="shared" si="76"/>
        <v>2775</v>
      </c>
      <c r="AN100" s="72"/>
      <c r="AO100" s="72"/>
      <c r="AP100" s="72"/>
      <c r="AQ100" s="72"/>
      <c r="AR100" s="72"/>
      <c r="AS100" s="72"/>
      <c r="AT100" s="72"/>
      <c r="AU100" s="72"/>
      <c r="AV100" s="72"/>
      <c r="AW100" s="72"/>
      <c r="AX100" s="72"/>
      <c r="AY100" s="207"/>
      <c r="AZ100" s="207"/>
      <c r="BA100" s="207"/>
      <c r="BB100" s="207"/>
      <c r="BC100" s="207"/>
      <c r="BD100" s="207"/>
      <c r="BE100" s="207"/>
      <c r="BF100" s="207"/>
      <c r="BG100" s="207"/>
      <c r="BH100" s="207"/>
      <c r="BI100" s="207"/>
      <c r="BJ100" s="207"/>
      <c r="BK100" s="207"/>
      <c r="BL100" s="207"/>
      <c r="BM100" s="207"/>
      <c r="BN100" s="207"/>
      <c r="BO100" s="207"/>
      <c r="BP100" s="207"/>
      <c r="BQ100" s="207"/>
      <c r="BR100" s="207"/>
      <c r="BS100" s="207"/>
      <c r="BT100" s="207"/>
      <c r="BU100" s="207"/>
      <c r="BV100" s="207"/>
      <c r="BW100" s="207"/>
      <c r="BX100" s="207"/>
      <c r="BY100" s="207"/>
      <c r="BZ100" s="207"/>
      <c r="CA100" s="207"/>
      <c r="CB100" s="207"/>
      <c r="CC100" s="207"/>
      <c r="CD100" s="207"/>
      <c r="CE100" s="207"/>
      <c r="CF100" s="207"/>
      <c r="CG100" s="207"/>
      <c r="CH100" s="207"/>
      <c r="CI100" s="207"/>
      <c r="CJ100" s="207"/>
      <c r="CK100" s="207"/>
      <c r="CL100" s="207"/>
      <c r="CM100" s="207"/>
      <c r="CN100" s="207"/>
      <c r="CO100" s="207"/>
      <c r="CP100" s="207"/>
      <c r="CQ100" s="207"/>
      <c r="CR100" s="207"/>
      <c r="CS100" s="207"/>
      <c r="CT100" s="207"/>
      <c r="CU100" s="207"/>
      <c r="CV100" s="207"/>
      <c r="CW100" s="207"/>
      <c r="CX100" s="207"/>
      <c r="CY100" s="207"/>
      <c r="CZ100" s="207"/>
      <c r="DA100" s="207"/>
      <c r="DB100" s="207"/>
      <c r="DC100" s="207"/>
      <c r="DD100" s="207"/>
      <c r="DE100" s="207"/>
      <c r="DF100" s="207"/>
      <c r="DG100" s="207"/>
      <c r="DH100" s="207"/>
      <c r="DI100" s="207"/>
      <c r="DJ100" s="207"/>
      <c r="DK100" s="207"/>
      <c r="DL100" s="207"/>
      <c r="DM100" s="207"/>
      <c r="DN100" s="207"/>
      <c r="DO100" s="207"/>
      <c r="DP100" s="207"/>
      <c r="DQ100" s="207"/>
      <c r="DR100" s="207"/>
      <c r="DS100" s="207"/>
      <c r="DT100" s="207"/>
      <c r="DU100" s="207"/>
      <c r="DV100" s="207"/>
      <c r="DW100" s="207"/>
      <c r="DX100" s="207"/>
      <c r="DY100" s="207"/>
      <c r="DZ100" s="207"/>
      <c r="EA100" s="207"/>
      <c r="EB100" s="207"/>
      <c r="EC100" s="207"/>
    </row>
    <row r="101" spans="1:133" s="168" customFormat="1">
      <c r="B101" s="1062" t="s">
        <v>166</v>
      </c>
      <c r="C101" s="1084"/>
      <c r="D101" s="999">
        <f>'Cash Flow'!D99</f>
        <v>5000</v>
      </c>
      <c r="E101" s="999">
        <f>'Cash Flow'!E99</f>
        <v>-2500</v>
      </c>
      <c r="F101" s="999">
        <f>'Cash Flow'!F99</f>
        <v>-2500</v>
      </c>
      <c r="G101" s="999">
        <f>'Cash Flow'!G99</f>
        <v>5000</v>
      </c>
      <c r="H101" s="999">
        <f>'Cash Flow'!H99</f>
        <v>-2500</v>
      </c>
      <c r="I101" s="999">
        <f>'Cash Flow'!I99</f>
        <v>-2500</v>
      </c>
      <c r="J101" s="999">
        <f>'Cash Flow'!J99</f>
        <v>5000</v>
      </c>
      <c r="K101" s="999">
        <f>'Cash Flow'!K99</f>
        <v>-2500</v>
      </c>
      <c r="L101" s="999">
        <f>'Cash Flow'!L99</f>
        <v>-2500</v>
      </c>
      <c r="M101" s="999">
        <f>'Cash Flow'!M99</f>
        <v>5000</v>
      </c>
      <c r="N101" s="999">
        <f>'Cash Flow'!N99</f>
        <v>-2500</v>
      </c>
      <c r="O101" s="1002">
        <f>'Cash Flow'!O99</f>
        <v>-2500</v>
      </c>
      <c r="P101" s="1114">
        <f>'Cash Flow'!P99</f>
        <v>5000</v>
      </c>
      <c r="Q101" s="1002">
        <f>'Cash Flow'!Q99</f>
        <v>-2500</v>
      </c>
      <c r="R101" s="1002">
        <f>'Cash Flow'!R99</f>
        <v>-2500</v>
      </c>
      <c r="S101" s="1002">
        <f>'Cash Flow'!S99</f>
        <v>5000</v>
      </c>
      <c r="T101" s="1002">
        <f>'Cash Flow'!T99</f>
        <v>-2500</v>
      </c>
      <c r="U101" s="1002">
        <f>'Cash Flow'!U99</f>
        <v>-2500</v>
      </c>
      <c r="V101" s="1002">
        <f>'Cash Flow'!V99</f>
        <v>5000</v>
      </c>
      <c r="W101" s="1002">
        <f>'Cash Flow'!W99</f>
        <v>-2500</v>
      </c>
      <c r="X101" s="1002">
        <f>'Cash Flow'!X99</f>
        <v>-2500</v>
      </c>
      <c r="Y101" s="1002">
        <f>'Cash Flow'!Y99</f>
        <v>5000</v>
      </c>
      <c r="Z101" s="1002">
        <f>'Cash Flow'!Z99</f>
        <v>-2500</v>
      </c>
      <c r="AA101" s="1047">
        <f>'Cash Flow'!AA99</f>
        <v>-2500</v>
      </c>
      <c r="AB101" s="999">
        <f>'Cash Flow'!AB99</f>
        <v>5550</v>
      </c>
      <c r="AC101" s="999">
        <f>'Cash Flow'!AC99</f>
        <v>-2775</v>
      </c>
      <c r="AD101" s="999">
        <f>'Cash Flow'!AD99</f>
        <v>-2775</v>
      </c>
      <c r="AE101" s="999">
        <f>'Cash Flow'!AE99</f>
        <v>5550</v>
      </c>
      <c r="AF101" s="999">
        <f>'Cash Flow'!AF99</f>
        <v>-2775</v>
      </c>
      <c r="AG101" s="999">
        <f>'Cash Flow'!AG99</f>
        <v>-2775</v>
      </c>
      <c r="AH101" s="999">
        <f>'Cash Flow'!AH99</f>
        <v>5550</v>
      </c>
      <c r="AI101" s="999">
        <f>'Cash Flow'!AI99</f>
        <v>-2775</v>
      </c>
      <c r="AJ101" s="999">
        <f>'Cash Flow'!AJ99</f>
        <v>-2775</v>
      </c>
      <c r="AK101" s="999">
        <f>'Cash Flow'!AK99</f>
        <v>5550</v>
      </c>
      <c r="AL101" s="999">
        <f>'Cash Flow'!AL99</f>
        <v>-2775</v>
      </c>
      <c r="AM101" s="999">
        <f>'Cash Flow'!AM99</f>
        <v>-2775</v>
      </c>
      <c r="AN101" s="72"/>
      <c r="AO101" s="72"/>
      <c r="AP101" s="72"/>
      <c r="AQ101" s="72"/>
      <c r="AR101" s="72"/>
      <c r="AS101" s="72"/>
      <c r="AT101" s="72"/>
      <c r="AU101" s="72"/>
      <c r="AV101" s="72"/>
      <c r="AW101" s="72"/>
      <c r="AX101" s="72"/>
      <c r="AY101" s="207"/>
      <c r="AZ101" s="207"/>
      <c r="BA101" s="207"/>
      <c r="BB101" s="207"/>
      <c r="BC101" s="207"/>
      <c r="BD101" s="207"/>
      <c r="BE101" s="207"/>
      <c r="BF101" s="207"/>
      <c r="BG101" s="207"/>
      <c r="BH101" s="207"/>
      <c r="BI101" s="207"/>
      <c r="BJ101" s="207"/>
      <c r="BK101" s="207"/>
      <c r="BL101" s="207"/>
      <c r="BM101" s="207"/>
      <c r="BN101" s="207"/>
      <c r="BO101" s="207"/>
      <c r="BP101" s="207"/>
      <c r="BQ101" s="207"/>
      <c r="BR101" s="207"/>
      <c r="BS101" s="207"/>
      <c r="BT101" s="207"/>
      <c r="BU101" s="207"/>
      <c r="BV101" s="207"/>
      <c r="BW101" s="207"/>
      <c r="BX101" s="207"/>
      <c r="BY101" s="207"/>
      <c r="BZ101" s="207"/>
      <c r="CA101" s="207"/>
      <c r="CB101" s="207"/>
      <c r="CC101" s="207"/>
      <c r="CD101" s="207"/>
      <c r="CE101" s="207"/>
      <c r="CF101" s="207"/>
      <c r="CG101" s="207"/>
      <c r="CH101" s="207"/>
      <c r="CI101" s="207"/>
      <c r="CJ101" s="207"/>
      <c r="CK101" s="207"/>
      <c r="CL101" s="207"/>
      <c r="CM101" s="207"/>
      <c r="CN101" s="207"/>
      <c r="CO101" s="207"/>
      <c r="CP101" s="207"/>
      <c r="CQ101" s="207"/>
      <c r="CR101" s="207"/>
      <c r="CS101" s="207"/>
      <c r="CT101" s="207"/>
      <c r="CU101" s="207"/>
      <c r="CV101" s="207"/>
      <c r="CW101" s="207"/>
      <c r="CX101" s="207"/>
      <c r="CY101" s="207"/>
      <c r="CZ101" s="207"/>
      <c r="DA101" s="207"/>
      <c r="DB101" s="207"/>
      <c r="DC101" s="207"/>
      <c r="DD101" s="207"/>
      <c r="DE101" s="207"/>
      <c r="DF101" s="207"/>
      <c r="DG101" s="207"/>
      <c r="DH101" s="207"/>
      <c r="DI101" s="207"/>
      <c r="DJ101" s="207"/>
      <c r="DK101" s="207"/>
      <c r="DL101" s="207"/>
      <c r="DM101" s="207"/>
      <c r="DN101" s="207"/>
      <c r="DO101" s="207"/>
      <c r="DP101" s="207"/>
      <c r="DQ101" s="207"/>
      <c r="DR101" s="207"/>
      <c r="DS101" s="207"/>
      <c r="DT101" s="207"/>
      <c r="DU101" s="207"/>
      <c r="DV101" s="207"/>
      <c r="DW101" s="207"/>
      <c r="DX101" s="207"/>
      <c r="DY101" s="207"/>
      <c r="DZ101" s="207"/>
      <c r="EA101" s="207"/>
      <c r="EB101" s="207"/>
      <c r="EC101" s="207"/>
    </row>
    <row r="102" spans="1:133" s="168" customFormat="1" ht="16.2" thickBot="1">
      <c r="B102" s="1076" t="s">
        <v>140</v>
      </c>
      <c r="C102" s="1085"/>
      <c r="D102" s="996">
        <f>D100+D101</f>
        <v>5000</v>
      </c>
      <c r="E102" s="996">
        <f>E100+E101</f>
        <v>2500</v>
      </c>
      <c r="F102" s="996">
        <f t="shared" ref="F102:H102" si="77">F100+F101</f>
        <v>0</v>
      </c>
      <c r="G102" s="996">
        <f t="shared" si="77"/>
        <v>5000</v>
      </c>
      <c r="H102" s="996">
        <f t="shared" si="77"/>
        <v>2500</v>
      </c>
      <c r="I102" s="996">
        <f t="shared" ref="I102" si="78">I100+I101</f>
        <v>0</v>
      </c>
      <c r="J102" s="996">
        <f t="shared" ref="J102:K102" si="79">J100+J101</f>
        <v>5000</v>
      </c>
      <c r="K102" s="996">
        <f t="shared" si="79"/>
        <v>2500</v>
      </c>
      <c r="L102" s="996">
        <f t="shared" ref="L102" si="80">L100+L101</f>
        <v>0</v>
      </c>
      <c r="M102" s="996">
        <f t="shared" ref="M102:N102" si="81">M100+M101</f>
        <v>5000</v>
      </c>
      <c r="N102" s="996">
        <f t="shared" si="81"/>
        <v>2500</v>
      </c>
      <c r="O102" s="1006">
        <f t="shared" ref="O102" si="82">O100+O101</f>
        <v>0</v>
      </c>
      <c r="P102" s="1115">
        <f t="shared" ref="P102:Q102" si="83">P100+P101</f>
        <v>5000</v>
      </c>
      <c r="Q102" s="1006">
        <f t="shared" si="83"/>
        <v>2500</v>
      </c>
      <c r="R102" s="1006">
        <f t="shared" ref="R102" si="84">R100+R101</f>
        <v>0</v>
      </c>
      <c r="S102" s="1006">
        <f t="shared" ref="S102:T102" si="85">S100+S101</f>
        <v>5000</v>
      </c>
      <c r="T102" s="1006">
        <f t="shared" si="85"/>
        <v>2500</v>
      </c>
      <c r="U102" s="1006">
        <f t="shared" ref="U102" si="86">U100+U101</f>
        <v>0</v>
      </c>
      <c r="V102" s="1006">
        <f t="shared" ref="V102" si="87">V100+V101</f>
        <v>5000</v>
      </c>
      <c r="W102" s="1006">
        <f t="shared" ref="W102" si="88">W100+W101</f>
        <v>2500</v>
      </c>
      <c r="X102" s="1006">
        <f t="shared" ref="X102" si="89">X100+X101</f>
        <v>0</v>
      </c>
      <c r="Y102" s="1006">
        <f t="shared" ref="Y102" si="90">Y100+Y101</f>
        <v>5000</v>
      </c>
      <c r="Z102" s="1006">
        <f t="shared" ref="Z102" si="91">Z100+Z101</f>
        <v>2500</v>
      </c>
      <c r="AA102" s="1054">
        <f t="shared" ref="AA102" si="92">AA100+AA101</f>
        <v>0</v>
      </c>
      <c r="AB102" s="996">
        <f t="shared" ref="AB102" si="93">AB100+AB101</f>
        <v>5550</v>
      </c>
      <c r="AC102" s="996">
        <f t="shared" ref="AC102" si="94">AC100+AC101</f>
        <v>2775</v>
      </c>
      <c r="AD102" s="996">
        <f t="shared" ref="AD102" si="95">AD100+AD101</f>
        <v>0</v>
      </c>
      <c r="AE102" s="996">
        <f t="shared" ref="AE102" si="96">AE100+AE101</f>
        <v>5550</v>
      </c>
      <c r="AF102" s="996">
        <f t="shared" ref="AF102" si="97">AF100+AF101</f>
        <v>2775</v>
      </c>
      <c r="AG102" s="996">
        <f t="shared" ref="AG102" si="98">AG100+AG101</f>
        <v>0</v>
      </c>
      <c r="AH102" s="996">
        <f t="shared" ref="AH102:AI102" si="99">AH100+AH101</f>
        <v>5550</v>
      </c>
      <c r="AI102" s="996">
        <f t="shared" si="99"/>
        <v>2775</v>
      </c>
      <c r="AJ102" s="996">
        <f t="shared" ref="AJ102" si="100">AJ100+AJ101</f>
        <v>0</v>
      </c>
      <c r="AK102" s="996">
        <f t="shared" ref="AK102" si="101">AK100+AK101</f>
        <v>5550</v>
      </c>
      <c r="AL102" s="996">
        <f t="shared" ref="AL102" si="102">AL100+AL101</f>
        <v>2775</v>
      </c>
      <c r="AM102" s="996">
        <f t="shared" ref="AM102" si="103">AM100+AM101</f>
        <v>0</v>
      </c>
      <c r="AN102" s="169"/>
      <c r="AO102" s="169"/>
      <c r="AP102" s="169"/>
      <c r="AQ102" s="169"/>
      <c r="AR102" s="169"/>
      <c r="AS102" s="169"/>
      <c r="AT102" s="169"/>
      <c r="AU102" s="169"/>
      <c r="AV102" s="169"/>
      <c r="AW102" s="169"/>
      <c r="AX102" s="169"/>
      <c r="AY102" s="207"/>
      <c r="AZ102" s="207"/>
      <c r="BA102" s="207"/>
      <c r="BB102" s="207"/>
      <c r="BC102" s="207"/>
      <c r="BD102" s="207"/>
      <c r="BE102" s="207"/>
      <c r="BF102" s="207"/>
      <c r="BG102" s="207"/>
      <c r="BH102" s="207"/>
      <c r="BI102" s="207"/>
      <c r="BJ102" s="207"/>
      <c r="BK102" s="207"/>
      <c r="BL102" s="207"/>
      <c r="BM102" s="207"/>
      <c r="BN102" s="207"/>
      <c r="BO102" s="207"/>
      <c r="BP102" s="207"/>
      <c r="BQ102" s="207"/>
      <c r="BR102" s="207"/>
      <c r="BS102" s="207"/>
      <c r="BT102" s="207"/>
      <c r="BU102" s="207"/>
      <c r="BV102" s="207"/>
      <c r="BW102" s="207"/>
      <c r="BX102" s="207"/>
      <c r="BY102" s="207"/>
      <c r="BZ102" s="207"/>
      <c r="CA102" s="207"/>
      <c r="CB102" s="207"/>
      <c r="CC102" s="207"/>
      <c r="CD102" s="207"/>
      <c r="CE102" s="207"/>
      <c r="CF102" s="207"/>
      <c r="CG102" s="207"/>
      <c r="CH102" s="207"/>
      <c r="CI102" s="207"/>
      <c r="CJ102" s="207"/>
      <c r="CK102" s="207"/>
      <c r="CL102" s="207"/>
      <c r="CM102" s="207"/>
      <c r="CN102" s="207"/>
      <c r="CO102" s="207"/>
      <c r="CP102" s="207"/>
      <c r="CQ102" s="207"/>
      <c r="CR102" s="207"/>
      <c r="CS102" s="207"/>
      <c r="CT102" s="207"/>
      <c r="CU102" s="207"/>
      <c r="CV102" s="207"/>
      <c r="CW102" s="207"/>
      <c r="CX102" s="207"/>
      <c r="CY102" s="207"/>
      <c r="CZ102" s="207"/>
      <c r="DA102" s="207"/>
      <c r="DB102" s="207"/>
      <c r="DC102" s="207"/>
      <c r="DD102" s="207"/>
      <c r="DE102" s="207"/>
      <c r="DF102" s="207"/>
      <c r="DG102" s="207"/>
      <c r="DH102" s="207"/>
      <c r="DI102" s="207"/>
      <c r="DJ102" s="207"/>
      <c r="DK102" s="207"/>
      <c r="DL102" s="207"/>
      <c r="DM102" s="207"/>
      <c r="DN102" s="207"/>
      <c r="DO102" s="207"/>
      <c r="DP102" s="207"/>
      <c r="DQ102" s="207"/>
      <c r="DR102" s="207"/>
      <c r="DS102" s="207"/>
      <c r="DT102" s="207"/>
      <c r="DU102" s="207"/>
      <c r="DV102" s="207"/>
      <c r="DW102" s="207"/>
      <c r="DX102" s="207"/>
      <c r="DY102" s="207"/>
      <c r="DZ102" s="207"/>
      <c r="EA102" s="207"/>
      <c r="EB102" s="207"/>
      <c r="EC102" s="207"/>
    </row>
    <row r="103" spans="1:133" s="168" customFormat="1" ht="16.8" thickTop="1" thickBot="1">
      <c r="B103" s="57"/>
      <c r="D103" s="72"/>
      <c r="E103" s="72"/>
      <c r="F103" s="72"/>
      <c r="G103" s="72"/>
      <c r="H103" s="72"/>
      <c r="I103" s="72"/>
      <c r="J103" s="72"/>
      <c r="K103" s="72"/>
      <c r="L103" s="72"/>
      <c r="M103" s="72"/>
      <c r="N103" s="72"/>
      <c r="O103" s="71"/>
      <c r="P103" s="1110"/>
      <c r="Q103" s="71"/>
      <c r="R103" s="71"/>
      <c r="S103" s="71"/>
      <c r="T103" s="71"/>
      <c r="U103" s="71"/>
      <c r="V103" s="71"/>
      <c r="W103" s="71"/>
      <c r="X103" s="71"/>
      <c r="Y103" s="71"/>
      <c r="Z103" s="71"/>
      <c r="AA103" s="1058"/>
      <c r="AB103" s="72"/>
      <c r="AC103" s="72"/>
      <c r="AD103" s="72"/>
      <c r="AE103" s="72"/>
      <c r="AF103" s="72"/>
      <c r="AG103" s="72"/>
      <c r="AH103" s="72"/>
      <c r="AI103" s="72"/>
      <c r="AJ103" s="72"/>
      <c r="AK103" s="72"/>
      <c r="AL103" s="72"/>
      <c r="AM103" s="72"/>
      <c r="AN103" s="72"/>
      <c r="AO103" s="72"/>
      <c r="AP103" s="72"/>
      <c r="AQ103" s="72"/>
      <c r="AR103" s="72"/>
      <c r="AS103" s="72"/>
      <c r="AT103" s="72"/>
      <c r="AU103" s="72"/>
      <c r="AV103" s="72"/>
      <c r="AW103" s="72"/>
      <c r="AX103" s="72"/>
      <c r="AY103" s="207"/>
      <c r="AZ103" s="207"/>
      <c r="BA103" s="207"/>
      <c r="BB103" s="207"/>
      <c r="BC103" s="207"/>
      <c r="BD103" s="207"/>
      <c r="BE103" s="207"/>
      <c r="BF103" s="207"/>
      <c r="BG103" s="207"/>
      <c r="BH103" s="207"/>
      <c r="BI103" s="207"/>
      <c r="BJ103" s="207"/>
      <c r="BK103" s="207"/>
      <c r="BL103" s="207"/>
      <c r="BM103" s="207"/>
      <c r="BN103" s="207"/>
      <c r="BO103" s="207"/>
      <c r="BP103" s="207"/>
      <c r="BQ103" s="207"/>
      <c r="BR103" s="207"/>
      <c r="BS103" s="207"/>
      <c r="BT103" s="207"/>
      <c r="BU103" s="207"/>
      <c r="BV103" s="207"/>
      <c r="BW103" s="207"/>
      <c r="BX103" s="207"/>
      <c r="BY103" s="207"/>
      <c r="BZ103" s="207"/>
      <c r="CA103" s="207"/>
      <c r="CB103" s="207"/>
      <c r="CC103" s="207"/>
      <c r="CD103" s="207"/>
      <c r="CE103" s="207"/>
      <c r="CF103" s="207"/>
      <c r="CG103" s="207"/>
      <c r="CH103" s="207"/>
      <c r="CI103" s="207"/>
      <c r="CJ103" s="207"/>
      <c r="CK103" s="207"/>
      <c r="CL103" s="207"/>
      <c r="CM103" s="207"/>
      <c r="CN103" s="207"/>
      <c r="CO103" s="207"/>
      <c r="CP103" s="207"/>
      <c r="CQ103" s="207"/>
      <c r="CR103" s="207"/>
      <c r="CS103" s="207"/>
      <c r="CT103" s="207"/>
      <c r="CU103" s="207"/>
      <c r="CV103" s="207"/>
      <c r="CW103" s="207"/>
      <c r="CX103" s="207"/>
      <c r="CY103" s="207"/>
      <c r="CZ103" s="207"/>
      <c r="DA103" s="207"/>
      <c r="DB103" s="207"/>
      <c r="DC103" s="207"/>
      <c r="DD103" s="207"/>
      <c r="DE103" s="207"/>
      <c r="DF103" s="207"/>
      <c r="DG103" s="207"/>
      <c r="DH103" s="207"/>
      <c r="DI103" s="207"/>
      <c r="DJ103" s="207"/>
      <c r="DK103" s="207"/>
      <c r="DL103" s="207"/>
      <c r="DM103" s="207"/>
      <c r="DN103" s="207"/>
      <c r="DO103" s="207"/>
      <c r="DP103" s="207"/>
      <c r="DQ103" s="207"/>
      <c r="DR103" s="207"/>
      <c r="DS103" s="207"/>
      <c r="DT103" s="207"/>
      <c r="DU103" s="207"/>
      <c r="DV103" s="207"/>
      <c r="DW103" s="207"/>
      <c r="DX103" s="207"/>
      <c r="DY103" s="207"/>
      <c r="DZ103" s="207"/>
      <c r="EA103" s="207"/>
      <c r="EB103" s="207"/>
      <c r="EC103" s="207"/>
    </row>
    <row r="104" spans="1:133" ht="16.2" thickTop="1">
      <c r="B104" s="1087" t="s">
        <v>43</v>
      </c>
      <c r="C104" s="1088"/>
      <c r="D104" s="72"/>
      <c r="E104" s="72"/>
      <c r="F104" s="72"/>
      <c r="G104" s="72"/>
      <c r="H104" s="72"/>
      <c r="I104" s="72"/>
      <c r="J104" s="72"/>
      <c r="K104" s="72"/>
      <c r="L104" s="72"/>
      <c r="M104" s="72"/>
      <c r="N104" s="72"/>
      <c r="O104" s="71"/>
      <c r="P104" s="1110"/>
      <c r="Q104" s="71"/>
      <c r="R104" s="71"/>
      <c r="S104" s="71"/>
      <c r="T104" s="71"/>
      <c r="U104" s="71"/>
      <c r="V104" s="71"/>
      <c r="W104" s="71"/>
      <c r="X104" s="71"/>
      <c r="Y104" s="71"/>
      <c r="Z104" s="71"/>
      <c r="AA104" s="1058"/>
      <c r="AB104" s="72"/>
      <c r="AC104" s="72"/>
      <c r="AD104" s="72"/>
      <c r="AE104" s="72"/>
      <c r="AF104" s="72"/>
      <c r="AG104" s="72"/>
      <c r="AH104" s="72"/>
      <c r="AI104" s="72"/>
      <c r="AJ104" s="72"/>
      <c r="AK104" s="72"/>
      <c r="AL104" s="72"/>
      <c r="AM104" s="72"/>
      <c r="AN104" s="72"/>
      <c r="AO104" s="72"/>
      <c r="AP104" s="72"/>
      <c r="AQ104" s="72"/>
      <c r="AR104" s="72"/>
      <c r="AS104" s="72"/>
      <c r="AT104" s="72"/>
      <c r="AU104" s="72"/>
      <c r="AV104" s="72"/>
      <c r="AW104" s="72"/>
      <c r="AX104" s="72"/>
      <c r="AY104" s="72"/>
      <c r="AZ104" s="72"/>
      <c r="BA104" s="72"/>
      <c r="BB104" s="72"/>
      <c r="BC104" s="72"/>
      <c r="BD104" s="72"/>
      <c r="BE104" s="72"/>
      <c r="BF104" s="72"/>
      <c r="BG104" s="72"/>
      <c r="BH104" s="72"/>
    </row>
    <row r="105" spans="1:133">
      <c r="B105" s="1062" t="s">
        <v>112</v>
      </c>
      <c r="C105" s="1030"/>
      <c r="D105" s="999"/>
      <c r="E105" s="999">
        <f>D108</f>
        <v>70786.399999999994</v>
      </c>
      <c r="F105" s="999">
        <f t="shared" ref="F105:S105" si="104">E108</f>
        <v>98162.959999999992</v>
      </c>
      <c r="G105" s="999">
        <f t="shared" si="104"/>
        <v>14336.399999999994</v>
      </c>
      <c r="H105" s="999">
        <f t="shared" si="104"/>
        <v>27465.359999999982</v>
      </c>
      <c r="I105" s="999">
        <f t="shared" si="104"/>
        <v>23383.199999999997</v>
      </c>
      <c r="J105" s="999">
        <f t="shared" si="104"/>
        <v>31983.719999999987</v>
      </c>
      <c r="K105" s="999">
        <f t="shared" si="104"/>
        <v>32840.87999999999</v>
      </c>
      <c r="L105" s="999">
        <f t="shared" si="104"/>
        <v>35727.221999999994</v>
      </c>
      <c r="M105" s="999">
        <f t="shared" si="104"/>
        <v>31442.279999999973</v>
      </c>
      <c r="N105" s="999">
        <f t="shared" si="104"/>
        <v>27812.03999999999</v>
      </c>
      <c r="O105" s="1002">
        <f t="shared" si="104"/>
        <v>62822.241599999994</v>
      </c>
      <c r="P105" s="1114">
        <f t="shared" si="104"/>
        <v>71284.08600000001</v>
      </c>
      <c r="Q105" s="1002">
        <f t="shared" si="104"/>
        <v>39044.474399999999</v>
      </c>
      <c r="R105" s="1002">
        <f t="shared" si="104"/>
        <v>75221.386800000007</v>
      </c>
      <c r="S105" s="1002">
        <f t="shared" si="104"/>
        <v>106651.54199999996</v>
      </c>
      <c r="T105" s="1002">
        <f t="shared" ref="T105:AM105" si="105">S108</f>
        <v>116807.14800000004</v>
      </c>
      <c r="U105" s="1002">
        <f t="shared" si="105"/>
        <v>120566.24040000004</v>
      </c>
      <c r="V105" s="1002">
        <f t="shared" si="105"/>
        <v>108436.04279999994</v>
      </c>
      <c r="W105" s="1002">
        <f t="shared" si="105"/>
        <v>119163.63479999997</v>
      </c>
      <c r="X105" s="1002">
        <f t="shared" si="105"/>
        <v>118172.90484000003</v>
      </c>
      <c r="Y105" s="1002">
        <f t="shared" si="105"/>
        <v>126315.27479999998</v>
      </c>
      <c r="Z105" s="1002">
        <f t="shared" si="105"/>
        <v>140855.61240000004</v>
      </c>
      <c r="AA105" s="1047">
        <f t="shared" si="105"/>
        <v>169342.31039999996</v>
      </c>
      <c r="AB105" s="999">
        <f t="shared" si="105"/>
        <v>214535.83175999997</v>
      </c>
      <c r="AC105" s="999">
        <f t="shared" si="105"/>
        <v>162504.20479200006</v>
      </c>
      <c r="AD105" s="999">
        <f t="shared" si="105"/>
        <v>158901.65558400002</v>
      </c>
      <c r="AE105" s="999">
        <f t="shared" si="105"/>
        <v>339055.76563200005</v>
      </c>
      <c r="AF105" s="999">
        <f t="shared" si="105"/>
        <v>2293.021744000027</v>
      </c>
      <c r="AG105" s="999">
        <f t="shared" si="105"/>
        <v>-26194.827607999905</v>
      </c>
      <c r="AH105" s="999">
        <f t="shared" si="105"/>
        <v>129674.59827999998</v>
      </c>
      <c r="AI105" s="999">
        <f t="shared" si="105"/>
        <v>151887.62058400002</v>
      </c>
      <c r="AJ105" s="999">
        <f t="shared" si="105"/>
        <v>86714.615520399937</v>
      </c>
      <c r="AK105" s="999">
        <f t="shared" si="105"/>
        <v>-18923.255287999986</v>
      </c>
      <c r="AL105" s="999">
        <f t="shared" si="105"/>
        <v>93937.311183999991</v>
      </c>
      <c r="AM105" s="999">
        <f t="shared" si="105"/>
        <v>536538.77188287978</v>
      </c>
      <c r="AN105" s="72"/>
      <c r="AO105" s="72"/>
      <c r="AP105" s="72"/>
      <c r="AQ105" s="72"/>
      <c r="AR105" s="72"/>
      <c r="AS105" s="72"/>
      <c r="AT105" s="72"/>
      <c r="AU105" s="72"/>
      <c r="AV105" s="72"/>
      <c r="AW105" s="72"/>
      <c r="AX105" s="72"/>
      <c r="AY105" s="72"/>
      <c r="AZ105" s="72"/>
      <c r="BA105" s="72"/>
      <c r="BB105" s="72"/>
      <c r="BC105" s="72"/>
      <c r="BD105" s="72"/>
      <c r="BE105" s="72"/>
      <c r="BF105" s="72"/>
      <c r="BG105" s="72"/>
      <c r="BH105" s="72"/>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E105" s="72"/>
      <c r="CF105" s="72"/>
      <c r="CG105" s="72"/>
      <c r="CH105" s="72"/>
      <c r="CI105" s="72"/>
      <c r="CJ105" s="72"/>
      <c r="CK105" s="72"/>
      <c r="CL105" s="72"/>
      <c r="CM105" s="72"/>
      <c r="CN105" s="72"/>
      <c r="CO105" s="72"/>
      <c r="CP105" s="72"/>
      <c r="CQ105" s="72"/>
      <c r="CR105" s="72"/>
      <c r="CS105" s="72"/>
      <c r="CT105" s="72"/>
      <c r="CU105" s="72"/>
      <c r="CV105" s="72"/>
      <c r="CW105" s="72"/>
      <c r="CX105" s="72"/>
      <c r="CY105" s="72"/>
      <c r="CZ105" s="72"/>
      <c r="DA105" s="72"/>
      <c r="DB105" s="72"/>
      <c r="DC105" s="72"/>
      <c r="DD105" s="72"/>
      <c r="DE105" s="72"/>
      <c r="DF105" s="72"/>
      <c r="DG105" s="72"/>
      <c r="DH105" s="72"/>
      <c r="DI105" s="72"/>
      <c r="DJ105" s="72"/>
      <c r="DK105" s="72"/>
      <c r="DL105" s="72"/>
      <c r="DM105" s="72"/>
      <c r="DN105" s="72"/>
      <c r="DO105" s="72"/>
      <c r="DP105" s="72"/>
      <c r="DQ105" s="72"/>
      <c r="DR105" s="72"/>
      <c r="DS105" s="72"/>
      <c r="DT105" s="72"/>
      <c r="DU105" s="72"/>
      <c r="DV105" s="72"/>
      <c r="DW105" s="72"/>
      <c r="DX105" s="72"/>
      <c r="DY105" s="72"/>
      <c r="DZ105" s="72"/>
      <c r="EA105" s="72"/>
      <c r="EB105" s="72"/>
      <c r="EC105" s="72"/>
    </row>
    <row r="106" spans="1:133">
      <c r="B106" s="1062" t="s">
        <v>167</v>
      </c>
      <c r="C106" s="1030"/>
      <c r="D106" s="999">
        <f>'Cash Flow'!D93</f>
        <v>20786.400000000001</v>
      </c>
      <c r="E106" s="999">
        <f>'Cash Flow'!E93</f>
        <v>27376.560000000005</v>
      </c>
      <c r="F106" s="999">
        <f>'Cash Flow'!F93</f>
        <v>-33826.559999999998</v>
      </c>
      <c r="G106" s="999">
        <f>'Cash Flow'!G93</f>
        <v>13128.959999999988</v>
      </c>
      <c r="H106" s="999">
        <f>'Cash Flow'!H93</f>
        <v>-4082.1599999999853</v>
      </c>
      <c r="I106" s="999">
        <f>'Cash Flow'!I93</f>
        <v>8600.5199999999895</v>
      </c>
      <c r="J106" s="999">
        <f>'Cash Flow'!J93</f>
        <v>857.16000000000713</v>
      </c>
      <c r="K106" s="999">
        <f>'Cash Flow'!K93</f>
        <v>2886.3420000000042</v>
      </c>
      <c r="L106" s="999">
        <f>'Cash Flow'!L93</f>
        <v>-4284.9420000000209</v>
      </c>
      <c r="M106" s="999">
        <f>'Cash Flow'!M93</f>
        <v>-3630.2399999999834</v>
      </c>
      <c r="N106" s="999">
        <f>'Cash Flow'!N93</f>
        <v>35010.2016</v>
      </c>
      <c r="O106" s="1002">
        <f>'Cash Flow'!O93</f>
        <v>8461.844400000009</v>
      </c>
      <c r="P106" s="1114">
        <f>'Cash Flow'!P93</f>
        <v>-32239.611600000011</v>
      </c>
      <c r="Q106" s="1002">
        <f>'Cash Flow'!Q93</f>
        <v>36176.912400000008</v>
      </c>
      <c r="R106" s="1002">
        <f>'Cash Flow'!R93</f>
        <v>84686.15519999995</v>
      </c>
      <c r="S106" s="1002">
        <f>'Cash Flow'!S93</f>
        <v>10155.606000000087</v>
      </c>
      <c r="T106" s="1002">
        <f>'Cash Flow'!T93</f>
        <v>3759.0923999999941</v>
      </c>
      <c r="U106" s="1002">
        <f>'Cash Flow'!U93</f>
        <v>-12130.197600000101</v>
      </c>
      <c r="V106" s="1002">
        <f>'Cash Flow'!V93</f>
        <v>10727.592000000033</v>
      </c>
      <c r="W106" s="1002">
        <f>'Cash Flow'!W93</f>
        <v>-990.72995999993873</v>
      </c>
      <c r="X106" s="1002">
        <f>'Cash Flow'!X93</f>
        <v>8142.3699599999527</v>
      </c>
      <c r="Y106" s="1002">
        <f>'Cash Flow'!Y93</f>
        <v>14540.337600000057</v>
      </c>
      <c r="Z106" s="1002">
        <f>'Cash Flow'!Z93</f>
        <v>28486.697999999917</v>
      </c>
      <c r="AA106" s="1047">
        <f>'Cash Flow'!AA93</f>
        <v>45193.521360000013</v>
      </c>
      <c r="AB106" s="999">
        <f>'Cash Flow'!AB93</f>
        <v>-52031.62696799991</v>
      </c>
      <c r="AC106" s="999">
        <f>'Cash Flow'!AC93</f>
        <v>-3602.5492080000404</v>
      </c>
      <c r="AD106" s="999">
        <f>'Cash Flow'!AD93</f>
        <v>180154.11004800003</v>
      </c>
      <c r="AE106" s="999">
        <f>'Cash Flow'!AE93</f>
        <v>-60682.743888000026</v>
      </c>
      <c r="AF106" s="999">
        <f>'Cash Flow'!AF93</f>
        <v>-28487.849351999932</v>
      </c>
      <c r="AG106" s="999">
        <f>'Cash Flow'!AG93</f>
        <v>155869.42588799988</v>
      </c>
      <c r="AH106" s="999">
        <f>'Cash Flow'!AH93</f>
        <v>22213.022304000042</v>
      </c>
      <c r="AI106" s="999">
        <f>'Cash Flow'!AI93</f>
        <v>-65173.005063600081</v>
      </c>
      <c r="AJ106" s="999">
        <f>'Cash Flow'!AJ93</f>
        <v>-105637.87080839992</v>
      </c>
      <c r="AK106" s="999">
        <f>'Cash Flow'!AK93</f>
        <v>112860.56647199998</v>
      </c>
      <c r="AL106" s="999">
        <f>'Cash Flow'!AL93</f>
        <v>442601.46069887979</v>
      </c>
      <c r="AM106" s="999">
        <f>'Cash Flow'!AM93</f>
        <v>31136.537376720225</v>
      </c>
      <c r="AN106" s="72"/>
      <c r="AO106" s="72"/>
      <c r="AP106" s="72"/>
      <c r="AQ106" s="72"/>
      <c r="AR106" s="72"/>
      <c r="AS106" s="72"/>
      <c r="AT106" s="72"/>
      <c r="AU106" s="72"/>
      <c r="AV106" s="72"/>
      <c r="AW106" s="72"/>
      <c r="AX106" s="72"/>
      <c r="AY106" s="72"/>
      <c r="AZ106" s="72"/>
      <c r="BA106" s="72"/>
      <c r="BB106" s="72"/>
      <c r="BC106" s="72"/>
      <c r="BD106" s="72"/>
      <c r="BE106" s="72"/>
      <c r="BF106" s="72"/>
      <c r="BG106" s="72"/>
      <c r="BH106" s="72"/>
      <c r="BI106" s="72"/>
      <c r="BJ106" s="72"/>
      <c r="BK106" s="72"/>
      <c r="BL106" s="72"/>
      <c r="BM106" s="72"/>
      <c r="BN106" s="72"/>
      <c r="BO106" s="72"/>
      <c r="BP106" s="72"/>
      <c r="BQ106" s="72"/>
      <c r="BR106" s="72"/>
      <c r="BS106" s="72"/>
      <c r="BT106" s="72"/>
      <c r="BU106" s="72"/>
      <c r="BV106" s="72"/>
      <c r="BW106" s="72"/>
      <c r="BX106" s="72"/>
      <c r="BY106" s="72"/>
      <c r="BZ106" s="72"/>
      <c r="CA106" s="72"/>
      <c r="CB106" s="72"/>
      <c r="CC106" s="72"/>
      <c r="CD106" s="72"/>
      <c r="CE106" s="72"/>
      <c r="CF106" s="72"/>
      <c r="CG106" s="72"/>
      <c r="CH106" s="72"/>
      <c r="CI106" s="72"/>
      <c r="CJ106" s="72"/>
      <c r="CK106" s="72"/>
      <c r="CL106" s="72"/>
      <c r="CM106" s="72"/>
      <c r="CN106" s="72"/>
      <c r="CO106" s="72"/>
      <c r="CP106" s="72"/>
      <c r="CQ106" s="72"/>
      <c r="CR106" s="72"/>
      <c r="CS106" s="72"/>
      <c r="CT106" s="72"/>
      <c r="CU106" s="72"/>
      <c r="CV106" s="72"/>
      <c r="CW106" s="72"/>
      <c r="CX106" s="72"/>
      <c r="CY106" s="72"/>
      <c r="CZ106" s="72"/>
      <c r="DA106" s="72"/>
      <c r="DB106" s="72"/>
      <c r="DC106" s="72"/>
      <c r="DD106" s="72"/>
      <c r="DE106" s="72"/>
      <c r="DF106" s="72"/>
      <c r="DG106" s="72"/>
      <c r="DH106" s="72"/>
      <c r="DI106" s="72"/>
      <c r="DJ106" s="72"/>
      <c r="DK106" s="72"/>
      <c r="DL106" s="72"/>
      <c r="DM106" s="72"/>
      <c r="DN106" s="72"/>
      <c r="DO106" s="72"/>
      <c r="DP106" s="72"/>
      <c r="DQ106" s="72"/>
      <c r="DR106" s="72"/>
      <c r="DS106" s="72"/>
      <c r="DT106" s="72"/>
      <c r="DU106" s="72"/>
      <c r="DV106" s="72"/>
      <c r="DW106" s="72"/>
      <c r="DX106" s="72"/>
      <c r="DY106" s="72"/>
      <c r="DZ106" s="72"/>
      <c r="EA106" s="72"/>
      <c r="EB106" s="72"/>
      <c r="EC106" s="72"/>
    </row>
    <row r="107" spans="1:133">
      <c r="B107" s="1062" t="s">
        <v>168</v>
      </c>
      <c r="C107" s="1030"/>
      <c r="D107" s="999">
        <f>'Cash Flow'!D142</f>
        <v>50000</v>
      </c>
      <c r="E107" s="999">
        <f>'Cash Flow'!E142</f>
        <v>0</v>
      </c>
      <c r="F107" s="999">
        <f>'Cash Flow'!F142</f>
        <v>-50000</v>
      </c>
      <c r="G107" s="999">
        <f>'Cash Flow'!G142</f>
        <v>0</v>
      </c>
      <c r="H107" s="999">
        <f>'Cash Flow'!H142</f>
        <v>0</v>
      </c>
      <c r="I107" s="999">
        <f>'Cash Flow'!I142</f>
        <v>0</v>
      </c>
      <c r="J107" s="999">
        <f>'Cash Flow'!J142</f>
        <v>0</v>
      </c>
      <c r="K107" s="999">
        <f>'Cash Flow'!K142</f>
        <v>0</v>
      </c>
      <c r="L107" s="999">
        <f>'Cash Flow'!L142</f>
        <v>0</v>
      </c>
      <c r="M107" s="999">
        <f>'Cash Flow'!M142</f>
        <v>0</v>
      </c>
      <c r="N107" s="999">
        <f>'Cash Flow'!N142</f>
        <v>0</v>
      </c>
      <c r="O107" s="1002">
        <f>'Cash Flow'!O142</f>
        <v>0</v>
      </c>
      <c r="P107" s="1114">
        <f>'Cash Flow'!P142</f>
        <v>0</v>
      </c>
      <c r="Q107" s="1002">
        <f>'Cash Flow'!Q142</f>
        <v>0</v>
      </c>
      <c r="R107" s="1002">
        <f>'Cash Flow'!R142</f>
        <v>-53256</v>
      </c>
      <c r="S107" s="1002">
        <f>'Cash Flow'!S142</f>
        <v>0</v>
      </c>
      <c r="T107" s="1002">
        <f>'Cash Flow'!T142</f>
        <v>0</v>
      </c>
      <c r="U107" s="1002">
        <f>'Cash Flow'!U142</f>
        <v>0</v>
      </c>
      <c r="V107" s="1002">
        <f>'Cash Flow'!V142</f>
        <v>0</v>
      </c>
      <c r="W107" s="1002">
        <f>'Cash Flow'!W142</f>
        <v>0</v>
      </c>
      <c r="X107" s="1002">
        <f>'Cash Flow'!X142</f>
        <v>0</v>
      </c>
      <c r="Y107" s="1002">
        <f>'Cash Flow'!Y142</f>
        <v>0</v>
      </c>
      <c r="Z107" s="1002">
        <f>'Cash Flow'!Z142</f>
        <v>0</v>
      </c>
      <c r="AA107" s="1047">
        <f>'Cash Flow'!AA142</f>
        <v>0</v>
      </c>
      <c r="AB107" s="999">
        <f>'Cash Flow'!AB142</f>
        <v>0</v>
      </c>
      <c r="AC107" s="999">
        <f>'Cash Flow'!AC142</f>
        <v>0</v>
      </c>
      <c r="AD107" s="999">
        <f>'Cash Flow'!AD142</f>
        <v>0</v>
      </c>
      <c r="AE107" s="999">
        <f>'Cash Flow'!AE142</f>
        <v>-276080</v>
      </c>
      <c r="AF107" s="999">
        <f>'Cash Flow'!AF142</f>
        <v>0</v>
      </c>
      <c r="AG107" s="999">
        <f>'Cash Flow'!AG142</f>
        <v>0</v>
      </c>
      <c r="AH107" s="999">
        <f>'Cash Flow'!AH142</f>
        <v>0</v>
      </c>
      <c r="AI107" s="999">
        <f>'Cash Flow'!AI142</f>
        <v>0</v>
      </c>
      <c r="AJ107" s="999">
        <f>'Cash Flow'!AJ142</f>
        <v>0</v>
      </c>
      <c r="AK107" s="999">
        <f>'Cash Flow'!AK142</f>
        <v>0</v>
      </c>
      <c r="AL107" s="999">
        <f>'Cash Flow'!AL142</f>
        <v>0</v>
      </c>
      <c r="AM107" s="999">
        <f>'Cash Flow'!AM142</f>
        <v>0</v>
      </c>
      <c r="AN107" s="72"/>
      <c r="AO107" s="72"/>
      <c r="AP107" s="72"/>
      <c r="AQ107" s="72"/>
      <c r="AR107" s="72"/>
      <c r="AS107" s="72"/>
      <c r="AT107" s="72"/>
      <c r="AU107" s="72"/>
      <c r="AV107" s="72"/>
      <c r="AW107" s="72"/>
      <c r="AX107" s="72"/>
      <c r="AY107" s="72"/>
      <c r="AZ107" s="72"/>
      <c r="BA107" s="72"/>
      <c r="BB107" s="72"/>
      <c r="BC107" s="72"/>
      <c r="BD107" s="72"/>
      <c r="BE107" s="72"/>
      <c r="BF107" s="72"/>
      <c r="BG107" s="72"/>
      <c r="BH107" s="72"/>
      <c r="BI107" s="72"/>
      <c r="BJ107" s="72"/>
      <c r="BK107" s="72"/>
      <c r="BL107" s="72"/>
      <c r="BM107" s="72"/>
      <c r="BN107" s="72"/>
      <c r="BO107" s="72"/>
      <c r="BP107" s="72"/>
      <c r="BQ107" s="72"/>
      <c r="BR107" s="72"/>
      <c r="BS107" s="72"/>
      <c r="BT107" s="72"/>
      <c r="BU107" s="72"/>
      <c r="BV107" s="72"/>
      <c r="BW107" s="72"/>
      <c r="BX107" s="72"/>
      <c r="BY107" s="72"/>
      <c r="BZ107" s="72"/>
      <c r="CA107" s="72"/>
      <c r="CB107" s="72"/>
      <c r="CC107" s="72"/>
      <c r="CD107" s="72"/>
      <c r="CE107" s="72"/>
      <c r="CF107" s="72"/>
      <c r="CG107" s="72"/>
      <c r="CH107" s="72"/>
      <c r="CI107" s="72"/>
      <c r="CJ107" s="72"/>
      <c r="CK107" s="72"/>
      <c r="CL107" s="72"/>
      <c r="CM107" s="72"/>
      <c r="CN107" s="72"/>
      <c r="CO107" s="72"/>
      <c r="CP107" s="72"/>
      <c r="CQ107" s="72"/>
      <c r="CR107" s="72"/>
      <c r="CS107" s="72"/>
      <c r="CT107" s="72"/>
      <c r="CU107" s="72"/>
      <c r="CV107" s="72"/>
      <c r="CW107" s="72"/>
      <c r="CX107" s="72"/>
      <c r="CY107" s="72"/>
      <c r="CZ107" s="72"/>
      <c r="DA107" s="72"/>
      <c r="DB107" s="72"/>
      <c r="DC107" s="72"/>
      <c r="DD107" s="72"/>
      <c r="DE107" s="72"/>
      <c r="DF107" s="72"/>
      <c r="DG107" s="72"/>
      <c r="DH107" s="72"/>
      <c r="DI107" s="72"/>
      <c r="DJ107" s="72"/>
      <c r="DK107" s="72"/>
      <c r="DL107" s="72"/>
      <c r="DM107" s="72"/>
      <c r="DN107" s="72"/>
      <c r="DO107" s="72"/>
      <c r="DP107" s="72"/>
      <c r="DQ107" s="72"/>
      <c r="DR107" s="72"/>
      <c r="DS107" s="72"/>
      <c r="DT107" s="72"/>
      <c r="DU107" s="72"/>
      <c r="DV107" s="72"/>
      <c r="DW107" s="72"/>
      <c r="DX107" s="72"/>
      <c r="DY107" s="72"/>
      <c r="DZ107" s="72"/>
      <c r="EA107" s="72"/>
      <c r="EB107" s="72"/>
      <c r="EC107" s="72"/>
    </row>
    <row r="108" spans="1:133" s="168" customFormat="1" ht="16.2" thickBot="1">
      <c r="B108" s="1076" t="s">
        <v>140</v>
      </c>
      <c r="C108" s="1085"/>
      <c r="D108" s="996">
        <f>D105+SUM(D106:D107)</f>
        <v>70786.399999999994</v>
      </c>
      <c r="E108" s="996">
        <f>E105+SUM(E106:E107)</f>
        <v>98162.959999999992</v>
      </c>
      <c r="F108" s="996">
        <f t="shared" ref="F108:S108" si="106">F105+SUM(F106:F107)</f>
        <v>14336.399999999994</v>
      </c>
      <c r="G108" s="996">
        <f t="shared" si="106"/>
        <v>27465.359999999982</v>
      </c>
      <c r="H108" s="996">
        <f t="shared" si="106"/>
        <v>23383.199999999997</v>
      </c>
      <c r="I108" s="996">
        <f t="shared" si="106"/>
        <v>31983.719999999987</v>
      </c>
      <c r="J108" s="996">
        <f t="shared" si="106"/>
        <v>32840.87999999999</v>
      </c>
      <c r="K108" s="996">
        <f t="shared" si="106"/>
        <v>35727.221999999994</v>
      </c>
      <c r="L108" s="996">
        <f t="shared" si="106"/>
        <v>31442.279999999973</v>
      </c>
      <c r="M108" s="996">
        <f t="shared" si="106"/>
        <v>27812.03999999999</v>
      </c>
      <c r="N108" s="996">
        <f t="shared" si="106"/>
        <v>62822.241599999994</v>
      </c>
      <c r="O108" s="1006">
        <f t="shared" si="106"/>
        <v>71284.08600000001</v>
      </c>
      <c r="P108" s="1115">
        <f t="shared" si="106"/>
        <v>39044.474399999999</v>
      </c>
      <c r="Q108" s="1006">
        <f t="shared" si="106"/>
        <v>75221.386800000007</v>
      </c>
      <c r="R108" s="1006">
        <f t="shared" si="106"/>
        <v>106651.54199999996</v>
      </c>
      <c r="S108" s="1006">
        <f t="shared" si="106"/>
        <v>116807.14800000004</v>
      </c>
      <c r="T108" s="1006">
        <f t="shared" ref="T108" si="107">T105+SUM(T106:T107)</f>
        <v>120566.24040000004</v>
      </c>
      <c r="U108" s="1006">
        <f t="shared" ref="U108" si="108">U105+SUM(U106:U107)</f>
        <v>108436.04279999994</v>
      </c>
      <c r="V108" s="1006">
        <f t="shared" ref="V108" si="109">V105+SUM(V106:V107)</f>
        <v>119163.63479999997</v>
      </c>
      <c r="W108" s="1006">
        <f t="shared" ref="W108" si="110">W105+SUM(W106:W107)</f>
        <v>118172.90484000003</v>
      </c>
      <c r="X108" s="1006">
        <f t="shared" ref="X108" si="111">X105+SUM(X106:X107)</f>
        <v>126315.27479999998</v>
      </c>
      <c r="Y108" s="1006">
        <f t="shared" ref="Y108" si="112">Y105+SUM(Y106:Y107)</f>
        <v>140855.61240000004</v>
      </c>
      <c r="Z108" s="1006">
        <f t="shared" ref="Z108" si="113">Z105+SUM(Z106:Z107)</f>
        <v>169342.31039999996</v>
      </c>
      <c r="AA108" s="1054">
        <f t="shared" ref="AA108" si="114">AA105+SUM(AA106:AA107)</f>
        <v>214535.83175999997</v>
      </c>
      <c r="AB108" s="996">
        <f t="shared" ref="AB108" si="115">AB105+SUM(AB106:AB107)</f>
        <v>162504.20479200006</v>
      </c>
      <c r="AC108" s="996">
        <f t="shared" ref="AC108" si="116">AC105+SUM(AC106:AC107)</f>
        <v>158901.65558400002</v>
      </c>
      <c r="AD108" s="996">
        <f t="shared" ref="AD108" si="117">AD105+SUM(AD106:AD107)</f>
        <v>339055.76563200005</v>
      </c>
      <c r="AE108" s="996">
        <f t="shared" ref="AE108" si="118">AE105+SUM(AE106:AE107)</f>
        <v>2293.021744000027</v>
      </c>
      <c r="AF108" s="996">
        <f t="shared" ref="AF108:AG108" si="119">AF105+SUM(AF106:AF107)</f>
        <v>-26194.827607999905</v>
      </c>
      <c r="AG108" s="996">
        <f t="shared" si="119"/>
        <v>129674.59827999998</v>
      </c>
      <c r="AH108" s="996">
        <f t="shared" ref="AH108" si="120">AH105+SUM(AH106:AH107)</f>
        <v>151887.62058400002</v>
      </c>
      <c r="AI108" s="996">
        <f t="shared" ref="AI108" si="121">AI105+SUM(AI106:AI107)</f>
        <v>86714.615520399937</v>
      </c>
      <c r="AJ108" s="996">
        <f t="shared" ref="AJ108" si="122">AJ105+SUM(AJ106:AJ107)</f>
        <v>-18923.255287999986</v>
      </c>
      <c r="AK108" s="996">
        <f t="shared" ref="AK108" si="123">AK105+SUM(AK106:AK107)</f>
        <v>93937.311183999991</v>
      </c>
      <c r="AL108" s="996">
        <f t="shared" ref="AL108" si="124">AL105+SUM(AL106:AL107)</f>
        <v>536538.77188287978</v>
      </c>
      <c r="AM108" s="996">
        <f t="shared" ref="AM108" si="125">AM105+SUM(AM106:AM107)</f>
        <v>567675.30925960001</v>
      </c>
      <c r="AN108" s="169"/>
      <c r="AO108" s="169"/>
      <c r="AP108" s="169"/>
      <c r="AQ108" s="169"/>
      <c r="AR108" s="169"/>
      <c r="AS108" s="169"/>
      <c r="AT108" s="169"/>
      <c r="AU108" s="169"/>
      <c r="AV108" s="169"/>
      <c r="AW108" s="169"/>
      <c r="AX108" s="169"/>
      <c r="AY108" s="169"/>
      <c r="AZ108" s="169"/>
      <c r="BA108" s="169"/>
      <c r="BB108" s="169"/>
      <c r="BC108" s="169"/>
      <c r="BD108" s="169"/>
      <c r="BE108" s="169"/>
      <c r="BF108" s="169"/>
      <c r="BG108" s="169"/>
      <c r="BH108" s="169"/>
      <c r="BI108" s="169"/>
      <c r="BJ108" s="169"/>
      <c r="BK108" s="169"/>
      <c r="BL108" s="169"/>
      <c r="BM108" s="169"/>
      <c r="BN108" s="169"/>
      <c r="BO108" s="169"/>
      <c r="BP108" s="169"/>
      <c r="BQ108" s="169"/>
      <c r="BR108" s="169"/>
      <c r="BS108" s="169"/>
      <c r="BT108" s="169"/>
      <c r="BU108" s="169"/>
      <c r="BV108" s="169"/>
      <c r="BW108" s="169"/>
      <c r="BX108" s="169"/>
      <c r="BY108" s="169"/>
      <c r="BZ108" s="169"/>
      <c r="CA108" s="169"/>
      <c r="CB108" s="169"/>
      <c r="CC108" s="169"/>
      <c r="CD108" s="169"/>
      <c r="CE108" s="169"/>
      <c r="CF108" s="169"/>
      <c r="CG108" s="169"/>
      <c r="CH108" s="169"/>
      <c r="CI108" s="169"/>
      <c r="CJ108" s="169"/>
      <c r="CK108" s="169"/>
      <c r="CL108" s="169"/>
      <c r="CM108" s="169"/>
      <c r="CN108" s="169"/>
      <c r="CO108" s="169"/>
      <c r="CP108" s="169"/>
      <c r="CQ108" s="169"/>
      <c r="CR108" s="169"/>
      <c r="CS108" s="169"/>
      <c r="CT108" s="169"/>
      <c r="CU108" s="169"/>
      <c r="CV108" s="169"/>
      <c r="CW108" s="169"/>
      <c r="CX108" s="169"/>
      <c r="CY108" s="169"/>
      <c r="CZ108" s="169"/>
      <c r="DA108" s="169"/>
      <c r="DB108" s="169"/>
      <c r="DC108" s="169"/>
      <c r="DD108" s="169"/>
      <c r="DE108" s="169"/>
      <c r="DF108" s="169"/>
      <c r="DG108" s="169"/>
      <c r="DH108" s="169"/>
      <c r="DI108" s="169"/>
      <c r="DJ108" s="169"/>
      <c r="DK108" s="169"/>
      <c r="DL108" s="169"/>
      <c r="DM108" s="169"/>
      <c r="DN108" s="169"/>
      <c r="DO108" s="169"/>
      <c r="DP108" s="169"/>
      <c r="DQ108" s="169"/>
      <c r="DR108" s="169"/>
      <c r="DS108" s="169"/>
      <c r="DT108" s="169"/>
      <c r="DU108" s="169"/>
      <c r="DV108" s="169"/>
      <c r="DW108" s="169"/>
      <c r="DX108" s="169"/>
      <c r="DY108" s="169"/>
      <c r="DZ108" s="169"/>
      <c r="EA108" s="169"/>
      <c r="EB108" s="169"/>
      <c r="EC108" s="169"/>
    </row>
    <row r="109" spans="1:133" ht="16.8" thickTop="1" thickBot="1">
      <c r="D109" s="72"/>
      <c r="E109" s="72"/>
      <c r="F109" s="72"/>
      <c r="G109" s="72"/>
      <c r="H109" s="72"/>
      <c r="I109" s="72"/>
      <c r="J109" s="72"/>
      <c r="K109" s="72"/>
      <c r="L109" s="72"/>
      <c r="M109" s="72"/>
      <c r="N109" s="72"/>
      <c r="O109" s="71"/>
      <c r="P109" s="1110"/>
      <c r="Q109" s="71"/>
      <c r="R109" s="71"/>
      <c r="S109" s="71"/>
      <c r="T109" s="71"/>
      <c r="U109" s="71"/>
      <c r="V109" s="71"/>
      <c r="W109" s="71"/>
      <c r="X109" s="71"/>
      <c r="Y109" s="71"/>
      <c r="Z109" s="71"/>
      <c r="AA109" s="1058"/>
      <c r="AB109" s="72"/>
      <c r="AC109" s="72"/>
      <c r="AD109" s="72"/>
      <c r="AE109" s="72"/>
      <c r="AF109" s="72"/>
      <c r="AG109" s="72"/>
      <c r="AH109" s="72"/>
      <c r="AI109" s="72"/>
      <c r="AJ109" s="72"/>
      <c r="AK109" s="72"/>
      <c r="AL109" s="72"/>
      <c r="AM109" s="72"/>
      <c r="AN109" s="72"/>
      <c r="AO109" s="72"/>
      <c r="AP109" s="72"/>
      <c r="AQ109" s="72"/>
      <c r="AR109" s="72"/>
      <c r="AS109" s="72"/>
      <c r="AT109" s="72"/>
      <c r="AU109" s="72"/>
      <c r="AV109" s="72"/>
      <c r="AW109" s="72"/>
      <c r="AX109" s="72"/>
      <c r="AY109" s="72"/>
      <c r="AZ109" s="72"/>
      <c r="BA109" s="72"/>
      <c r="BB109" s="72"/>
      <c r="BC109" s="72"/>
      <c r="BD109" s="72"/>
      <c r="BE109" s="72"/>
      <c r="BF109" s="72"/>
      <c r="BG109" s="72"/>
      <c r="BH109" s="72"/>
    </row>
    <row r="110" spans="1:133" ht="16.2" thickTop="1">
      <c r="A110" s="210" t="s">
        <v>108</v>
      </c>
      <c r="B110" s="1060" t="s">
        <v>40</v>
      </c>
      <c r="C110" s="1088"/>
      <c r="D110" s="72"/>
      <c r="E110" s="72"/>
      <c r="F110" s="72"/>
      <c r="G110" s="72"/>
      <c r="H110" s="72"/>
      <c r="I110" s="72"/>
      <c r="J110" s="72"/>
      <c r="K110" s="72"/>
      <c r="L110" s="72"/>
      <c r="M110" s="72"/>
      <c r="N110" s="72"/>
      <c r="O110" s="71"/>
      <c r="P110" s="1110"/>
      <c r="Q110" s="71"/>
      <c r="R110" s="71"/>
      <c r="S110" s="71"/>
      <c r="T110" s="71"/>
      <c r="U110" s="71"/>
      <c r="V110" s="71"/>
      <c r="W110" s="71"/>
      <c r="X110" s="71"/>
      <c r="Y110" s="71"/>
      <c r="Z110" s="71"/>
      <c r="AA110" s="1058"/>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72"/>
    </row>
    <row r="111" spans="1:133">
      <c r="B111" s="1062" t="s">
        <v>112</v>
      </c>
      <c r="C111" s="1030"/>
      <c r="D111" s="999"/>
      <c r="E111" s="999">
        <f>D113</f>
        <v>1508.3333333333333</v>
      </c>
      <c r="F111" s="999">
        <f t="shared" ref="F111:J111" si="126">E113</f>
        <v>3016.6666666666665</v>
      </c>
      <c r="G111" s="999">
        <f t="shared" si="126"/>
        <v>0</v>
      </c>
      <c r="H111" s="999">
        <f t="shared" si="126"/>
        <v>1508.3333333333333</v>
      </c>
      <c r="I111" s="999">
        <f t="shared" si="126"/>
        <v>3016.6666666666665</v>
      </c>
      <c r="J111" s="999">
        <f t="shared" si="126"/>
        <v>0</v>
      </c>
      <c r="K111" s="999">
        <f t="shared" ref="K111:AM111" si="127">J113</f>
        <v>1508.3333333333333</v>
      </c>
      <c r="L111" s="999">
        <f t="shared" si="127"/>
        <v>3016.6666666666665</v>
      </c>
      <c r="M111" s="999">
        <f t="shared" si="127"/>
        <v>0</v>
      </c>
      <c r="N111" s="999">
        <f t="shared" si="127"/>
        <v>1508.3333333333333</v>
      </c>
      <c r="O111" s="1002">
        <f t="shared" si="127"/>
        <v>3016.6666666666665</v>
      </c>
      <c r="P111" s="1114">
        <f t="shared" si="127"/>
        <v>0</v>
      </c>
      <c r="Q111" s="1002">
        <f t="shared" si="127"/>
        <v>1808.3333333333333</v>
      </c>
      <c r="R111" s="1002">
        <f t="shared" si="127"/>
        <v>3616.6666666666665</v>
      </c>
      <c r="S111" s="1002">
        <f t="shared" si="127"/>
        <v>0</v>
      </c>
      <c r="T111" s="1002">
        <f t="shared" si="127"/>
        <v>1808.3333333333333</v>
      </c>
      <c r="U111" s="1002">
        <f t="shared" si="127"/>
        <v>3616.6666666666665</v>
      </c>
      <c r="V111" s="1002">
        <f t="shared" si="127"/>
        <v>0</v>
      </c>
      <c r="W111" s="1002">
        <f t="shared" si="127"/>
        <v>1808.3333333333333</v>
      </c>
      <c r="X111" s="1002">
        <f t="shared" si="127"/>
        <v>3616.6666666666665</v>
      </c>
      <c r="Y111" s="1002">
        <f t="shared" si="127"/>
        <v>0</v>
      </c>
      <c r="Z111" s="1002">
        <f t="shared" si="127"/>
        <v>1808.3333333333333</v>
      </c>
      <c r="AA111" s="1047">
        <f t="shared" si="127"/>
        <v>3616.6666666666665</v>
      </c>
      <c r="AB111" s="999">
        <f t="shared" si="127"/>
        <v>0</v>
      </c>
      <c r="AC111" s="999">
        <f t="shared" si="127"/>
        <v>2230</v>
      </c>
      <c r="AD111" s="999">
        <f t="shared" si="127"/>
        <v>4460</v>
      </c>
      <c r="AE111" s="999">
        <f t="shared" si="127"/>
        <v>0</v>
      </c>
      <c r="AF111" s="999">
        <f t="shared" si="127"/>
        <v>2230</v>
      </c>
      <c r="AG111" s="999">
        <f t="shared" si="127"/>
        <v>4460</v>
      </c>
      <c r="AH111" s="999">
        <f t="shared" si="127"/>
        <v>0</v>
      </c>
      <c r="AI111" s="999">
        <f t="shared" si="127"/>
        <v>2230</v>
      </c>
      <c r="AJ111" s="999">
        <f t="shared" si="127"/>
        <v>4460</v>
      </c>
      <c r="AK111" s="999">
        <f t="shared" si="127"/>
        <v>0</v>
      </c>
      <c r="AL111" s="999">
        <f t="shared" si="127"/>
        <v>2230</v>
      </c>
      <c r="AM111" s="999">
        <f t="shared" si="127"/>
        <v>4460</v>
      </c>
      <c r="AN111" s="72"/>
      <c r="AO111" s="72"/>
      <c r="AP111" s="72"/>
      <c r="AQ111" s="72"/>
      <c r="AR111" s="72"/>
      <c r="AS111" s="72"/>
      <c r="AT111" s="72"/>
      <c r="AU111" s="72"/>
      <c r="AV111" s="72"/>
      <c r="AW111" s="72"/>
      <c r="AX111" s="72"/>
      <c r="AY111" s="72"/>
      <c r="AZ111" s="72"/>
      <c r="BA111" s="72"/>
      <c r="BB111" s="72"/>
      <c r="BC111" s="72"/>
      <c r="BD111" s="72"/>
      <c r="BE111" s="72"/>
      <c r="BF111" s="72"/>
      <c r="BG111" s="72"/>
      <c r="BH111" s="72"/>
    </row>
    <row r="112" spans="1:133">
      <c r="B112" s="1062" t="s">
        <v>166</v>
      </c>
      <c r="C112" s="1030"/>
      <c r="D112" s="999">
        <f>'Cash Flow'!D103</f>
        <v>1508.3333333333333</v>
      </c>
      <c r="E112" s="999">
        <f>'Cash Flow'!E103</f>
        <v>1508.3333333333333</v>
      </c>
      <c r="F112" s="999">
        <f>'Cash Flow'!F103</f>
        <v>-3016.666666666667</v>
      </c>
      <c r="G112" s="999">
        <f>'Cash Flow'!G103</f>
        <v>1508.3333333333333</v>
      </c>
      <c r="H112" s="999">
        <f>'Cash Flow'!H103</f>
        <v>1508.3333333333333</v>
      </c>
      <c r="I112" s="999">
        <f>'Cash Flow'!I103</f>
        <v>-3016.666666666667</v>
      </c>
      <c r="J112" s="999">
        <f>'Cash Flow'!J103</f>
        <v>1508.3333333333333</v>
      </c>
      <c r="K112" s="999">
        <f>'Cash Flow'!K103</f>
        <v>1508.3333333333333</v>
      </c>
      <c r="L112" s="999">
        <f>'Cash Flow'!L103</f>
        <v>-3016.666666666667</v>
      </c>
      <c r="M112" s="999">
        <f>'Cash Flow'!M103</f>
        <v>1508.3333333333333</v>
      </c>
      <c r="N112" s="999">
        <f>'Cash Flow'!N103</f>
        <v>1508.3333333333333</v>
      </c>
      <c r="O112" s="1002">
        <f>'Cash Flow'!O103</f>
        <v>-3016.666666666667</v>
      </c>
      <c r="P112" s="1114">
        <f>'Cash Flow'!P103</f>
        <v>1808.3333333333333</v>
      </c>
      <c r="Q112" s="1002">
        <f>'Cash Flow'!Q103</f>
        <v>1808.3333333333333</v>
      </c>
      <c r="R112" s="1002">
        <f>'Cash Flow'!R103</f>
        <v>-3616.666666666667</v>
      </c>
      <c r="S112" s="1002">
        <f>'Cash Flow'!S103</f>
        <v>1808.3333333333333</v>
      </c>
      <c r="T112" s="1002">
        <f>'Cash Flow'!T103</f>
        <v>1808.3333333333333</v>
      </c>
      <c r="U112" s="1002">
        <f>'Cash Flow'!U103</f>
        <v>-3616.666666666667</v>
      </c>
      <c r="V112" s="1002">
        <f>'Cash Flow'!V103</f>
        <v>1808.3333333333333</v>
      </c>
      <c r="W112" s="1002">
        <f>'Cash Flow'!W103</f>
        <v>1808.3333333333333</v>
      </c>
      <c r="X112" s="1002">
        <f>'Cash Flow'!X103</f>
        <v>-3616.666666666667</v>
      </c>
      <c r="Y112" s="1002">
        <f>'Cash Flow'!Y103</f>
        <v>1808.3333333333333</v>
      </c>
      <c r="Z112" s="1002">
        <f>'Cash Flow'!Z103</f>
        <v>1808.3333333333333</v>
      </c>
      <c r="AA112" s="1047">
        <f>'Cash Flow'!AA103</f>
        <v>-3616.666666666667</v>
      </c>
      <c r="AB112" s="999">
        <f>'Cash Flow'!AB103</f>
        <v>2230</v>
      </c>
      <c r="AC112" s="999">
        <f>'Cash Flow'!AC103</f>
        <v>2230</v>
      </c>
      <c r="AD112" s="999">
        <f>'Cash Flow'!AD103</f>
        <v>-4460</v>
      </c>
      <c r="AE112" s="999">
        <f>'Cash Flow'!AE103</f>
        <v>2230</v>
      </c>
      <c r="AF112" s="999">
        <f>'Cash Flow'!AF103</f>
        <v>2230</v>
      </c>
      <c r="AG112" s="999">
        <f>'Cash Flow'!AG103</f>
        <v>-4460</v>
      </c>
      <c r="AH112" s="999">
        <f>'Cash Flow'!AH103</f>
        <v>2230</v>
      </c>
      <c r="AI112" s="999">
        <f>'Cash Flow'!AI103</f>
        <v>2230</v>
      </c>
      <c r="AJ112" s="999">
        <f>'Cash Flow'!AJ103</f>
        <v>-4460</v>
      </c>
      <c r="AK112" s="999">
        <f>'Cash Flow'!AK103</f>
        <v>2230</v>
      </c>
      <c r="AL112" s="999">
        <f>'Cash Flow'!AL103</f>
        <v>2230</v>
      </c>
      <c r="AM112" s="999">
        <f>'Cash Flow'!AM103</f>
        <v>-4460</v>
      </c>
      <c r="AN112" s="72"/>
      <c r="AO112" s="72"/>
      <c r="AP112" s="72"/>
      <c r="AQ112" s="72"/>
      <c r="AR112" s="72"/>
      <c r="AS112" s="72"/>
      <c r="AT112" s="72"/>
      <c r="AU112" s="72"/>
      <c r="AV112" s="72"/>
      <c r="AW112" s="72"/>
      <c r="AX112" s="72"/>
      <c r="AY112" s="72"/>
      <c r="AZ112" s="72"/>
      <c r="BA112" s="72"/>
      <c r="BB112" s="72"/>
      <c r="BC112" s="72"/>
      <c r="BD112" s="72"/>
      <c r="BE112" s="72"/>
      <c r="BF112" s="72"/>
      <c r="BG112" s="72"/>
      <c r="BH112" s="72"/>
    </row>
    <row r="113" spans="2:60" s="168" customFormat="1" ht="16.2" thickBot="1">
      <c r="B113" s="1076" t="s">
        <v>140</v>
      </c>
      <c r="C113" s="1085"/>
      <c r="D113" s="996">
        <f>SUM(D111:D112)</f>
        <v>1508.3333333333333</v>
      </c>
      <c r="E113" s="996">
        <f>SUM(E111:E112)</f>
        <v>3016.6666666666665</v>
      </c>
      <c r="F113" s="996">
        <f t="shared" ref="F113:J113" si="128">SUM(F111:F112)</f>
        <v>0</v>
      </c>
      <c r="G113" s="996">
        <f t="shared" si="128"/>
        <v>1508.3333333333333</v>
      </c>
      <c r="H113" s="996">
        <f t="shared" si="128"/>
        <v>3016.6666666666665</v>
      </c>
      <c r="I113" s="996">
        <f t="shared" si="128"/>
        <v>0</v>
      </c>
      <c r="J113" s="996">
        <f t="shared" si="128"/>
        <v>1508.3333333333333</v>
      </c>
      <c r="K113" s="996">
        <f t="shared" ref="K113" si="129">SUM(K111:K112)</f>
        <v>3016.6666666666665</v>
      </c>
      <c r="L113" s="996">
        <f t="shared" ref="L113" si="130">SUM(L111:L112)</f>
        <v>0</v>
      </c>
      <c r="M113" s="996">
        <f t="shared" ref="M113" si="131">SUM(M111:M112)</f>
        <v>1508.3333333333333</v>
      </c>
      <c r="N113" s="996">
        <f t="shared" ref="N113:O113" si="132">SUM(N111:N112)</f>
        <v>3016.6666666666665</v>
      </c>
      <c r="O113" s="1006">
        <f t="shared" si="132"/>
        <v>0</v>
      </c>
      <c r="P113" s="1115">
        <f t="shared" ref="P113" si="133">SUM(P111:P112)</f>
        <v>1808.3333333333333</v>
      </c>
      <c r="Q113" s="1006">
        <f t="shared" ref="Q113" si="134">SUM(Q111:Q112)</f>
        <v>3616.6666666666665</v>
      </c>
      <c r="R113" s="1006">
        <f t="shared" ref="R113" si="135">SUM(R111:R112)</f>
        <v>0</v>
      </c>
      <c r="S113" s="1006">
        <f t="shared" ref="S113:T113" si="136">SUM(S111:S112)</f>
        <v>1808.3333333333333</v>
      </c>
      <c r="T113" s="1006">
        <f t="shared" si="136"/>
        <v>3616.6666666666665</v>
      </c>
      <c r="U113" s="1006">
        <f t="shared" ref="U113" si="137">SUM(U111:U112)</f>
        <v>0</v>
      </c>
      <c r="V113" s="1006">
        <f t="shared" ref="V113" si="138">SUM(V111:V112)</f>
        <v>1808.3333333333333</v>
      </c>
      <c r="W113" s="1006">
        <f t="shared" ref="W113" si="139">SUM(W111:W112)</f>
        <v>3616.6666666666665</v>
      </c>
      <c r="X113" s="1006">
        <f t="shared" ref="X113:Y113" si="140">SUM(X111:X112)</f>
        <v>0</v>
      </c>
      <c r="Y113" s="1006">
        <f t="shared" si="140"/>
        <v>1808.3333333333333</v>
      </c>
      <c r="Z113" s="1006">
        <f t="shared" ref="Z113" si="141">SUM(Z111:Z112)</f>
        <v>3616.6666666666665</v>
      </c>
      <c r="AA113" s="1054">
        <f t="shared" ref="AA113" si="142">SUM(AA111:AA112)</f>
        <v>0</v>
      </c>
      <c r="AB113" s="996">
        <f t="shared" ref="AB113" si="143">SUM(AB111:AB112)</f>
        <v>2230</v>
      </c>
      <c r="AC113" s="996">
        <f t="shared" ref="AC113:AD113" si="144">SUM(AC111:AC112)</f>
        <v>4460</v>
      </c>
      <c r="AD113" s="996">
        <f t="shared" si="144"/>
        <v>0</v>
      </c>
      <c r="AE113" s="996">
        <f t="shared" ref="AE113" si="145">SUM(AE111:AE112)</f>
        <v>2230</v>
      </c>
      <c r="AF113" s="996">
        <f t="shared" ref="AF113" si="146">SUM(AF111:AF112)</f>
        <v>4460</v>
      </c>
      <c r="AG113" s="996">
        <f t="shared" ref="AG113" si="147">SUM(AG111:AG112)</f>
        <v>0</v>
      </c>
      <c r="AH113" s="996">
        <f t="shared" ref="AH113:AI113" si="148">SUM(AH111:AH112)</f>
        <v>2230</v>
      </c>
      <c r="AI113" s="996">
        <f t="shared" si="148"/>
        <v>4460</v>
      </c>
      <c r="AJ113" s="996">
        <f t="shared" ref="AJ113" si="149">SUM(AJ111:AJ112)</f>
        <v>0</v>
      </c>
      <c r="AK113" s="996">
        <f t="shared" ref="AK113" si="150">SUM(AK111:AK112)</f>
        <v>2230</v>
      </c>
      <c r="AL113" s="996">
        <f t="shared" ref="AL113" si="151">SUM(AL111:AL112)</f>
        <v>4460</v>
      </c>
      <c r="AM113" s="996">
        <f t="shared" ref="AM113" si="152">SUM(AM111:AM112)</f>
        <v>0</v>
      </c>
      <c r="AN113" s="169"/>
      <c r="AO113" s="169"/>
      <c r="AP113" s="169"/>
      <c r="AQ113" s="169"/>
      <c r="AR113" s="169"/>
      <c r="AS113" s="169"/>
      <c r="AT113" s="169"/>
      <c r="AU113" s="169"/>
      <c r="AV113" s="169"/>
      <c r="AW113" s="169"/>
      <c r="AX113" s="169"/>
      <c r="AY113" s="169"/>
      <c r="AZ113" s="169"/>
      <c r="BA113" s="169"/>
      <c r="BB113" s="169"/>
      <c r="BC113" s="169"/>
      <c r="BD113" s="169"/>
      <c r="BE113" s="169"/>
      <c r="BF113" s="169"/>
      <c r="BG113" s="169"/>
      <c r="BH113" s="169"/>
    </row>
    <row r="114" spans="2:60" ht="16.8" thickTop="1" thickBot="1">
      <c r="D114" s="72"/>
      <c r="E114" s="72"/>
      <c r="F114" s="72"/>
      <c r="G114" s="72"/>
      <c r="H114" s="72"/>
      <c r="I114" s="72"/>
      <c r="J114" s="72"/>
      <c r="K114" s="72"/>
      <c r="L114" s="72"/>
      <c r="M114" s="72"/>
      <c r="N114" s="72"/>
      <c r="O114" s="71"/>
      <c r="P114" s="1110"/>
      <c r="Q114" s="71"/>
      <c r="R114" s="71"/>
      <c r="S114" s="71"/>
      <c r="T114" s="71"/>
      <c r="U114" s="71"/>
      <c r="V114" s="71"/>
      <c r="W114" s="71"/>
      <c r="X114" s="71"/>
      <c r="Y114" s="71"/>
      <c r="Z114" s="71"/>
      <c r="AA114" s="1058"/>
      <c r="AB114" s="72"/>
      <c r="AC114" s="72"/>
      <c r="AD114" s="72"/>
      <c r="AE114" s="72"/>
      <c r="AF114" s="72"/>
      <c r="AG114" s="72"/>
      <c r="AH114" s="72"/>
      <c r="AI114" s="72"/>
      <c r="AJ114" s="72"/>
      <c r="AK114" s="72"/>
      <c r="AL114" s="72"/>
      <c r="AM114" s="72"/>
      <c r="AN114" s="72"/>
      <c r="AO114" s="72"/>
      <c r="AP114" s="72"/>
      <c r="AQ114" s="72"/>
      <c r="AR114" s="72"/>
      <c r="AS114" s="72"/>
      <c r="AT114" s="72"/>
      <c r="AU114" s="72"/>
      <c r="AV114" s="72"/>
      <c r="AW114" s="72"/>
      <c r="AX114" s="72"/>
      <c r="AY114" s="72"/>
      <c r="AZ114" s="72"/>
      <c r="BA114" s="72"/>
      <c r="BB114" s="72"/>
      <c r="BC114" s="72"/>
      <c r="BD114" s="72"/>
      <c r="BE114" s="72"/>
      <c r="BF114" s="72"/>
      <c r="BG114" s="72"/>
      <c r="BH114" s="72"/>
    </row>
    <row r="115" spans="2:60" ht="16.2" thickTop="1">
      <c r="B115" s="1060" t="s">
        <v>41</v>
      </c>
      <c r="C115" s="1088"/>
      <c r="D115" s="72"/>
      <c r="E115" s="72"/>
      <c r="F115" s="72"/>
      <c r="G115" s="72"/>
      <c r="H115" s="72"/>
      <c r="I115" s="72"/>
      <c r="J115" s="72"/>
      <c r="K115" s="72"/>
      <c r="L115" s="72"/>
      <c r="M115" s="72"/>
      <c r="N115" s="72"/>
      <c r="O115" s="71"/>
      <c r="P115" s="1110"/>
      <c r="Q115" s="71"/>
      <c r="R115" s="71"/>
      <c r="S115" s="71"/>
      <c r="T115" s="71"/>
      <c r="U115" s="71"/>
      <c r="V115" s="71"/>
      <c r="W115" s="71"/>
      <c r="X115" s="71"/>
      <c r="Y115" s="71"/>
      <c r="Z115" s="71"/>
      <c r="AA115" s="1058"/>
      <c r="AB115" s="72"/>
      <c r="AC115" s="72"/>
      <c r="AD115" s="72"/>
      <c r="AE115" s="72"/>
      <c r="AF115" s="72"/>
      <c r="AG115" s="72"/>
      <c r="AH115" s="72"/>
      <c r="AI115" s="72"/>
      <c r="AJ115" s="72"/>
      <c r="AK115" s="72"/>
      <c r="AL115" s="72"/>
      <c r="AM115" s="72"/>
      <c r="AN115" s="72"/>
      <c r="AO115" s="72"/>
      <c r="AP115" s="72"/>
      <c r="AQ115" s="72"/>
      <c r="AR115" s="72"/>
      <c r="AS115" s="72"/>
      <c r="AT115" s="72"/>
      <c r="AU115" s="72"/>
      <c r="AV115" s="72"/>
      <c r="AW115" s="72"/>
      <c r="AX115" s="72"/>
      <c r="AY115" s="72"/>
      <c r="AZ115" s="72"/>
      <c r="BA115" s="72"/>
      <c r="BB115" s="72"/>
      <c r="BC115" s="72"/>
      <c r="BD115" s="72"/>
      <c r="BE115" s="72"/>
      <c r="BF115" s="72"/>
      <c r="BG115" s="72"/>
      <c r="BH115" s="72"/>
    </row>
    <row r="116" spans="2:60">
      <c r="B116" s="1062" t="s">
        <v>52</v>
      </c>
      <c r="C116" s="1030"/>
      <c r="D116" s="999">
        <f>'Profit &amp; Loss Ecommerce'!D66</f>
        <v>500000</v>
      </c>
      <c r="E116" s="999"/>
      <c r="F116" s="999"/>
      <c r="G116" s="999"/>
      <c r="H116" s="999"/>
      <c r="I116" s="999"/>
      <c r="J116" s="999"/>
      <c r="K116" s="999"/>
      <c r="L116" s="999"/>
      <c r="M116" s="999"/>
      <c r="N116" s="999"/>
      <c r="O116" s="1002"/>
      <c r="P116" s="1114"/>
      <c r="Q116" s="1002"/>
      <c r="R116" s="1002"/>
      <c r="S116" s="1002"/>
      <c r="T116" s="1002"/>
      <c r="U116" s="1002"/>
      <c r="V116" s="1002"/>
      <c r="W116" s="1002"/>
      <c r="X116" s="1002"/>
      <c r="Y116" s="1002"/>
      <c r="Z116" s="1002"/>
      <c r="AA116" s="1047"/>
      <c r="AB116" s="999"/>
      <c r="AC116" s="999"/>
      <c r="AD116" s="999"/>
      <c r="AE116" s="999"/>
      <c r="AF116" s="999"/>
      <c r="AG116" s="999"/>
      <c r="AH116" s="999"/>
      <c r="AI116" s="999"/>
      <c r="AJ116" s="999"/>
      <c r="AK116" s="999"/>
      <c r="AL116" s="999"/>
      <c r="AM116" s="999"/>
      <c r="AN116" s="72"/>
      <c r="AO116" s="72"/>
      <c r="AP116" s="72"/>
      <c r="AQ116" s="72"/>
      <c r="AR116" s="72"/>
      <c r="AS116" s="72"/>
      <c r="AT116" s="72"/>
      <c r="AU116" s="72"/>
      <c r="AV116" s="72"/>
      <c r="AW116" s="72"/>
      <c r="AX116" s="72"/>
      <c r="AY116" s="72"/>
      <c r="AZ116" s="72"/>
      <c r="BA116" s="72"/>
      <c r="BB116" s="72"/>
      <c r="BC116" s="72"/>
      <c r="BD116" s="72"/>
      <c r="BE116" s="72"/>
      <c r="BF116" s="72"/>
      <c r="BG116" s="72"/>
      <c r="BH116" s="72"/>
    </row>
    <row r="117" spans="2:60">
      <c r="B117" s="1062" t="s">
        <v>54</v>
      </c>
      <c r="C117" s="1030"/>
      <c r="D117" s="999">
        <f>-'Cash Flow'!D147</f>
        <v>-7352.283488672133</v>
      </c>
      <c r="E117" s="999">
        <f>-'Cash Flow'!E147</f>
        <v>-7382.9180032082677</v>
      </c>
      <c r="F117" s="999">
        <f>-'Cash Flow'!F147</f>
        <v>-7413.6801615549684</v>
      </c>
      <c r="G117" s="999">
        <f>-'Cash Flow'!G147</f>
        <v>-7444.5704955614483</v>
      </c>
      <c r="H117" s="999">
        <f>-'Cash Flow'!H147</f>
        <v>-7475.5895392929542</v>
      </c>
      <c r="I117" s="999">
        <f>-'Cash Flow'!I147</f>
        <v>-7506.7378290400075</v>
      </c>
      <c r="J117" s="999">
        <f>-'Cash Flow'!J147</f>
        <v>-7538.0159033276741</v>
      </c>
      <c r="K117" s="999">
        <f>-'Cash Flow'!K147</f>
        <v>-7569.4243029248728</v>
      </c>
      <c r="L117" s="999">
        <f>-'Cash Flow'!L147</f>
        <v>-7600.9635708537271</v>
      </c>
      <c r="M117" s="999">
        <f>-'Cash Flow'!M147</f>
        <v>-7632.6342523989506</v>
      </c>
      <c r="N117" s="999">
        <f>-'Cash Flow'!N147</f>
        <v>-7664.4368951172801</v>
      </c>
      <c r="O117" s="1002">
        <f>-'Cash Flow'!O147</f>
        <v>-7696.3720488469362</v>
      </c>
      <c r="P117" s="1114">
        <f>-'Cash Flow'!P147</f>
        <v>-7728.4402657171304</v>
      </c>
      <c r="Q117" s="1002">
        <f>-'Cash Flow'!Q147</f>
        <v>-7760.6421001576173</v>
      </c>
      <c r="R117" s="1002">
        <f>-'Cash Flow'!R147</f>
        <v>-7792.9781089082753</v>
      </c>
      <c r="S117" s="1002">
        <f>-'Cash Flow'!S147</f>
        <v>-7825.4488510287256</v>
      </c>
      <c r="T117" s="1002">
        <f>-'Cash Flow'!T147</f>
        <v>-7858.0548879080125</v>
      </c>
      <c r="U117" s="1002">
        <f>-'Cash Flow'!U147</f>
        <v>-7890.796783274297</v>
      </c>
      <c r="V117" s="1002">
        <f>-'Cash Flow'!V147</f>
        <v>-7923.6751032046059</v>
      </c>
      <c r="W117" s="1002">
        <f>-'Cash Flow'!W147</f>
        <v>-7956.6904161346247</v>
      </c>
      <c r="X117" s="1002">
        <f>-'Cash Flow'!X147</f>
        <v>-7989.8432928685188</v>
      </c>
      <c r="Y117" s="1002">
        <f>-'Cash Flow'!Y147</f>
        <v>-8023.1343065888041</v>
      </c>
      <c r="Z117" s="1002">
        <f>-'Cash Flow'!Z147</f>
        <v>-8056.5640328662585</v>
      </c>
      <c r="AA117" s="1047">
        <f>-'Cash Flow'!AA147</f>
        <v>-8090.1330496698665</v>
      </c>
      <c r="AB117" s="999">
        <f>-'Cash Flow'!AB147</f>
        <v>-8123.8419373768247</v>
      </c>
      <c r="AC117" s="999">
        <f>-'Cash Flow'!AC147</f>
        <v>-8157.6912787825613</v>
      </c>
      <c r="AD117" s="999">
        <f>-'Cash Flow'!AD147</f>
        <v>-8191.6816591108227</v>
      </c>
      <c r="AE117" s="999">
        <f>-'Cash Flow'!AE147</f>
        <v>-8225.8136660237851</v>
      </c>
      <c r="AF117" s="999">
        <f>-'Cash Flow'!AF147</f>
        <v>-8260.0878896322174</v>
      </c>
      <c r="AG117" s="999">
        <f>-'Cash Flow'!AG147</f>
        <v>-8294.5049225056846</v>
      </c>
      <c r="AH117" s="999">
        <f>-'Cash Flow'!AH147</f>
        <v>-8329.0653596827906</v>
      </c>
      <c r="AI117" s="999">
        <f>-'Cash Flow'!AI147</f>
        <v>-8363.7697986814692</v>
      </c>
      <c r="AJ117" s="999">
        <f>-'Cash Flow'!AJ147</f>
        <v>-8398.6188395093086</v>
      </c>
      <c r="AK117" s="999">
        <f>-'Cash Flow'!AK147</f>
        <v>-8433.6130846739306</v>
      </c>
      <c r="AL117" s="999">
        <f>-'Cash Flow'!AL147</f>
        <v>-8468.7531391934062</v>
      </c>
      <c r="AM117" s="999">
        <f>-'Cash Flow'!AM147</f>
        <v>-8504.0396106067128</v>
      </c>
      <c r="AN117" s="72"/>
      <c r="AO117" s="72"/>
      <c r="AP117" s="72"/>
      <c r="AQ117" s="72"/>
      <c r="AR117" s="72"/>
      <c r="AS117" s="72"/>
      <c r="AT117" s="72"/>
      <c r="AU117" s="72"/>
      <c r="AV117" s="72"/>
      <c r="AW117" s="72"/>
      <c r="AX117" s="72"/>
      <c r="AY117" s="72"/>
      <c r="AZ117" s="72"/>
      <c r="BA117" s="72"/>
      <c r="BB117" s="72"/>
      <c r="BC117" s="72"/>
      <c r="BD117" s="72"/>
      <c r="BE117" s="72"/>
      <c r="BF117" s="72"/>
      <c r="BG117" s="72"/>
      <c r="BH117" s="72"/>
    </row>
    <row r="118" spans="2:60">
      <c r="B118" s="1062" t="s">
        <v>53</v>
      </c>
      <c r="C118" s="1030"/>
      <c r="D118" s="999">
        <f>D116+D117</f>
        <v>492647.71651132789</v>
      </c>
      <c r="E118" s="999">
        <f>E117+D118</f>
        <v>485264.79850811959</v>
      </c>
      <c r="F118" s="999">
        <f t="shared" ref="F118:AM118" si="153">F117+E118</f>
        <v>477851.11834656465</v>
      </c>
      <c r="G118" s="999">
        <f t="shared" si="153"/>
        <v>470406.54785100318</v>
      </c>
      <c r="H118" s="999">
        <f t="shared" si="153"/>
        <v>462930.95831171022</v>
      </c>
      <c r="I118" s="999">
        <f t="shared" si="153"/>
        <v>455424.22048267024</v>
      </c>
      <c r="J118" s="999">
        <f t="shared" si="153"/>
        <v>447886.20457934256</v>
      </c>
      <c r="K118" s="999">
        <f t="shared" si="153"/>
        <v>440316.78027641767</v>
      </c>
      <c r="L118" s="999">
        <f t="shared" si="153"/>
        <v>432715.81670556392</v>
      </c>
      <c r="M118" s="999">
        <f t="shared" si="153"/>
        <v>425083.18245316495</v>
      </c>
      <c r="N118" s="999">
        <f t="shared" si="153"/>
        <v>417418.74555804767</v>
      </c>
      <c r="O118" s="1002">
        <f t="shared" si="153"/>
        <v>409722.37350920076</v>
      </c>
      <c r="P118" s="1114">
        <f t="shared" si="153"/>
        <v>401993.93324348365</v>
      </c>
      <c r="Q118" s="1002">
        <f t="shared" si="153"/>
        <v>394233.29114332603</v>
      </c>
      <c r="R118" s="1002">
        <f t="shared" si="153"/>
        <v>386440.31303441775</v>
      </c>
      <c r="S118" s="1002">
        <f t="shared" si="153"/>
        <v>378614.864183389</v>
      </c>
      <c r="T118" s="1002">
        <f t="shared" si="153"/>
        <v>370756.80929548101</v>
      </c>
      <c r="U118" s="1002">
        <f t="shared" si="153"/>
        <v>362866.01251220674</v>
      </c>
      <c r="V118" s="1002">
        <f t="shared" si="153"/>
        <v>354942.33740900212</v>
      </c>
      <c r="W118" s="1002">
        <f t="shared" si="153"/>
        <v>346985.64699286752</v>
      </c>
      <c r="X118" s="1002">
        <f t="shared" si="153"/>
        <v>338995.803699999</v>
      </c>
      <c r="Y118" s="1002">
        <f t="shared" si="153"/>
        <v>330972.66939341021</v>
      </c>
      <c r="Z118" s="1002">
        <f t="shared" si="153"/>
        <v>322916.10536054394</v>
      </c>
      <c r="AA118" s="1047">
        <f t="shared" si="153"/>
        <v>314825.97231087409</v>
      </c>
      <c r="AB118" s="999">
        <f t="shared" si="153"/>
        <v>306702.13037349726</v>
      </c>
      <c r="AC118" s="999">
        <f t="shared" si="153"/>
        <v>298544.4390947147</v>
      </c>
      <c r="AD118" s="999">
        <f t="shared" si="153"/>
        <v>290352.75743560388</v>
      </c>
      <c r="AE118" s="999">
        <f t="shared" si="153"/>
        <v>282126.9437695801</v>
      </c>
      <c r="AF118" s="999">
        <f t="shared" si="153"/>
        <v>273866.85587994789</v>
      </c>
      <c r="AG118" s="999">
        <f t="shared" si="153"/>
        <v>265572.35095744219</v>
      </c>
      <c r="AH118" s="999">
        <f t="shared" si="153"/>
        <v>257243.28559775942</v>
      </c>
      <c r="AI118" s="999">
        <f t="shared" si="153"/>
        <v>248879.51579907796</v>
      </c>
      <c r="AJ118" s="999">
        <f t="shared" si="153"/>
        <v>240480.89695956864</v>
      </c>
      <c r="AK118" s="999">
        <f t="shared" si="153"/>
        <v>232047.2838748947</v>
      </c>
      <c r="AL118" s="999">
        <f t="shared" si="153"/>
        <v>223578.53073570129</v>
      </c>
      <c r="AM118" s="999">
        <f t="shared" si="153"/>
        <v>215074.49112509459</v>
      </c>
      <c r="AN118" s="72"/>
      <c r="AO118" s="72"/>
      <c r="AP118" s="72"/>
      <c r="AQ118" s="72"/>
      <c r="AR118" s="72"/>
      <c r="AS118" s="72"/>
      <c r="AT118" s="72"/>
      <c r="AU118" s="72"/>
      <c r="AV118" s="72"/>
      <c r="AW118" s="72"/>
      <c r="AX118" s="72"/>
      <c r="AY118" s="72"/>
      <c r="AZ118" s="72"/>
      <c r="BA118" s="72"/>
      <c r="BB118" s="72"/>
      <c r="BC118" s="72"/>
      <c r="BD118" s="72"/>
      <c r="BE118" s="72"/>
      <c r="BF118" s="72"/>
      <c r="BG118" s="72"/>
      <c r="BH118" s="72"/>
    </row>
    <row r="119" spans="2:60" s="168" customFormat="1">
      <c r="B119" s="1089" t="s">
        <v>56</v>
      </c>
      <c r="C119" s="1084"/>
      <c r="D119" s="996">
        <f>IF(E85&gt;'Profit &amp; Loss Ecommerce'!$D68,0,-CUMPRINC('Profit &amp; Loss Ecommerce'!$D67/12,'Profit &amp; Loss Ecommerce'!$D68,'Profit &amp; Loss Ecommerce'!$D66,D85+1,MIN(D85+12,'Profit &amp; Loss Ecommerce'!$D68),0))</f>
        <v>90653.783267844192</v>
      </c>
      <c r="E119" s="996">
        <f>IF(F85&gt;'Profit &amp; Loss Ecommerce'!$D68,0,-CUMPRINC('Profit &amp; Loss Ecommerce'!$D67/12,'Profit &amp; Loss Ecommerce'!$D68,'Profit &amp; Loss Ecommerce'!$D66,E85+1,MIN(E85+12,'Profit &amp; Loss Ecommerce'!$D68),0))</f>
        <v>91031.507364793535</v>
      </c>
      <c r="F119" s="996">
        <f>IF(G85&gt;'Profit &amp; Loss Ecommerce'!$D68,0,-CUMPRINC('Profit &amp; Loss Ecommerce'!$D67/12,'Profit &amp; Loss Ecommerce'!$D68,'Profit &amp; Loss Ecommerce'!$D66,F85+1,MIN(F85+12,'Profit &amp; Loss Ecommerce'!$D68),0))</f>
        <v>91410.805312146869</v>
      </c>
      <c r="G119" s="996">
        <f>IF(H85&gt;'Profit &amp; Loss Ecommerce'!$D68,0,-CUMPRINC('Profit &amp; Loss Ecommerce'!$D67/12,'Profit &amp; Loss Ecommerce'!$D68,'Profit &amp; Loss Ecommerce'!$D66,G85+1,MIN(G85+12,'Profit &amp; Loss Ecommerce'!$D68),0))</f>
        <v>91791.683667614125</v>
      </c>
      <c r="H119" s="996">
        <f>IF(I85&gt;'Profit &amp; Loss Ecommerce'!$D68,0,-CUMPRINC('Profit &amp; Loss Ecommerce'!$D67/12,'Profit &amp; Loss Ecommerce'!$D68,'Profit &amp; Loss Ecommerce'!$D66,H85+1,MIN(H85+12,'Profit &amp; Loss Ecommerce'!$D68),0))</f>
        <v>92174.149016229203</v>
      </c>
      <c r="I119" s="996">
        <f>IF(J85&gt;'Profit &amp; Loss Ecommerce'!$D68,0,-CUMPRINC('Profit &amp; Loss Ecommerce'!$D67/12,'Profit &amp; Loss Ecommerce'!$D68,'Profit &amp; Loss Ecommerce'!$D66,I85+1,MIN(I85+12,'Profit &amp; Loss Ecommerce'!$D68),0))</f>
        <v>92558.207970463482</v>
      </c>
      <c r="J119" s="996">
        <f>IF(K85&gt;'Profit &amp; Loss Ecommerce'!$D68,0,-CUMPRINC('Profit &amp; Loss Ecommerce'!$D67/12,'Profit &amp; Loss Ecommerce'!$D68,'Profit &amp; Loss Ecommerce'!$D66,J85+1,MIN(J85+12,'Profit &amp; Loss Ecommerce'!$D68),0))</f>
        <v>92943.867170340411</v>
      </c>
      <c r="K119" s="996">
        <f>IF(L85&gt;'Profit &amp; Loss Ecommerce'!$D68,0,-CUMPRINC('Profit &amp; Loss Ecommerce'!$D67/12,'Profit &amp; Loss Ecommerce'!$D68,'Profit &amp; Loss Ecommerce'!$D66,K85+1,MIN(K85+12,'Profit &amp; Loss Ecommerce'!$D68),0))</f>
        <v>93331.133283550167</v>
      </c>
      <c r="L119" s="996">
        <f>IF(M85&gt;'Profit &amp; Loss Ecommerce'!$D68,0,-CUMPRINC('Profit &amp; Loss Ecommerce'!$D67/12,'Profit &amp; Loss Ecommerce'!$D68,'Profit &amp; Loss Ecommerce'!$D66,L85+1,MIN(L85+12,'Profit &amp; Loss Ecommerce'!$D68),0))</f>
        <v>93720.013005564964</v>
      </c>
      <c r="M119" s="996">
        <f>IF(N85&gt;'Profit &amp; Loss Ecommerce'!$D68,0,-CUMPRINC('Profit &amp; Loss Ecommerce'!$D67/12,'Profit &amp; Loss Ecommerce'!$D68,'Profit &amp; Loss Ecommerce'!$D66,M85+1,MIN(M85+12,'Profit &amp; Loss Ecommerce'!$D68),0))</f>
        <v>94110.513059754798</v>
      </c>
      <c r="N119" s="996">
        <f>IF(O85&gt;'Profit &amp; Loss Ecommerce'!$D68,0,-CUMPRINC('Profit &amp; Loss Ecommerce'!$D67/12,'Profit &amp; Loss Ecommerce'!$D68,'Profit &amp; Loss Ecommerce'!$D66,N85+1,MIN(N85+12,'Profit &amp; Loss Ecommerce'!$D68),0))</f>
        <v>94502.640197503788</v>
      </c>
      <c r="O119" s="1006">
        <f>IF(P85&gt;'Profit &amp; Loss Ecommerce'!$D68,0,-CUMPRINC('Profit &amp; Loss Ecommerce'!$D67/12,'Profit &amp; Loss Ecommerce'!$D68,'Profit &amp; Loss Ecommerce'!$D66,O85+1,MIN(O85+12,'Profit &amp; Loss Ecommerce'!$D68),0))</f>
        <v>94896.401198326712</v>
      </c>
      <c r="P119" s="1115">
        <f>IF(Q85&gt;'Profit &amp; Loss Ecommerce'!$D68,0,-CUMPRINC('Profit &amp; Loss Ecommerce'!$D67/12,'Profit &amp; Loss Ecommerce'!$D68,'Profit &amp; Loss Ecommerce'!$D66,P85+1,MIN(P85+12,'Profit &amp; Loss Ecommerce'!$D68),0))</f>
        <v>95291.802869986423</v>
      </c>
      <c r="Q119" s="1006">
        <f>IF(R85&gt;'Profit &amp; Loss Ecommerce'!$D68,0,-CUMPRINC('Profit &amp; Loss Ecommerce'!$D67/12,'Profit &amp; Loss Ecommerce'!$D68,'Profit &amp; Loss Ecommerce'!$D66,Q85+1,MIN(Q85+12,'Profit &amp; Loss Ecommerce'!$D68),0))</f>
        <v>95688.852048611356</v>
      </c>
      <c r="R119" s="1006">
        <f>IF(S85&gt;'Profit &amp; Loss Ecommerce'!$D68,0,-CUMPRINC('Profit &amp; Loss Ecommerce'!$D67/12,'Profit &amp; Loss Ecommerce'!$D68,'Profit &amp; Loss Ecommerce'!$D66,R85+1,MIN(R85+12,'Profit &amp; Loss Ecommerce'!$D68),0))</f>
        <v>96087.555598813909</v>
      </c>
      <c r="S119" s="1006">
        <f>IF(T85&gt;'Profit &amp; Loss Ecommerce'!$D68,0,-CUMPRINC('Profit &amp; Loss Ecommerce'!$D67/12,'Profit &amp; Loss Ecommerce'!$D68,'Profit &amp; Loss Ecommerce'!$D66,S85+1,MIN(S85+12,'Profit &amp; Loss Ecommerce'!$D68),0))</f>
        <v>96487.92041380897</v>
      </c>
      <c r="T119" s="1006">
        <f>IF(U85&gt;'Profit &amp; Loss Ecommerce'!$D68,0,-CUMPRINC('Profit &amp; Loss Ecommerce'!$D67/12,'Profit &amp; Loss Ecommerce'!$D68,'Profit &amp; Loss Ecommerce'!$D66,T85+1,MIN(T85+12,'Profit &amp; Loss Ecommerce'!$D68),0))</f>
        <v>96889.953415533178</v>
      </c>
      <c r="U119" s="1006">
        <f>IF(V85&gt;'Profit &amp; Loss Ecommerce'!$D68,0,-CUMPRINC('Profit &amp; Loss Ecommerce'!$D67/12,'Profit &amp; Loss Ecommerce'!$D68,'Profit &amp; Loss Ecommerce'!$D66,U85+1,MIN(U85+12,'Profit &amp; Loss Ecommerce'!$D68),0))</f>
        <v>97293.661554764549</v>
      </c>
      <c r="V119" s="1006">
        <f>IF(W85&gt;'Profit &amp; Loss Ecommerce'!$D68,0,-CUMPRINC('Profit &amp; Loss Ecommerce'!$D67/12,'Profit &amp; Loss Ecommerce'!$D68,'Profit &amp; Loss Ecommerce'!$D66,V85+1,MIN(V85+12,'Profit &amp; Loss Ecommerce'!$D68),0))</f>
        <v>97699.051811242753</v>
      </c>
      <c r="W119" s="1006">
        <f>IF(X85&gt;'Profit &amp; Loss Ecommerce'!$D68,0,-CUMPRINC('Profit &amp; Loss Ecommerce'!$D67/12,'Profit &amp; Loss Ecommerce'!$D68,'Profit &amp; Loss Ecommerce'!$D66,W85+1,MIN(W85+12,'Profit &amp; Loss Ecommerce'!$D68),0))</f>
        <v>98106.131193789581</v>
      </c>
      <c r="X119" s="1006">
        <f>IF(Y85&gt;'Profit &amp; Loss Ecommerce'!$D68,0,-CUMPRINC('Profit &amp; Loss Ecommerce'!$D67/12,'Profit &amp; Loss Ecommerce'!$D68,'Profit &amp; Loss Ecommerce'!$D66,X85+1,MIN(X85+12,'Profit &amp; Loss Ecommerce'!$D68),0))</f>
        <v>98514.906740430379</v>
      </c>
      <c r="Y119" s="1006">
        <f>IF(Z85&gt;'Profit &amp; Loss Ecommerce'!$D68,0,-CUMPRINC('Profit &amp; Loss Ecommerce'!$D67/12,'Profit &amp; Loss Ecommerce'!$D68,'Profit &amp; Loss Ecommerce'!$D66,Y85+1,MIN(Y85+12,'Profit &amp; Loss Ecommerce'!$D68),0))</f>
        <v>98925.385518515497</v>
      </c>
      <c r="Z119" s="1006">
        <f>IF(AA85&gt;'Profit &amp; Loss Ecommerce'!$D68,0,-CUMPRINC('Profit &amp; Loss Ecommerce'!$D67/12,'Profit &amp; Loss Ecommerce'!$D68,'Profit &amp; Loss Ecommerce'!$D66,Z85+1,MIN(Z85+12,'Profit &amp; Loss Ecommerce'!$D68),0))</f>
        <v>99337.574624842644</v>
      </c>
      <c r="AA119" s="1054">
        <f>IF(AB85&gt;'Profit &amp; Loss Ecommerce'!$D68,0,-CUMPRINC('Profit &amp; Loss Ecommerce'!$D67/12,'Profit &amp; Loss Ecommerce'!$D68,'Profit &amp; Loss Ecommerce'!$D66,AA85+1,MIN(AA85+12,'Profit &amp; Loss Ecommerce'!$D68),0))</f>
        <v>99751.481185779499</v>
      </c>
      <c r="AB119" s="996">
        <f>IF(AC85&gt;'Profit &amp; Loss Ecommerce'!$D68,0,-CUMPRINC('Profit &amp; Loss Ecommerce'!$D67/12,'Profit &amp; Loss Ecommerce'!$D68,'Profit &amp; Loss Ecommerce'!$D66,AB85+1,MIN(AB85+12,'Profit &amp; Loss Ecommerce'!$D68),0))</f>
        <v>100167.11235738691</v>
      </c>
      <c r="AC119" s="996">
        <f>IF(AD85&gt;'Profit &amp; Loss Ecommerce'!$D68,0,-CUMPRINC('Profit &amp; Loss Ecommerce'!$D67/12,'Profit &amp; Loss Ecommerce'!$D68,'Profit &amp; Loss Ecommerce'!$D66,AC85+1,MIN(AC85+12,'Profit &amp; Loss Ecommerce'!$D68),0))</f>
        <v>100584.47532554269</v>
      </c>
      <c r="AD119" s="996">
        <f>IF(AE85&gt;'Profit &amp; Loss Ecommerce'!$D68,0,-CUMPRINC('Profit &amp; Loss Ecommerce'!$D67/12,'Profit &amp; Loss Ecommerce'!$D68,'Profit &amp; Loss Ecommerce'!$D66,AD85+1,MIN(AD85+12,'Profit &amp; Loss Ecommerce'!$D68),0))</f>
        <v>101003.57730606578</v>
      </c>
      <c r="AE119" s="996">
        <f>IF(AF85&gt;'Profit &amp; Loss Ecommerce'!$D68,0,-CUMPRINC('Profit &amp; Loss Ecommerce'!$D67/12,'Profit &amp; Loss Ecommerce'!$D68,'Profit &amp; Loss Ecommerce'!$D66,AE85+1,MIN(AE85+12,'Profit &amp; Loss Ecommerce'!$D68),0))</f>
        <v>101424.42554484107</v>
      </c>
      <c r="AF119" s="996">
        <f>IF(AG85&gt;'Profit &amp; Loss Ecommerce'!$D68,0,-CUMPRINC('Profit &amp; Loss Ecommerce'!$D67/12,'Profit &amp; Loss Ecommerce'!$D68,'Profit &amp; Loss Ecommerce'!$D66,AF85+1,MIN(AF85+12,'Profit &amp; Loss Ecommerce'!$D68),0))</f>
        <v>101847.02731794456</v>
      </c>
      <c r="AG119" s="996">
        <f>IF(AH85&gt;'Profit &amp; Loss Ecommerce'!$D68,0,-CUMPRINC('Profit &amp; Loss Ecommerce'!$D67/12,'Profit &amp; Loss Ecommerce'!$D68,'Profit &amp; Loss Ecommerce'!$D66,AG85+1,MIN(AG85+12,'Profit &amp; Loss Ecommerce'!$D68),0))</f>
        <v>102271.38993176933</v>
      </c>
      <c r="AH119" s="996">
        <f>IF(AI85&gt;'Profit &amp; Loss Ecommerce'!$D68,0,-CUMPRINC('Profit &amp; Loss Ecommerce'!$D67/12,'Profit &amp; Loss Ecommerce'!$D68,'Profit &amp; Loss Ecommerce'!$D66,AH85+1,MIN(AH85+12,'Profit &amp; Loss Ecommerce'!$D68),0))</f>
        <v>102697.5207231517</v>
      </c>
      <c r="AI119" s="996">
        <f>IF(AJ85&gt;'Profit &amp; Loss Ecommerce'!$D68,0,-CUMPRINC('Profit &amp; Loss Ecommerce'!$D67/12,'Profit &amp; Loss Ecommerce'!$D68,'Profit &amp; Loss Ecommerce'!$D66,AI85+1,MIN(AI85+12,'Profit &amp; Loss Ecommerce'!$D68),0))</f>
        <v>103125.42705949818</v>
      </c>
      <c r="AJ119" s="996">
        <f>IF(AK85&gt;'Profit &amp; Loss Ecommerce'!$D68,0,-CUMPRINC('Profit &amp; Loss Ecommerce'!$D67/12,'Profit &amp; Loss Ecommerce'!$D68,'Profit &amp; Loss Ecommerce'!$D66,AJ85+1,MIN(AJ85+12,'Profit &amp; Loss Ecommerce'!$D68),0))</f>
        <v>103555.11633891273</v>
      </c>
      <c r="AK119" s="996">
        <f>IF(AL85&gt;'Profit &amp; Loss Ecommerce'!$D68,0,-CUMPRINC('Profit &amp; Loss Ecommerce'!$D67/12,'Profit &amp; Loss Ecommerce'!$D68,'Profit &amp; Loss Ecommerce'!$D66,AK85+1,MIN(AK85+12,'Profit &amp; Loss Ecommerce'!$D68),0))</f>
        <v>103986.59599032489</v>
      </c>
      <c r="AL119" s="996">
        <f>IF(AM85&gt;'Profit &amp; Loss Ecommerce'!$D68,0,-CUMPRINC('Profit &amp; Loss Ecommerce'!$D67/12,'Profit &amp; Loss Ecommerce'!$D68,'Profit &amp; Loss Ecommerce'!$D66,AL85+1,MIN(AL85+12,'Profit &amp; Loss Ecommerce'!$D68),0))</f>
        <v>104419.8734736179</v>
      </c>
      <c r="AM119" s="996">
        <f>IF(AN85&gt;'Profit &amp; Loss Ecommerce'!$D68,0,-CUMPRINC('Profit &amp; Loss Ecommerce'!$D67/12,'Profit &amp; Loss Ecommerce'!$D68,'Profit &amp; Loss Ecommerce'!$D66,AM85+1,MIN(AM85+12,'Profit &amp; Loss Ecommerce'!$D68),0))</f>
        <v>104854.95627975799</v>
      </c>
      <c r="AN119" s="169"/>
      <c r="AO119" s="169"/>
      <c r="AP119" s="169"/>
      <c r="AQ119" s="169"/>
      <c r="AR119" s="169"/>
      <c r="AS119" s="169"/>
      <c r="AT119" s="169"/>
      <c r="AU119" s="169"/>
      <c r="AV119" s="169"/>
      <c r="AW119" s="169"/>
      <c r="AX119" s="169"/>
      <c r="AY119" s="169"/>
      <c r="AZ119" s="169"/>
      <c r="BA119" s="169"/>
      <c r="BB119" s="169"/>
      <c r="BC119" s="169"/>
      <c r="BD119" s="169"/>
      <c r="BE119" s="169"/>
      <c r="BF119" s="169"/>
      <c r="BG119" s="169"/>
      <c r="BH119" s="169"/>
    </row>
    <row r="120" spans="2:60" s="168" customFormat="1" ht="16.2" thickBot="1">
      <c r="B120" s="1076" t="s">
        <v>55</v>
      </c>
      <c r="C120" s="1085"/>
      <c r="D120" s="996">
        <f>D118-D119</f>
        <v>401993.93324348371</v>
      </c>
      <c r="E120" s="996">
        <f t="shared" ref="E120:AM120" si="154">E118-E119</f>
        <v>394233.29114332609</v>
      </c>
      <c r="F120" s="996">
        <f t="shared" si="154"/>
        <v>386440.31303441781</v>
      </c>
      <c r="G120" s="996">
        <f t="shared" si="154"/>
        <v>378614.86418338906</v>
      </c>
      <c r="H120" s="996">
        <f t="shared" si="154"/>
        <v>370756.80929548101</v>
      </c>
      <c r="I120" s="996">
        <f t="shared" si="154"/>
        <v>362866.01251220674</v>
      </c>
      <c r="J120" s="996">
        <f t="shared" si="154"/>
        <v>354942.33740900212</v>
      </c>
      <c r="K120" s="996">
        <f t="shared" si="154"/>
        <v>346985.64699286752</v>
      </c>
      <c r="L120" s="996">
        <f t="shared" si="154"/>
        <v>338995.80369999894</v>
      </c>
      <c r="M120" s="996">
        <f t="shared" si="154"/>
        <v>330972.66939341015</v>
      </c>
      <c r="N120" s="996">
        <f t="shared" si="154"/>
        <v>322916.10536054388</v>
      </c>
      <c r="O120" s="1006">
        <f t="shared" si="154"/>
        <v>314825.97231087403</v>
      </c>
      <c r="P120" s="1115">
        <f t="shared" si="154"/>
        <v>306702.13037349726</v>
      </c>
      <c r="Q120" s="1006">
        <f t="shared" si="154"/>
        <v>298544.4390947147</v>
      </c>
      <c r="R120" s="1006">
        <f t="shared" si="154"/>
        <v>290352.75743560382</v>
      </c>
      <c r="S120" s="1006">
        <f t="shared" si="154"/>
        <v>282126.94376958004</v>
      </c>
      <c r="T120" s="1006">
        <f t="shared" si="154"/>
        <v>273866.85587994783</v>
      </c>
      <c r="U120" s="1006">
        <f t="shared" si="154"/>
        <v>265572.35095744219</v>
      </c>
      <c r="V120" s="1006">
        <f t="shared" si="154"/>
        <v>257243.28559775936</v>
      </c>
      <c r="W120" s="1006">
        <f t="shared" si="154"/>
        <v>248879.51579907793</v>
      </c>
      <c r="X120" s="1006">
        <f t="shared" si="154"/>
        <v>240480.89695956861</v>
      </c>
      <c r="Y120" s="1006">
        <f t="shared" si="154"/>
        <v>232047.28387489473</v>
      </c>
      <c r="Z120" s="1006">
        <f t="shared" si="154"/>
        <v>223578.53073570129</v>
      </c>
      <c r="AA120" s="1054">
        <f t="shared" si="154"/>
        <v>215074.49112509459</v>
      </c>
      <c r="AB120" s="996">
        <f t="shared" si="154"/>
        <v>206535.01801611035</v>
      </c>
      <c r="AC120" s="996">
        <f t="shared" si="154"/>
        <v>197959.96376917203</v>
      </c>
      <c r="AD120" s="996">
        <f t="shared" si="154"/>
        <v>189349.18012953812</v>
      </c>
      <c r="AE120" s="996">
        <f t="shared" si="154"/>
        <v>180702.51822473903</v>
      </c>
      <c r="AF120" s="996">
        <f t="shared" si="154"/>
        <v>172019.82856200333</v>
      </c>
      <c r="AG120" s="996">
        <f t="shared" si="154"/>
        <v>163300.96102567285</v>
      </c>
      <c r="AH120" s="996">
        <f t="shared" si="154"/>
        <v>154545.76487460773</v>
      </c>
      <c r="AI120" s="996">
        <f t="shared" si="154"/>
        <v>145754.08873957978</v>
      </c>
      <c r="AJ120" s="996">
        <f t="shared" si="154"/>
        <v>136925.78062065592</v>
      </c>
      <c r="AK120" s="996">
        <f t="shared" si="154"/>
        <v>128060.68788456981</v>
      </c>
      <c r="AL120" s="996">
        <f t="shared" si="154"/>
        <v>119158.65726208339</v>
      </c>
      <c r="AM120" s="996">
        <f t="shared" si="154"/>
        <v>110219.5348453366</v>
      </c>
      <c r="AN120" s="169"/>
      <c r="AO120" s="169"/>
      <c r="AP120" s="169"/>
      <c r="AQ120" s="169"/>
      <c r="AR120" s="169"/>
      <c r="AS120" s="169"/>
      <c r="AT120" s="169"/>
      <c r="AU120" s="169"/>
      <c r="AV120" s="169"/>
      <c r="AW120" s="169"/>
      <c r="AX120" s="169"/>
      <c r="AY120" s="169"/>
      <c r="AZ120" s="169"/>
      <c r="BA120" s="169"/>
      <c r="BB120" s="169"/>
      <c r="BC120" s="169"/>
      <c r="BD120" s="169"/>
      <c r="BE120" s="169"/>
      <c r="BF120" s="169"/>
      <c r="BG120" s="169"/>
      <c r="BH120" s="169"/>
    </row>
    <row r="121" spans="2:60" ht="16.8" thickTop="1" thickBot="1">
      <c r="D121" s="72"/>
      <c r="E121" s="72"/>
      <c r="G121" s="211"/>
      <c r="H121" s="211"/>
      <c r="I121" s="211"/>
      <c r="J121" s="211"/>
      <c r="K121" s="72"/>
      <c r="L121" s="72"/>
      <c r="M121" s="72"/>
      <c r="N121" s="72"/>
      <c r="O121" s="71"/>
      <c r="P121" s="1110"/>
      <c r="Q121" s="71"/>
      <c r="R121" s="71"/>
      <c r="S121" s="71"/>
      <c r="T121" s="71"/>
      <c r="U121" s="71"/>
      <c r="V121" s="71"/>
      <c r="W121" s="71"/>
      <c r="X121" s="71"/>
      <c r="Y121" s="71"/>
      <c r="Z121" s="71"/>
      <c r="AA121" s="1058"/>
      <c r="AB121" s="71"/>
      <c r="AC121" s="72"/>
      <c r="AD121" s="72"/>
      <c r="AE121" s="72"/>
      <c r="AF121" s="72"/>
      <c r="AG121" s="72"/>
      <c r="AH121" s="72"/>
      <c r="AI121" s="72"/>
      <c r="AJ121" s="72"/>
      <c r="AK121" s="72"/>
      <c r="AL121" s="72"/>
      <c r="AM121" s="72"/>
      <c r="AN121" s="72"/>
      <c r="AO121" s="72"/>
      <c r="AP121" s="72"/>
      <c r="AQ121" s="72"/>
      <c r="AR121" s="72"/>
      <c r="AS121" s="72"/>
      <c r="AT121" s="72"/>
      <c r="AU121" s="72"/>
      <c r="AV121" s="72"/>
      <c r="AW121" s="72"/>
      <c r="AX121" s="72"/>
      <c r="AY121" s="72"/>
      <c r="AZ121" s="72"/>
      <c r="BA121" s="72"/>
      <c r="BB121" s="72"/>
      <c r="BC121" s="72"/>
      <c r="BD121" s="72"/>
      <c r="BE121" s="72"/>
      <c r="BF121" s="72"/>
      <c r="BG121" s="72"/>
      <c r="BH121" s="72"/>
    </row>
    <row r="122" spans="2:60" ht="16.2" thickTop="1">
      <c r="B122" s="1060" t="s">
        <v>170</v>
      </c>
      <c r="C122" s="1088"/>
      <c r="D122" s="72"/>
      <c r="E122" s="72"/>
      <c r="G122" s="211"/>
      <c r="H122" s="211"/>
      <c r="I122" s="211"/>
      <c r="J122" s="211"/>
      <c r="K122" s="72"/>
      <c r="L122" s="72"/>
      <c r="M122" s="72"/>
      <c r="N122" s="72"/>
      <c r="O122" s="71"/>
      <c r="P122" s="1110"/>
      <c r="Q122" s="71"/>
      <c r="R122" s="71"/>
      <c r="S122" s="71"/>
      <c r="T122" s="71"/>
      <c r="U122" s="71"/>
      <c r="V122" s="71"/>
      <c r="W122" s="71"/>
      <c r="X122" s="71"/>
      <c r="Y122" s="71"/>
      <c r="Z122" s="71"/>
      <c r="AA122" s="1058"/>
      <c r="AB122" s="71"/>
      <c r="AC122" s="72"/>
      <c r="AD122" s="72"/>
      <c r="AE122" s="72"/>
      <c r="AF122" s="72"/>
      <c r="AG122" s="72"/>
      <c r="AH122" s="72"/>
      <c r="AI122" s="72"/>
      <c r="AJ122" s="72"/>
      <c r="AK122" s="72"/>
      <c r="AL122" s="72"/>
      <c r="AM122" s="72"/>
      <c r="AN122" s="72"/>
      <c r="AO122" s="72"/>
      <c r="AP122" s="72"/>
      <c r="AQ122" s="72"/>
      <c r="AR122" s="72"/>
      <c r="AS122" s="72"/>
      <c r="AT122" s="72"/>
      <c r="AU122" s="72"/>
      <c r="AV122" s="72"/>
      <c r="AW122" s="72"/>
      <c r="AX122" s="72"/>
      <c r="AY122" s="72"/>
      <c r="AZ122" s="72"/>
      <c r="BA122" s="72"/>
      <c r="BB122" s="72"/>
      <c r="BC122" s="72"/>
      <c r="BD122" s="72"/>
      <c r="BE122" s="72"/>
      <c r="BF122" s="72"/>
      <c r="BG122" s="72"/>
      <c r="BH122" s="72"/>
    </row>
    <row r="123" spans="2:60">
      <c r="B123" s="1062" t="s">
        <v>112</v>
      </c>
      <c r="C123" s="1030"/>
      <c r="D123" s="999"/>
      <c r="E123" s="999">
        <f>D125</f>
        <v>40000</v>
      </c>
      <c r="F123" s="999">
        <f t="shared" ref="F123:AM123" si="155">E125</f>
        <v>40000</v>
      </c>
      <c r="G123" s="999">
        <f t="shared" si="155"/>
        <v>40000</v>
      </c>
      <c r="H123" s="999">
        <f t="shared" si="155"/>
        <v>40000</v>
      </c>
      <c r="I123" s="999">
        <f t="shared" si="155"/>
        <v>40000</v>
      </c>
      <c r="J123" s="999">
        <f t="shared" si="155"/>
        <v>40000</v>
      </c>
      <c r="K123" s="999">
        <f t="shared" si="155"/>
        <v>35000</v>
      </c>
      <c r="L123" s="999">
        <f t="shared" si="155"/>
        <v>35000</v>
      </c>
      <c r="M123" s="999">
        <f t="shared" si="155"/>
        <v>35000</v>
      </c>
      <c r="N123" s="999">
        <f t="shared" si="155"/>
        <v>35000</v>
      </c>
      <c r="O123" s="1002">
        <f t="shared" si="155"/>
        <v>35000</v>
      </c>
      <c r="P123" s="1114">
        <f t="shared" si="155"/>
        <v>35000</v>
      </c>
      <c r="Q123" s="1002">
        <f t="shared" si="155"/>
        <v>35000</v>
      </c>
      <c r="R123" s="1002">
        <f t="shared" si="155"/>
        <v>30000</v>
      </c>
      <c r="S123" s="1002">
        <f t="shared" si="155"/>
        <v>30000</v>
      </c>
      <c r="T123" s="1002">
        <f t="shared" si="155"/>
        <v>30000</v>
      </c>
      <c r="U123" s="1002">
        <f t="shared" si="155"/>
        <v>30000</v>
      </c>
      <c r="V123" s="1002">
        <f t="shared" si="155"/>
        <v>30000</v>
      </c>
      <c r="W123" s="1002">
        <f t="shared" si="155"/>
        <v>30000</v>
      </c>
      <c r="X123" s="1002">
        <f t="shared" si="155"/>
        <v>30000</v>
      </c>
      <c r="Y123" s="1002">
        <f t="shared" si="155"/>
        <v>30000</v>
      </c>
      <c r="Z123" s="1002">
        <f t="shared" si="155"/>
        <v>30000</v>
      </c>
      <c r="AA123" s="1047">
        <f t="shared" si="155"/>
        <v>30000</v>
      </c>
      <c r="AB123" s="999">
        <f t="shared" si="155"/>
        <v>30000</v>
      </c>
      <c r="AC123" s="999">
        <f t="shared" si="155"/>
        <v>30000</v>
      </c>
      <c r="AD123" s="999">
        <f t="shared" si="155"/>
        <v>30000</v>
      </c>
      <c r="AE123" s="999">
        <f t="shared" si="155"/>
        <v>30000</v>
      </c>
      <c r="AF123" s="999">
        <f t="shared" si="155"/>
        <v>30000</v>
      </c>
      <c r="AG123" s="999">
        <f t="shared" si="155"/>
        <v>30000</v>
      </c>
      <c r="AH123" s="999">
        <f t="shared" si="155"/>
        <v>30000</v>
      </c>
      <c r="AI123" s="999">
        <f t="shared" si="155"/>
        <v>30000</v>
      </c>
      <c r="AJ123" s="999">
        <f t="shared" si="155"/>
        <v>30000</v>
      </c>
      <c r="AK123" s="999">
        <f t="shared" si="155"/>
        <v>30000</v>
      </c>
      <c r="AL123" s="999">
        <f t="shared" si="155"/>
        <v>30000</v>
      </c>
      <c r="AM123" s="999">
        <f t="shared" si="155"/>
        <v>30000</v>
      </c>
      <c r="AN123" s="72"/>
      <c r="AO123" s="72"/>
      <c r="AP123" s="72"/>
      <c r="AQ123" s="72"/>
      <c r="AR123" s="72"/>
      <c r="AS123" s="72"/>
      <c r="AT123" s="72"/>
      <c r="AU123" s="72"/>
      <c r="AV123" s="72"/>
      <c r="AW123" s="72"/>
      <c r="AX123" s="72"/>
      <c r="AY123" s="72"/>
      <c r="AZ123" s="72"/>
      <c r="BA123" s="72"/>
      <c r="BB123" s="72"/>
      <c r="BC123" s="72"/>
      <c r="BD123" s="72"/>
      <c r="BE123" s="72"/>
      <c r="BF123" s="72"/>
      <c r="BG123" s="72"/>
      <c r="BH123" s="72"/>
    </row>
    <row r="124" spans="2:60">
      <c r="B124" s="1062" t="s">
        <v>166</v>
      </c>
      <c r="C124" s="1030"/>
      <c r="D124" s="999">
        <f>'Cash Flow'!D152</f>
        <v>40000</v>
      </c>
      <c r="E124" s="999">
        <f>'Cash Flow'!E152</f>
        <v>0</v>
      </c>
      <c r="F124" s="999">
        <f>'Cash Flow'!F152</f>
        <v>0</v>
      </c>
      <c r="G124" s="999">
        <f>'Cash Flow'!G152</f>
        <v>0</v>
      </c>
      <c r="H124" s="999">
        <f>'Cash Flow'!H152</f>
        <v>0</v>
      </c>
      <c r="I124" s="999">
        <f>'Cash Flow'!I152</f>
        <v>0</v>
      </c>
      <c r="J124" s="999">
        <f>'Cash Flow'!J152</f>
        <v>-5000</v>
      </c>
      <c r="K124" s="999">
        <f>'Cash Flow'!K152</f>
        <v>0</v>
      </c>
      <c r="L124" s="999">
        <f>'Cash Flow'!L152</f>
        <v>0</v>
      </c>
      <c r="M124" s="999">
        <f>'Cash Flow'!M152</f>
        <v>0</v>
      </c>
      <c r="N124" s="999">
        <f>'Cash Flow'!N152</f>
        <v>0</v>
      </c>
      <c r="O124" s="1002">
        <f>'Cash Flow'!O152</f>
        <v>0</v>
      </c>
      <c r="P124" s="1114">
        <f>'Cash Flow'!P152</f>
        <v>0</v>
      </c>
      <c r="Q124" s="1002">
        <f>'Cash Flow'!Q152</f>
        <v>-5000</v>
      </c>
      <c r="R124" s="1002">
        <f>'Cash Flow'!R152</f>
        <v>0</v>
      </c>
      <c r="S124" s="1002">
        <f>'Cash Flow'!S152</f>
        <v>0</v>
      </c>
      <c r="T124" s="1002">
        <f>'Cash Flow'!T152</f>
        <v>0</v>
      </c>
      <c r="U124" s="1002">
        <f>'Cash Flow'!U152</f>
        <v>0</v>
      </c>
      <c r="V124" s="1002">
        <f>'Cash Flow'!V152</f>
        <v>0</v>
      </c>
      <c r="W124" s="1002">
        <f>'Cash Flow'!W152</f>
        <v>0</v>
      </c>
      <c r="X124" s="1002">
        <f>'Cash Flow'!X152</f>
        <v>0</v>
      </c>
      <c r="Y124" s="1002">
        <f>'Cash Flow'!Y152</f>
        <v>0</v>
      </c>
      <c r="Z124" s="1002">
        <f>'Cash Flow'!Z152</f>
        <v>0</v>
      </c>
      <c r="AA124" s="1047">
        <f>'Cash Flow'!AA152</f>
        <v>0</v>
      </c>
      <c r="AB124" s="999">
        <f>'Cash Flow'!AB152</f>
        <v>0</v>
      </c>
      <c r="AC124" s="999">
        <f>'Cash Flow'!AC152</f>
        <v>0</v>
      </c>
      <c r="AD124" s="999">
        <f>'Cash Flow'!AD152</f>
        <v>0</v>
      </c>
      <c r="AE124" s="999">
        <f>'Cash Flow'!AE152</f>
        <v>0</v>
      </c>
      <c r="AF124" s="999">
        <f>'Cash Flow'!AF152</f>
        <v>0</v>
      </c>
      <c r="AG124" s="999">
        <f>'Cash Flow'!AG152</f>
        <v>0</v>
      </c>
      <c r="AH124" s="999">
        <f>'Cash Flow'!AH152</f>
        <v>0</v>
      </c>
      <c r="AI124" s="999">
        <f>'Cash Flow'!AI152</f>
        <v>0</v>
      </c>
      <c r="AJ124" s="999">
        <f>'Cash Flow'!AJ152</f>
        <v>0</v>
      </c>
      <c r="AK124" s="999">
        <f>'Cash Flow'!AK152</f>
        <v>0</v>
      </c>
      <c r="AL124" s="999">
        <f>'Cash Flow'!AL152</f>
        <v>0</v>
      </c>
      <c r="AM124" s="999">
        <f>'Cash Flow'!AM152</f>
        <v>0</v>
      </c>
      <c r="AN124" s="72"/>
      <c r="AO124" s="72"/>
      <c r="AP124" s="72"/>
      <c r="AQ124" s="72"/>
      <c r="AR124" s="72"/>
      <c r="AS124" s="72"/>
      <c r="AT124" s="72"/>
      <c r="AU124" s="72"/>
      <c r="AV124" s="72"/>
      <c r="AW124" s="72"/>
      <c r="AX124" s="72"/>
      <c r="AY124" s="72"/>
      <c r="AZ124" s="72"/>
      <c r="BA124" s="72"/>
      <c r="BB124" s="72"/>
      <c r="BC124" s="72"/>
      <c r="BD124" s="72"/>
      <c r="BE124" s="72"/>
      <c r="BF124" s="72"/>
      <c r="BG124" s="72"/>
      <c r="BH124" s="72"/>
    </row>
    <row r="125" spans="2:60" ht="16.2" thickBot="1">
      <c r="B125" s="1064" t="s">
        <v>140</v>
      </c>
      <c r="C125" s="1090"/>
      <c r="D125" s="999">
        <f>D123+D124</f>
        <v>40000</v>
      </c>
      <c r="E125" s="999">
        <f>E123+E124</f>
        <v>40000</v>
      </c>
      <c r="F125" s="999">
        <f t="shared" ref="F125:AM125" si="156">F123+F124</f>
        <v>40000</v>
      </c>
      <c r="G125" s="999">
        <f t="shared" si="156"/>
        <v>40000</v>
      </c>
      <c r="H125" s="999">
        <f t="shared" si="156"/>
        <v>40000</v>
      </c>
      <c r="I125" s="999">
        <f t="shared" si="156"/>
        <v>40000</v>
      </c>
      <c r="J125" s="999">
        <f t="shared" si="156"/>
        <v>35000</v>
      </c>
      <c r="K125" s="999">
        <f t="shared" si="156"/>
        <v>35000</v>
      </c>
      <c r="L125" s="999">
        <f t="shared" si="156"/>
        <v>35000</v>
      </c>
      <c r="M125" s="999">
        <f t="shared" si="156"/>
        <v>35000</v>
      </c>
      <c r="N125" s="999">
        <f t="shared" si="156"/>
        <v>35000</v>
      </c>
      <c r="O125" s="1002">
        <f t="shared" si="156"/>
        <v>35000</v>
      </c>
      <c r="P125" s="1114">
        <f t="shared" si="156"/>
        <v>35000</v>
      </c>
      <c r="Q125" s="1002">
        <f t="shared" si="156"/>
        <v>30000</v>
      </c>
      <c r="R125" s="1002">
        <f t="shared" si="156"/>
        <v>30000</v>
      </c>
      <c r="S125" s="1002">
        <f t="shared" si="156"/>
        <v>30000</v>
      </c>
      <c r="T125" s="1002">
        <f t="shared" si="156"/>
        <v>30000</v>
      </c>
      <c r="U125" s="1002">
        <f t="shared" si="156"/>
        <v>30000</v>
      </c>
      <c r="V125" s="1002">
        <f t="shared" si="156"/>
        <v>30000</v>
      </c>
      <c r="W125" s="1002">
        <f t="shared" si="156"/>
        <v>30000</v>
      </c>
      <c r="X125" s="1002">
        <f t="shared" si="156"/>
        <v>30000</v>
      </c>
      <c r="Y125" s="1002">
        <f t="shared" si="156"/>
        <v>30000</v>
      </c>
      <c r="Z125" s="1002">
        <f t="shared" si="156"/>
        <v>30000</v>
      </c>
      <c r="AA125" s="1047">
        <f t="shared" si="156"/>
        <v>30000</v>
      </c>
      <c r="AB125" s="999">
        <f t="shared" si="156"/>
        <v>30000</v>
      </c>
      <c r="AC125" s="999">
        <f t="shared" si="156"/>
        <v>30000</v>
      </c>
      <c r="AD125" s="999">
        <f t="shared" si="156"/>
        <v>30000</v>
      </c>
      <c r="AE125" s="999">
        <f t="shared" si="156"/>
        <v>30000</v>
      </c>
      <c r="AF125" s="999">
        <f t="shared" si="156"/>
        <v>30000</v>
      </c>
      <c r="AG125" s="999">
        <f t="shared" si="156"/>
        <v>30000</v>
      </c>
      <c r="AH125" s="999">
        <f t="shared" si="156"/>
        <v>30000</v>
      </c>
      <c r="AI125" s="999">
        <f t="shared" si="156"/>
        <v>30000</v>
      </c>
      <c r="AJ125" s="999">
        <f t="shared" si="156"/>
        <v>30000</v>
      </c>
      <c r="AK125" s="999">
        <f t="shared" si="156"/>
        <v>30000</v>
      </c>
      <c r="AL125" s="999">
        <f t="shared" si="156"/>
        <v>30000</v>
      </c>
      <c r="AM125" s="999">
        <f t="shared" si="156"/>
        <v>30000</v>
      </c>
      <c r="AN125" s="72"/>
      <c r="AO125" s="72"/>
      <c r="AP125" s="72"/>
      <c r="AQ125" s="72"/>
      <c r="AR125" s="72"/>
      <c r="AS125" s="72"/>
      <c r="AT125" s="72"/>
      <c r="AU125" s="72"/>
      <c r="AV125" s="72"/>
      <c r="AW125" s="72"/>
      <c r="AX125" s="72"/>
      <c r="AY125" s="72"/>
      <c r="AZ125" s="72"/>
      <c r="BA125" s="72"/>
      <c r="BB125" s="72"/>
      <c r="BC125" s="72"/>
      <c r="BD125" s="72"/>
      <c r="BE125" s="72"/>
      <c r="BF125" s="72"/>
      <c r="BG125" s="72"/>
      <c r="BH125" s="72"/>
    </row>
    <row r="126" spans="2:60" ht="16.8" thickTop="1" thickBot="1">
      <c r="D126" s="72"/>
      <c r="E126" s="72"/>
      <c r="G126" s="211"/>
      <c r="H126" s="211"/>
      <c r="I126" s="211"/>
      <c r="J126" s="211"/>
      <c r="K126" s="72"/>
      <c r="L126" s="72"/>
      <c r="M126" s="72"/>
      <c r="N126" s="72"/>
      <c r="O126" s="71"/>
      <c r="P126" s="1110"/>
      <c r="Q126" s="71"/>
      <c r="R126" s="71"/>
      <c r="S126" s="71"/>
      <c r="T126" s="71"/>
      <c r="U126" s="71"/>
      <c r="V126" s="71"/>
      <c r="W126" s="71"/>
      <c r="X126" s="71"/>
      <c r="Y126" s="71"/>
      <c r="Z126" s="71"/>
      <c r="AA126" s="1058"/>
      <c r="AB126" s="71"/>
      <c r="AC126" s="72"/>
      <c r="AD126" s="72"/>
      <c r="AE126" s="72"/>
      <c r="AF126" s="72"/>
      <c r="AG126" s="72"/>
      <c r="AH126" s="72"/>
      <c r="AI126" s="72"/>
      <c r="AJ126" s="72"/>
      <c r="AK126" s="72"/>
      <c r="AL126" s="72"/>
      <c r="AM126" s="72"/>
      <c r="AN126" s="72"/>
      <c r="AO126" s="72"/>
      <c r="AP126" s="72"/>
      <c r="AQ126" s="72"/>
      <c r="AR126" s="72"/>
      <c r="AS126" s="72"/>
      <c r="AT126" s="72"/>
      <c r="AU126" s="72"/>
      <c r="AV126" s="72"/>
      <c r="AW126" s="72"/>
      <c r="AX126" s="72"/>
      <c r="AY126" s="72"/>
      <c r="AZ126" s="72"/>
      <c r="BA126" s="72"/>
      <c r="BB126" s="72"/>
      <c r="BC126" s="72"/>
      <c r="BD126" s="72"/>
      <c r="BE126" s="72"/>
      <c r="BF126" s="72"/>
      <c r="BG126" s="72"/>
      <c r="BH126" s="72"/>
    </row>
    <row r="127" spans="2:60" ht="16.2" thickTop="1">
      <c r="B127" s="1091" t="s">
        <v>44</v>
      </c>
      <c r="C127" s="1092"/>
      <c r="D127" s="72"/>
      <c r="E127" s="72"/>
      <c r="F127" s="72"/>
      <c r="G127" s="72"/>
      <c r="H127" s="72"/>
      <c r="I127" s="72"/>
      <c r="J127" s="72"/>
      <c r="K127" s="72"/>
      <c r="L127" s="72"/>
      <c r="M127" s="72"/>
      <c r="N127" s="72"/>
      <c r="O127" s="71"/>
      <c r="P127" s="1110"/>
      <c r="Q127" s="71"/>
      <c r="R127" s="71"/>
      <c r="S127" s="71"/>
      <c r="T127" s="71"/>
      <c r="U127" s="71"/>
      <c r="V127" s="71"/>
      <c r="W127" s="71"/>
      <c r="X127" s="71"/>
      <c r="Y127" s="71"/>
      <c r="Z127" s="71"/>
      <c r="AA127" s="1058"/>
      <c r="AB127" s="72"/>
      <c r="AC127" s="72"/>
      <c r="AD127" s="72"/>
      <c r="AE127" s="72"/>
      <c r="AF127" s="72"/>
      <c r="AG127" s="72"/>
      <c r="AH127" s="72"/>
      <c r="AI127" s="72"/>
      <c r="AJ127" s="72"/>
      <c r="AK127" s="72"/>
      <c r="AL127" s="72"/>
      <c r="AM127" s="72"/>
      <c r="AN127" s="72"/>
      <c r="AO127" s="72"/>
      <c r="AP127" s="72"/>
      <c r="AQ127" s="72"/>
      <c r="AR127" s="72"/>
      <c r="AS127" s="72"/>
      <c r="AT127" s="72"/>
      <c r="AU127" s="72"/>
      <c r="AV127" s="72"/>
      <c r="AW127" s="72"/>
      <c r="AX127" s="72"/>
      <c r="AY127" s="72"/>
      <c r="AZ127" s="72"/>
      <c r="BA127" s="72"/>
      <c r="BB127" s="72"/>
      <c r="BC127" s="72"/>
      <c r="BD127" s="72"/>
      <c r="BE127" s="72"/>
      <c r="BF127" s="72"/>
      <c r="BG127" s="72"/>
      <c r="BH127" s="72"/>
    </row>
    <row r="128" spans="2:60">
      <c r="B128" s="1062" t="s">
        <v>112</v>
      </c>
      <c r="C128" s="1030"/>
      <c r="D128" s="999"/>
      <c r="E128" s="999">
        <f>D131</f>
        <v>-8270</v>
      </c>
      <c r="F128" s="999">
        <f t="shared" ref="F128:J128" si="157">E131</f>
        <v>-10385.560000000001</v>
      </c>
      <c r="G128" s="999">
        <f t="shared" si="157"/>
        <v>0</v>
      </c>
      <c r="H128" s="999">
        <f t="shared" si="157"/>
        <v>3055.2400000000007</v>
      </c>
      <c r="I128" s="999">
        <f t="shared" si="157"/>
        <v>8108.0399999999991</v>
      </c>
      <c r="J128" s="999">
        <f t="shared" si="157"/>
        <v>0</v>
      </c>
      <c r="K128" s="999">
        <f t="shared" ref="K128:AM128" si="158">J131</f>
        <v>5574.920000000001</v>
      </c>
      <c r="L128" s="999">
        <f t="shared" si="158"/>
        <v>10966.283000000001</v>
      </c>
      <c r="M128" s="999">
        <f t="shared" si="158"/>
        <v>0</v>
      </c>
      <c r="N128" s="999">
        <f t="shared" si="158"/>
        <v>8274.66</v>
      </c>
      <c r="O128" s="1002">
        <f t="shared" si="158"/>
        <v>11826.406400000002</v>
      </c>
      <c r="P128" s="1114">
        <f t="shared" si="158"/>
        <v>0</v>
      </c>
      <c r="Q128" s="1002">
        <f t="shared" si="158"/>
        <v>5327.9475999999995</v>
      </c>
      <c r="R128" s="1002">
        <f t="shared" si="158"/>
        <v>18825.8298</v>
      </c>
      <c r="S128" s="1002">
        <f t="shared" si="158"/>
        <v>0</v>
      </c>
      <c r="T128" s="1002">
        <f t="shared" si="158"/>
        <v>11384.161999999997</v>
      </c>
      <c r="U128" s="1002">
        <f t="shared" si="158"/>
        <v>25292.828599999997</v>
      </c>
      <c r="V128" s="1002">
        <f t="shared" si="158"/>
        <v>0</v>
      </c>
      <c r="W128" s="1002">
        <f t="shared" si="158"/>
        <v>20924.474200000004</v>
      </c>
      <c r="X128" s="1002">
        <f t="shared" si="158"/>
        <v>42200.670060000004</v>
      </c>
      <c r="Y128" s="1002">
        <f t="shared" si="158"/>
        <v>0</v>
      </c>
      <c r="Z128" s="1002">
        <f t="shared" si="158"/>
        <v>27374.364599999997</v>
      </c>
      <c r="AA128" s="1047">
        <f t="shared" si="158"/>
        <v>54593.366200000004</v>
      </c>
      <c r="AB128" s="999">
        <f t="shared" si="158"/>
        <v>0</v>
      </c>
      <c r="AC128" s="999">
        <f t="shared" si="158"/>
        <v>-58383.422132000007</v>
      </c>
      <c r="AD128" s="999">
        <f t="shared" si="158"/>
        <v>-11973.736996</v>
      </c>
      <c r="AE128" s="999">
        <f t="shared" si="158"/>
        <v>0</v>
      </c>
      <c r="AF128" s="999">
        <f t="shared" si="158"/>
        <v>42971.20837600001</v>
      </c>
      <c r="AG128" s="999">
        <f t="shared" si="158"/>
        <v>100784.69124400002</v>
      </c>
      <c r="AH128" s="999">
        <f t="shared" si="158"/>
        <v>0</v>
      </c>
      <c r="AI128" s="999">
        <f t="shared" si="158"/>
        <v>55175.554516000004</v>
      </c>
      <c r="AJ128" s="999">
        <f t="shared" si="158"/>
        <v>126442.99006260002</v>
      </c>
      <c r="AK128" s="999">
        <f t="shared" si="158"/>
        <v>0</v>
      </c>
      <c r="AL128" s="999">
        <f t="shared" si="158"/>
        <v>88764.178535999992</v>
      </c>
      <c r="AM128" s="999">
        <f t="shared" si="158"/>
        <v>114196.75928352002</v>
      </c>
      <c r="AN128" s="72"/>
      <c r="AO128" s="72"/>
      <c r="AP128" s="72"/>
      <c r="AQ128" s="72"/>
      <c r="AR128" s="72"/>
      <c r="AS128" s="72"/>
      <c r="AT128" s="72"/>
      <c r="AU128" s="72"/>
      <c r="AV128" s="72"/>
      <c r="AW128" s="72"/>
      <c r="AX128" s="72"/>
      <c r="AY128" s="72"/>
      <c r="AZ128" s="72"/>
      <c r="BA128" s="72"/>
      <c r="BB128" s="72"/>
      <c r="BC128" s="72"/>
      <c r="BD128" s="72"/>
      <c r="BE128" s="72"/>
      <c r="BF128" s="72"/>
      <c r="BG128" s="72"/>
      <c r="BH128" s="72"/>
    </row>
    <row r="129" spans="2:60">
      <c r="B129" s="1062" t="s">
        <v>167</v>
      </c>
      <c r="C129" s="1030"/>
      <c r="D129" s="999">
        <f>'Cash Flow'!D115</f>
        <v>1690.0000000000005</v>
      </c>
      <c r="E129" s="999">
        <f>'Cash Flow'!E115</f>
        <v>-2115.5600000000004</v>
      </c>
      <c r="F129" s="999">
        <f>'Cash Flow'!F115</f>
        <v>425.56000000000131</v>
      </c>
      <c r="G129" s="999">
        <f>'Cash Flow'!G115</f>
        <v>3055.2400000000007</v>
      </c>
      <c r="H129" s="999">
        <f>'Cash Flow'!H115</f>
        <v>5052.7999999999984</v>
      </c>
      <c r="I129" s="999">
        <f>'Cash Flow'!I115</f>
        <v>-8108.04</v>
      </c>
      <c r="J129" s="999">
        <f>'Cash Flow'!J115</f>
        <v>5574.920000000001</v>
      </c>
      <c r="K129" s="999">
        <f>'Cash Flow'!K115</f>
        <v>5391.3630000000003</v>
      </c>
      <c r="L129" s="999">
        <f>'Cash Flow'!L115</f>
        <v>-10966.282999999999</v>
      </c>
      <c r="M129" s="999">
        <f>'Cash Flow'!M115</f>
        <v>8274.66</v>
      </c>
      <c r="N129" s="999">
        <f>'Cash Flow'!N115</f>
        <v>3551.7464000000018</v>
      </c>
      <c r="O129" s="1002">
        <f>'Cash Flow'!O115</f>
        <v>-11826.4064</v>
      </c>
      <c r="P129" s="1114">
        <f>'Cash Flow'!P115</f>
        <v>14203.9476</v>
      </c>
      <c r="Q129" s="1002">
        <f>'Cash Flow'!Q115</f>
        <v>13497.882199999998</v>
      </c>
      <c r="R129" s="1002">
        <f>'Cash Flow'!R115</f>
        <v>-27701.8298</v>
      </c>
      <c r="S129" s="1002">
        <f>'Cash Flow'!S115</f>
        <v>11384.161999999997</v>
      </c>
      <c r="T129" s="1002">
        <f>'Cash Flow'!T115</f>
        <v>13908.6666</v>
      </c>
      <c r="U129" s="1002">
        <f>'Cash Flow'!U115</f>
        <v>-25292.828599999993</v>
      </c>
      <c r="V129" s="1002">
        <f>'Cash Flow'!V115</f>
        <v>20924.474200000004</v>
      </c>
      <c r="W129" s="1002">
        <f>'Cash Flow'!W115</f>
        <v>21276.195859999996</v>
      </c>
      <c r="X129" s="1002">
        <f>'Cash Flow'!X115</f>
        <v>-42200.670060000004</v>
      </c>
      <c r="Y129" s="1002">
        <f>'Cash Flow'!Y115</f>
        <v>27374.364599999997</v>
      </c>
      <c r="Z129" s="1002">
        <f>'Cash Flow'!Z115</f>
        <v>27219.001600000003</v>
      </c>
      <c r="AA129" s="1047">
        <f>'Cash Flow'!AA115</f>
        <v>-54593.366199999997</v>
      </c>
      <c r="AB129" s="999">
        <f>'Cash Flow'!AB115</f>
        <v>38416.577867999993</v>
      </c>
      <c r="AC129" s="999">
        <f>'Cash Flow'!AC115</f>
        <v>46409.685136000007</v>
      </c>
      <c r="AD129" s="999">
        <f>'Cash Flow'!AD115</f>
        <v>-84826.263004000008</v>
      </c>
      <c r="AE129" s="999">
        <f>'Cash Flow'!AE115</f>
        <v>42971.20837600001</v>
      </c>
      <c r="AF129" s="999">
        <f>'Cash Flow'!AF115</f>
        <v>57813.482868000014</v>
      </c>
      <c r="AG129" s="999">
        <f>'Cash Flow'!AG115</f>
        <v>-100784.69124399997</v>
      </c>
      <c r="AH129" s="999">
        <f>'Cash Flow'!AH115</f>
        <v>55175.554516000004</v>
      </c>
      <c r="AI129" s="999">
        <f>'Cash Flow'!AI115</f>
        <v>71267.435546600012</v>
      </c>
      <c r="AJ129" s="999">
        <f>'Cash Flow'!AJ115</f>
        <v>-126442.99006260003</v>
      </c>
      <c r="AK129" s="999">
        <f>'Cash Flow'!AK115</f>
        <v>88764.178535999992</v>
      </c>
      <c r="AL129" s="999">
        <f>'Cash Flow'!AL115</f>
        <v>25432.580747520027</v>
      </c>
      <c r="AM129" s="999">
        <f>'Cash Flow'!AM115</f>
        <v>-114196.75928351996</v>
      </c>
      <c r="AN129" s="72"/>
      <c r="AO129" s="72"/>
      <c r="AP129" s="72"/>
      <c r="AQ129" s="72"/>
      <c r="AR129" s="72"/>
      <c r="AS129" s="72"/>
      <c r="AT129" s="72"/>
      <c r="AU129" s="72"/>
      <c r="AV129" s="72"/>
      <c r="AW129" s="72"/>
      <c r="AX129" s="72"/>
      <c r="AY129" s="72"/>
      <c r="AZ129" s="72"/>
      <c r="BA129" s="72"/>
      <c r="BB129" s="72"/>
      <c r="BC129" s="72"/>
      <c r="BD129" s="72"/>
      <c r="BE129" s="72"/>
      <c r="BF129" s="72"/>
      <c r="BG129" s="72"/>
      <c r="BH129" s="72"/>
    </row>
    <row r="130" spans="2:60">
      <c r="B130" s="1062" t="s">
        <v>168</v>
      </c>
      <c r="C130" s="1030"/>
      <c r="D130" s="999">
        <f>'Cash Flow'!D116</f>
        <v>-9960</v>
      </c>
      <c r="E130" s="999">
        <f>'Cash Flow'!E116</f>
        <v>0</v>
      </c>
      <c r="F130" s="999">
        <f>'Cash Flow'!F116</f>
        <v>9960</v>
      </c>
      <c r="G130" s="999">
        <f>'Cash Flow'!G116</f>
        <v>0</v>
      </c>
      <c r="H130" s="999">
        <f>'Cash Flow'!H116</f>
        <v>0</v>
      </c>
      <c r="I130" s="999">
        <f>'Cash Flow'!I116</f>
        <v>0</v>
      </c>
      <c r="J130" s="999">
        <f>'Cash Flow'!J116</f>
        <v>0</v>
      </c>
      <c r="K130" s="999">
        <f>'Cash Flow'!K116</f>
        <v>0</v>
      </c>
      <c r="L130" s="999">
        <f>'Cash Flow'!L116</f>
        <v>0</v>
      </c>
      <c r="M130" s="999">
        <f>'Cash Flow'!M116</f>
        <v>0</v>
      </c>
      <c r="N130" s="999">
        <f>'Cash Flow'!N116</f>
        <v>0</v>
      </c>
      <c r="O130" s="1002">
        <f>'Cash Flow'!O116</f>
        <v>0</v>
      </c>
      <c r="P130" s="1114">
        <f>'Cash Flow'!P116</f>
        <v>-8876</v>
      </c>
      <c r="Q130" s="1002">
        <f>'Cash Flow'!Q116</f>
        <v>0</v>
      </c>
      <c r="R130" s="1002">
        <f>'Cash Flow'!R116</f>
        <v>8876</v>
      </c>
      <c r="S130" s="1002">
        <f>'Cash Flow'!S116</f>
        <v>0</v>
      </c>
      <c r="T130" s="1002">
        <f>'Cash Flow'!T116</f>
        <v>0</v>
      </c>
      <c r="U130" s="1002">
        <f>'Cash Flow'!U116</f>
        <v>0</v>
      </c>
      <c r="V130" s="1002">
        <f>'Cash Flow'!V116</f>
        <v>0</v>
      </c>
      <c r="W130" s="1002">
        <f>'Cash Flow'!W116</f>
        <v>0</v>
      </c>
      <c r="X130" s="1002">
        <f>'Cash Flow'!X116</f>
        <v>0</v>
      </c>
      <c r="Y130" s="1002">
        <f>'Cash Flow'!Y116</f>
        <v>0</v>
      </c>
      <c r="Z130" s="1002">
        <f>'Cash Flow'!Z116</f>
        <v>0</v>
      </c>
      <c r="AA130" s="1047">
        <f>'Cash Flow'!AA116</f>
        <v>0</v>
      </c>
      <c r="AB130" s="999">
        <f>'Cash Flow'!AB116</f>
        <v>-96800</v>
      </c>
      <c r="AC130" s="999">
        <f>'Cash Flow'!AC116</f>
        <v>0</v>
      </c>
      <c r="AD130" s="999">
        <f>'Cash Flow'!AD116</f>
        <v>96800</v>
      </c>
      <c r="AE130" s="999">
        <f>'Cash Flow'!AE116</f>
        <v>0</v>
      </c>
      <c r="AF130" s="999">
        <f>'Cash Flow'!AF116</f>
        <v>0</v>
      </c>
      <c r="AG130" s="999">
        <f>'Cash Flow'!AG116</f>
        <v>0</v>
      </c>
      <c r="AH130" s="999">
        <f>'Cash Flow'!AH116</f>
        <v>0</v>
      </c>
      <c r="AI130" s="999">
        <f>'Cash Flow'!AI116</f>
        <v>0</v>
      </c>
      <c r="AJ130" s="999">
        <f>'Cash Flow'!AJ116</f>
        <v>0</v>
      </c>
      <c r="AK130" s="999">
        <f>'Cash Flow'!AK116</f>
        <v>0</v>
      </c>
      <c r="AL130" s="999">
        <f>'Cash Flow'!AL116</f>
        <v>0</v>
      </c>
      <c r="AM130" s="999">
        <f>'Cash Flow'!AM116</f>
        <v>0</v>
      </c>
      <c r="AN130" s="72"/>
      <c r="AO130" s="72"/>
      <c r="AP130" s="72"/>
      <c r="AQ130" s="72"/>
      <c r="AR130" s="72"/>
      <c r="AS130" s="72"/>
      <c r="AT130" s="72"/>
      <c r="AU130" s="72"/>
      <c r="AV130" s="72"/>
      <c r="AW130" s="72"/>
      <c r="AX130" s="72"/>
      <c r="AY130" s="72"/>
      <c r="AZ130" s="72"/>
      <c r="BA130" s="72"/>
      <c r="BB130" s="72"/>
      <c r="BC130" s="72"/>
      <c r="BD130" s="72"/>
      <c r="BE130" s="72"/>
      <c r="BF130" s="72"/>
      <c r="BG130" s="72"/>
      <c r="BH130" s="72"/>
    </row>
    <row r="131" spans="2:60" s="168" customFormat="1" ht="16.2" thickBot="1">
      <c r="B131" s="1076" t="s">
        <v>140</v>
      </c>
      <c r="C131" s="1085"/>
      <c r="D131" s="996">
        <f>D128+SUM(D129:D130)</f>
        <v>-8270</v>
      </c>
      <c r="E131" s="996">
        <f>E128+SUM(E129:E130)</f>
        <v>-10385.560000000001</v>
      </c>
      <c r="F131" s="996">
        <f t="shared" ref="F131:J131" si="159">F128+SUM(F129:F130)</f>
        <v>0</v>
      </c>
      <c r="G131" s="996">
        <f t="shared" si="159"/>
        <v>3055.2400000000007</v>
      </c>
      <c r="H131" s="996">
        <f t="shared" si="159"/>
        <v>8108.0399999999991</v>
      </c>
      <c r="I131" s="996">
        <f t="shared" si="159"/>
        <v>0</v>
      </c>
      <c r="J131" s="996">
        <f t="shared" si="159"/>
        <v>5574.920000000001</v>
      </c>
      <c r="K131" s="996">
        <f t="shared" ref="K131" si="160">K128+SUM(K129:K130)</f>
        <v>10966.283000000001</v>
      </c>
      <c r="L131" s="996">
        <f t="shared" ref="L131" si="161">L128+SUM(L129:L130)</f>
        <v>0</v>
      </c>
      <c r="M131" s="996">
        <f t="shared" ref="M131" si="162">M128+SUM(M129:M130)</f>
        <v>8274.66</v>
      </c>
      <c r="N131" s="996">
        <f t="shared" ref="N131:O131" si="163">N128+SUM(N129:N130)</f>
        <v>11826.406400000002</v>
      </c>
      <c r="O131" s="1006">
        <f t="shared" si="163"/>
        <v>0</v>
      </c>
      <c r="P131" s="1115">
        <f t="shared" ref="P131" si="164">P128+SUM(P129:P130)</f>
        <v>5327.9475999999995</v>
      </c>
      <c r="Q131" s="1006">
        <f t="shared" ref="Q131" si="165">Q128+SUM(Q129:Q130)</f>
        <v>18825.8298</v>
      </c>
      <c r="R131" s="1006">
        <f t="shared" ref="R131" si="166">R128+SUM(R129:R130)</f>
        <v>0</v>
      </c>
      <c r="S131" s="1006">
        <f t="shared" ref="S131:T131" si="167">S128+SUM(S129:S130)</f>
        <v>11384.161999999997</v>
      </c>
      <c r="T131" s="1006">
        <f t="shared" si="167"/>
        <v>25292.828599999997</v>
      </c>
      <c r="U131" s="1006">
        <f t="shared" ref="U131" si="168">U128+SUM(U129:U130)</f>
        <v>0</v>
      </c>
      <c r="V131" s="1006">
        <f t="shared" ref="V131" si="169">V128+SUM(V129:V130)</f>
        <v>20924.474200000004</v>
      </c>
      <c r="W131" s="1006">
        <f t="shared" ref="W131" si="170">W128+SUM(W129:W130)</f>
        <v>42200.670060000004</v>
      </c>
      <c r="X131" s="1006">
        <f t="shared" ref="X131:Y131" si="171">X128+SUM(X129:X130)</f>
        <v>0</v>
      </c>
      <c r="Y131" s="1006">
        <f t="shared" si="171"/>
        <v>27374.364599999997</v>
      </c>
      <c r="Z131" s="1006">
        <f t="shared" ref="Z131" si="172">Z128+SUM(Z129:Z130)</f>
        <v>54593.366200000004</v>
      </c>
      <c r="AA131" s="1054">
        <f t="shared" ref="AA131" si="173">AA128+SUM(AA129:AA130)</f>
        <v>0</v>
      </c>
      <c r="AB131" s="996">
        <f t="shared" ref="AB131" si="174">AB128+SUM(AB129:AB130)</f>
        <v>-58383.422132000007</v>
      </c>
      <c r="AC131" s="996">
        <f t="shared" ref="AC131:AD131" si="175">AC128+SUM(AC129:AC130)</f>
        <v>-11973.736996</v>
      </c>
      <c r="AD131" s="996">
        <f t="shared" si="175"/>
        <v>0</v>
      </c>
      <c r="AE131" s="996">
        <f t="shared" ref="AE131" si="176">AE128+SUM(AE129:AE130)</f>
        <v>42971.20837600001</v>
      </c>
      <c r="AF131" s="996">
        <f t="shared" ref="AF131" si="177">AF128+SUM(AF129:AF130)</f>
        <v>100784.69124400002</v>
      </c>
      <c r="AG131" s="996">
        <f t="shared" ref="AG131" si="178">AG128+SUM(AG129:AG130)</f>
        <v>0</v>
      </c>
      <c r="AH131" s="996">
        <f t="shared" ref="AH131:AI131" si="179">AH128+SUM(AH129:AH130)</f>
        <v>55175.554516000004</v>
      </c>
      <c r="AI131" s="996">
        <f t="shared" si="179"/>
        <v>126442.99006260002</v>
      </c>
      <c r="AJ131" s="996">
        <f t="shared" ref="AJ131" si="180">AJ128+SUM(AJ129:AJ130)</f>
        <v>0</v>
      </c>
      <c r="AK131" s="996">
        <f t="shared" ref="AK131" si="181">AK128+SUM(AK129:AK130)</f>
        <v>88764.178535999992</v>
      </c>
      <c r="AL131" s="996">
        <f t="shared" ref="AL131" si="182">AL128+SUM(AL129:AL130)</f>
        <v>114196.75928352002</v>
      </c>
      <c r="AM131" s="996">
        <f t="shared" ref="AM131" si="183">AM128+SUM(AM129:AM130)</f>
        <v>0</v>
      </c>
      <c r="AN131" s="169"/>
      <c r="AO131" s="169"/>
      <c r="AP131" s="169"/>
      <c r="AQ131" s="169"/>
      <c r="AR131" s="169"/>
      <c r="AS131" s="169"/>
      <c r="AT131" s="169"/>
      <c r="AU131" s="169"/>
      <c r="AV131" s="169"/>
      <c r="AW131" s="169"/>
      <c r="AX131" s="169"/>
      <c r="AY131" s="169"/>
      <c r="AZ131" s="169"/>
      <c r="BA131" s="169"/>
      <c r="BB131" s="169"/>
      <c r="BC131" s="169"/>
      <c r="BD131" s="169"/>
      <c r="BE131" s="169"/>
      <c r="BF131" s="169"/>
      <c r="BG131" s="169"/>
      <c r="BH131" s="169"/>
    </row>
    <row r="132" spans="2:60" ht="16.8" thickTop="1" thickBot="1">
      <c r="B132" s="72"/>
      <c r="C132" s="72"/>
      <c r="D132" s="72"/>
      <c r="E132" s="72"/>
      <c r="F132" s="72"/>
      <c r="G132" s="72"/>
      <c r="H132" s="72"/>
      <c r="I132" s="72"/>
      <c r="J132" s="72"/>
      <c r="K132" s="72"/>
      <c r="L132" s="72"/>
      <c r="M132" s="72"/>
      <c r="N132" s="72"/>
      <c r="O132" s="71"/>
      <c r="P132" s="1110"/>
      <c r="Q132" s="71"/>
      <c r="R132" s="71"/>
      <c r="S132" s="71"/>
      <c r="T132" s="71"/>
      <c r="U132" s="71"/>
      <c r="V132" s="71"/>
      <c r="W132" s="71"/>
      <c r="X132" s="71"/>
      <c r="Y132" s="71"/>
      <c r="Z132" s="71"/>
      <c r="AA132" s="1058"/>
      <c r="AB132" s="72"/>
      <c r="AC132" s="72"/>
      <c r="AD132" s="72"/>
      <c r="AE132" s="72"/>
      <c r="AF132" s="72"/>
      <c r="AG132" s="72"/>
      <c r="AH132" s="72"/>
      <c r="AI132" s="72"/>
      <c r="AJ132" s="72"/>
      <c r="AK132" s="72"/>
      <c r="AL132" s="72"/>
      <c r="AM132" s="72"/>
      <c r="AN132" s="72"/>
      <c r="AO132" s="72"/>
      <c r="AP132" s="72"/>
      <c r="AQ132" s="72"/>
      <c r="AR132" s="72"/>
      <c r="AS132" s="72"/>
      <c r="AT132" s="72"/>
      <c r="AU132" s="72"/>
      <c r="AV132" s="72"/>
      <c r="AW132" s="72"/>
      <c r="AX132" s="72"/>
      <c r="AY132" s="72"/>
      <c r="AZ132" s="72"/>
      <c r="BA132" s="72"/>
      <c r="BB132" s="72"/>
      <c r="BC132" s="72"/>
      <c r="BD132" s="72"/>
      <c r="BE132" s="72"/>
      <c r="BF132" s="72"/>
      <c r="BG132" s="72"/>
      <c r="BH132" s="72"/>
    </row>
    <row r="133" spans="2:60" ht="16.2" thickTop="1">
      <c r="B133" s="1091" t="s">
        <v>51</v>
      </c>
      <c r="C133" s="1092"/>
      <c r="D133" s="72"/>
      <c r="E133" s="72"/>
      <c r="F133" s="72"/>
      <c r="G133" s="72"/>
      <c r="H133" s="72"/>
      <c r="I133" s="72"/>
      <c r="J133" s="72"/>
      <c r="K133" s="72"/>
      <c r="L133" s="72"/>
      <c r="M133" s="72"/>
      <c r="N133" s="72"/>
      <c r="O133" s="71"/>
      <c r="P133" s="1110"/>
      <c r="Q133" s="71"/>
      <c r="R133" s="71"/>
      <c r="S133" s="71"/>
      <c r="T133" s="71"/>
      <c r="U133" s="71"/>
      <c r="V133" s="71"/>
      <c r="W133" s="71"/>
      <c r="X133" s="71"/>
      <c r="Y133" s="71"/>
      <c r="Z133" s="71"/>
      <c r="AA133" s="1058"/>
      <c r="AB133" s="72"/>
      <c r="AC133" s="72"/>
      <c r="AD133" s="72"/>
      <c r="AE133" s="72"/>
      <c r="AF133" s="72"/>
      <c r="AG133" s="72"/>
      <c r="AH133" s="72"/>
      <c r="AI133" s="72"/>
      <c r="AJ133" s="72"/>
      <c r="AK133" s="72"/>
      <c r="AL133" s="72"/>
      <c r="AM133" s="72"/>
      <c r="AN133" s="72"/>
      <c r="AO133" s="72"/>
      <c r="AP133" s="72"/>
      <c r="AQ133" s="72"/>
      <c r="AR133" s="72"/>
      <c r="AS133" s="72"/>
      <c r="AT133" s="72"/>
      <c r="AU133" s="72"/>
      <c r="AV133" s="72"/>
      <c r="AW133" s="72"/>
      <c r="AX133" s="72"/>
      <c r="AY133" s="72"/>
      <c r="AZ133" s="72"/>
      <c r="BA133" s="72"/>
      <c r="BB133" s="72"/>
      <c r="BC133" s="72"/>
      <c r="BD133" s="72"/>
      <c r="BE133" s="72"/>
      <c r="BF133" s="72"/>
      <c r="BG133" s="72"/>
      <c r="BH133" s="72"/>
    </row>
    <row r="134" spans="2:60">
      <c r="B134" s="1062" t="s">
        <v>112</v>
      </c>
      <c r="C134" s="1093"/>
      <c r="D134" s="999"/>
      <c r="E134" s="999">
        <f>D136</f>
        <v>0</v>
      </c>
      <c r="F134" s="999">
        <f t="shared" ref="F134:AM134" si="184">E136</f>
        <v>0</v>
      </c>
      <c r="G134" s="999">
        <f t="shared" si="184"/>
        <v>0</v>
      </c>
      <c r="H134" s="999">
        <f t="shared" si="184"/>
        <v>0</v>
      </c>
      <c r="I134" s="999">
        <f t="shared" si="184"/>
        <v>0</v>
      </c>
      <c r="J134" s="999">
        <f t="shared" si="184"/>
        <v>0</v>
      </c>
      <c r="K134" s="999">
        <f t="shared" si="184"/>
        <v>0</v>
      </c>
      <c r="L134" s="999">
        <f t="shared" si="184"/>
        <v>0</v>
      </c>
      <c r="M134" s="999">
        <f t="shared" si="184"/>
        <v>0</v>
      </c>
      <c r="N134" s="999">
        <f t="shared" si="184"/>
        <v>0</v>
      </c>
      <c r="O134" s="1002">
        <f t="shared" si="184"/>
        <v>0</v>
      </c>
      <c r="P134" s="1114">
        <f t="shared" si="184"/>
        <v>0</v>
      </c>
      <c r="Q134" s="1002">
        <f t="shared" si="184"/>
        <v>0</v>
      </c>
      <c r="R134" s="1002">
        <f t="shared" si="184"/>
        <v>0</v>
      </c>
      <c r="S134" s="1002">
        <f t="shared" si="184"/>
        <v>0</v>
      </c>
      <c r="T134" s="1002">
        <f t="shared" si="184"/>
        <v>11251.170666130871</v>
      </c>
      <c r="U134" s="1002">
        <f t="shared" si="184"/>
        <v>29127.870932606504</v>
      </c>
      <c r="V134" s="1002">
        <f t="shared" si="184"/>
        <v>49404.481172923712</v>
      </c>
      <c r="W134" s="1002">
        <f t="shared" si="184"/>
        <v>72131.095993223484</v>
      </c>
      <c r="X134" s="1002">
        <f t="shared" si="184"/>
        <v>94322.891716755767</v>
      </c>
      <c r="Y134" s="1002">
        <f t="shared" ca="1" si="184"/>
        <v>120974.40358447153</v>
      </c>
      <c r="Z134" s="1002">
        <f t="shared" ca="1" si="184"/>
        <v>150829.97620561736</v>
      </c>
      <c r="AA134" s="1047">
        <f t="shared" ca="1" si="184"/>
        <v>184227.42250833256</v>
      </c>
      <c r="AB134" s="999">
        <f t="shared" ca="1" si="184"/>
        <v>217408.81911524865</v>
      </c>
      <c r="AC134" s="999">
        <f t="shared" ca="1" si="184"/>
        <v>227071.68931242483</v>
      </c>
      <c r="AD134" s="999">
        <f t="shared" ca="1" si="184"/>
        <v>262081.10867995245</v>
      </c>
      <c r="AE134" s="999">
        <f t="shared" ca="1" si="184"/>
        <v>306229.49878256209</v>
      </c>
      <c r="AF134" s="999">
        <f t="shared" ca="1" si="184"/>
        <v>351798.09324690001</v>
      </c>
      <c r="AG134" s="999">
        <f t="shared" ca="1" si="184"/>
        <v>403983.63403214002</v>
      </c>
      <c r="AH134" s="999">
        <f t="shared" ca="1" si="184"/>
        <v>467958.2813155984</v>
      </c>
      <c r="AI134" s="999">
        <f t="shared" ca="1" si="184"/>
        <v>541245.39577835111</v>
      </c>
      <c r="AJ134" s="999">
        <f t="shared" ca="1" si="184"/>
        <v>617215.15091410349</v>
      </c>
      <c r="AK134" s="999">
        <f t="shared" ca="1" si="184"/>
        <v>473608.32792156411</v>
      </c>
      <c r="AL134" s="999">
        <f t="shared" ca="1" si="184"/>
        <v>556753.28164056456</v>
      </c>
      <c r="AM134" s="999">
        <f t="shared" ca="1" si="184"/>
        <v>655359.83379592816</v>
      </c>
      <c r="AN134" s="72"/>
      <c r="AO134" s="72"/>
      <c r="AP134" s="72"/>
      <c r="AQ134" s="72"/>
      <c r="AR134" s="72"/>
      <c r="AS134" s="72"/>
      <c r="AT134" s="72"/>
      <c r="AU134" s="72"/>
      <c r="AV134" s="72"/>
      <c r="AW134" s="72"/>
      <c r="AX134" s="72"/>
      <c r="AY134" s="72"/>
      <c r="AZ134" s="72"/>
      <c r="BA134" s="72"/>
      <c r="BB134" s="72"/>
      <c r="BC134" s="72"/>
      <c r="BD134" s="72"/>
      <c r="BE134" s="72"/>
      <c r="BF134" s="72"/>
      <c r="BG134" s="72"/>
      <c r="BH134" s="72"/>
    </row>
    <row r="135" spans="2:60">
      <c r="B135" s="1062" t="s">
        <v>166</v>
      </c>
      <c r="C135" s="1093"/>
      <c r="D135" s="999">
        <f>'Cash Flow'!D122</f>
        <v>0</v>
      </c>
      <c r="E135" s="999">
        <f>'Cash Flow'!E122</f>
        <v>0</v>
      </c>
      <c r="F135" s="999">
        <f>'Cash Flow'!F122</f>
        <v>0</v>
      </c>
      <c r="G135" s="999">
        <f>'Cash Flow'!G122</f>
        <v>0</v>
      </c>
      <c r="H135" s="999">
        <f>'Cash Flow'!H122</f>
        <v>0</v>
      </c>
      <c r="I135" s="999">
        <f>'Cash Flow'!I122</f>
        <v>0</v>
      </c>
      <c r="J135" s="999">
        <f>'Cash Flow'!J122</f>
        <v>0</v>
      </c>
      <c r="K135" s="999">
        <f>'Cash Flow'!K122</f>
        <v>0</v>
      </c>
      <c r="L135" s="999">
        <f>'Cash Flow'!L122</f>
        <v>0</v>
      </c>
      <c r="M135" s="999">
        <f>'Cash Flow'!M122</f>
        <v>0</v>
      </c>
      <c r="N135" s="999">
        <f>'Cash Flow'!N122</f>
        <v>0</v>
      </c>
      <c r="O135" s="1002">
        <f>'Cash Flow'!O122</f>
        <v>0</v>
      </c>
      <c r="P135" s="1114">
        <f>'Cash Flow'!P122</f>
        <v>0</v>
      </c>
      <c r="Q135" s="1002">
        <f>'Cash Flow'!Q122</f>
        <v>0</v>
      </c>
      <c r="R135" s="1002">
        <f>'Cash Flow'!R122</f>
        <v>0</v>
      </c>
      <c r="S135" s="1002">
        <f>'Cash Flow'!S122</f>
        <v>11251.170666130871</v>
      </c>
      <c r="T135" s="1002">
        <f>'Cash Flow'!T122</f>
        <v>17876.700266475633</v>
      </c>
      <c r="U135" s="1002">
        <f>'Cash Flow'!U122</f>
        <v>20276.610240317208</v>
      </c>
      <c r="V135" s="1002">
        <f>'Cash Flow'!V122</f>
        <v>22726.614820299779</v>
      </c>
      <c r="W135" s="1002">
        <f>'Cash Flow'!W122</f>
        <v>22191.795723532287</v>
      </c>
      <c r="X135" s="1002">
        <f ca="1">'Cash Flow'!X122</f>
        <v>26651.511867715762</v>
      </c>
      <c r="Y135" s="1002">
        <f>'Cash Flow'!Y122</f>
        <v>29855.572621145831</v>
      </c>
      <c r="Z135" s="1002">
        <f>'Cash Flow'!Z122</f>
        <v>33397.446302715194</v>
      </c>
      <c r="AA135" s="1047">
        <f>'Cash Flow'!AA122</f>
        <v>33181.396606916103</v>
      </c>
      <c r="AB135" s="999">
        <f>'Cash Flow'!AB122</f>
        <v>9662.8701971761693</v>
      </c>
      <c r="AC135" s="999">
        <f>'Cash Flow'!AC122</f>
        <v>35009.419367527611</v>
      </c>
      <c r="AD135" s="999">
        <f>'Cash Flow'!AD122</f>
        <v>44148.390102609665</v>
      </c>
      <c r="AE135" s="999">
        <f>'Cash Flow'!AE122</f>
        <v>45568.594464337912</v>
      </c>
      <c r="AF135" s="999">
        <f>'Cash Flow'!AF122</f>
        <v>52185.540785240017</v>
      </c>
      <c r="AG135" s="999">
        <f>'Cash Flow'!AG122</f>
        <v>63974.647283458384</v>
      </c>
      <c r="AH135" s="999">
        <f>'Cash Flow'!AH122</f>
        <v>73287.114462752666</v>
      </c>
      <c r="AI135" s="999">
        <f>'Cash Flow'!AI122</f>
        <v>75969.755135752333</v>
      </c>
      <c r="AJ135" s="999">
        <f ca="1">'Cash Flow'!AJ122</f>
        <v>-143606.82299253938</v>
      </c>
      <c r="AK135" s="999">
        <f>'Cash Flow'!AK122</f>
        <v>83144.953719000448</v>
      </c>
      <c r="AL135" s="999">
        <f>'Cash Flow'!AL122</f>
        <v>98606.552155363664</v>
      </c>
      <c r="AM135" s="999">
        <f>'Cash Flow'!AM122</f>
        <v>110429.23045140032</v>
      </c>
      <c r="AN135" s="72"/>
      <c r="AO135" s="72"/>
      <c r="AP135" s="72"/>
      <c r="AQ135" s="72"/>
      <c r="AR135" s="72"/>
      <c r="AS135" s="72"/>
      <c r="AT135" s="72"/>
      <c r="AU135" s="72"/>
      <c r="AV135" s="72"/>
      <c r="AW135" s="72"/>
      <c r="AX135" s="72"/>
      <c r="AY135" s="72"/>
      <c r="AZ135" s="72"/>
      <c r="BA135" s="72"/>
      <c r="BB135" s="72"/>
      <c r="BC135" s="72"/>
      <c r="BD135" s="72"/>
      <c r="BE135" s="72"/>
      <c r="BF135" s="72"/>
      <c r="BG135" s="72"/>
      <c r="BH135" s="72"/>
    </row>
    <row r="136" spans="2:60" s="168" customFormat="1" ht="16.2" thickBot="1">
      <c r="B136" s="1076" t="s">
        <v>140</v>
      </c>
      <c r="C136" s="1077"/>
      <c r="D136" s="996">
        <f>SUM(D134:D135)</f>
        <v>0</v>
      </c>
      <c r="E136" s="996">
        <f>SUM(E134:E135)</f>
        <v>0</v>
      </c>
      <c r="F136" s="996">
        <f t="shared" ref="F136:AM136" si="185">SUM(F134:F135)</f>
        <v>0</v>
      </c>
      <c r="G136" s="996">
        <f t="shared" si="185"/>
        <v>0</v>
      </c>
      <c r="H136" s="996">
        <f t="shared" si="185"/>
        <v>0</v>
      </c>
      <c r="I136" s="996">
        <f t="shared" si="185"/>
        <v>0</v>
      </c>
      <c r="J136" s="996">
        <f t="shared" si="185"/>
        <v>0</v>
      </c>
      <c r="K136" s="996">
        <f t="shared" si="185"/>
        <v>0</v>
      </c>
      <c r="L136" s="996">
        <f t="shared" si="185"/>
        <v>0</v>
      </c>
      <c r="M136" s="996">
        <f t="shared" si="185"/>
        <v>0</v>
      </c>
      <c r="N136" s="996">
        <f t="shared" si="185"/>
        <v>0</v>
      </c>
      <c r="O136" s="1006">
        <f t="shared" si="185"/>
        <v>0</v>
      </c>
      <c r="P136" s="1115">
        <f t="shared" si="185"/>
        <v>0</v>
      </c>
      <c r="Q136" s="1006">
        <f t="shared" si="185"/>
        <v>0</v>
      </c>
      <c r="R136" s="1006">
        <f t="shared" si="185"/>
        <v>0</v>
      </c>
      <c r="S136" s="1006">
        <f t="shared" si="185"/>
        <v>11251.170666130871</v>
      </c>
      <c r="T136" s="1006">
        <f t="shared" si="185"/>
        <v>29127.870932606504</v>
      </c>
      <c r="U136" s="1006">
        <f t="shared" si="185"/>
        <v>49404.481172923712</v>
      </c>
      <c r="V136" s="1006">
        <f t="shared" si="185"/>
        <v>72131.095993223484</v>
      </c>
      <c r="W136" s="1006">
        <f t="shared" si="185"/>
        <v>94322.891716755767</v>
      </c>
      <c r="X136" s="1006">
        <f t="shared" ca="1" si="185"/>
        <v>120974.40358447153</v>
      </c>
      <c r="Y136" s="1006">
        <f t="shared" ca="1" si="185"/>
        <v>150829.97620561736</v>
      </c>
      <c r="Z136" s="1006">
        <f t="shared" ca="1" si="185"/>
        <v>184227.42250833256</v>
      </c>
      <c r="AA136" s="1054">
        <f t="shared" ca="1" si="185"/>
        <v>217408.81911524865</v>
      </c>
      <c r="AB136" s="996">
        <f t="shared" ca="1" si="185"/>
        <v>227071.68931242483</v>
      </c>
      <c r="AC136" s="996">
        <f t="shared" ca="1" si="185"/>
        <v>262081.10867995245</v>
      </c>
      <c r="AD136" s="996">
        <f t="shared" ca="1" si="185"/>
        <v>306229.49878256209</v>
      </c>
      <c r="AE136" s="996">
        <f t="shared" ca="1" si="185"/>
        <v>351798.09324690001</v>
      </c>
      <c r="AF136" s="996">
        <f t="shared" ca="1" si="185"/>
        <v>403983.63403214002</v>
      </c>
      <c r="AG136" s="996">
        <f t="shared" ca="1" si="185"/>
        <v>467958.2813155984</v>
      </c>
      <c r="AH136" s="996">
        <f t="shared" ca="1" si="185"/>
        <v>541245.39577835111</v>
      </c>
      <c r="AI136" s="996">
        <f t="shared" ca="1" si="185"/>
        <v>617215.15091410349</v>
      </c>
      <c r="AJ136" s="996">
        <f t="shared" ca="1" si="185"/>
        <v>473608.32792156411</v>
      </c>
      <c r="AK136" s="996">
        <f t="shared" ca="1" si="185"/>
        <v>556753.28164056456</v>
      </c>
      <c r="AL136" s="996">
        <f t="shared" ca="1" si="185"/>
        <v>655359.83379592816</v>
      </c>
      <c r="AM136" s="996">
        <f t="shared" ca="1" si="185"/>
        <v>765789.06424732844</v>
      </c>
      <c r="AN136" s="169"/>
      <c r="AO136" s="169"/>
      <c r="AP136" s="169"/>
      <c r="AQ136" s="169"/>
      <c r="AR136" s="169"/>
      <c r="AS136" s="169"/>
      <c r="AT136" s="169"/>
      <c r="AU136" s="169"/>
      <c r="AV136" s="169"/>
      <c r="AW136" s="169"/>
      <c r="AX136" s="169"/>
      <c r="AY136" s="169"/>
      <c r="AZ136" s="169"/>
      <c r="BA136" s="169"/>
      <c r="BB136" s="169"/>
      <c r="BC136" s="169"/>
      <c r="BD136" s="169"/>
      <c r="BE136" s="169"/>
      <c r="BF136" s="169"/>
      <c r="BG136" s="169"/>
      <c r="BH136" s="169"/>
    </row>
    <row r="137" spans="2:60" ht="16.8" thickTop="1" thickBot="1">
      <c r="B137" s="72"/>
      <c r="C137" s="72"/>
      <c r="D137" s="72"/>
      <c r="E137" s="72"/>
      <c r="F137" s="72"/>
      <c r="G137" s="72"/>
      <c r="H137" s="72"/>
      <c r="I137" s="72"/>
      <c r="J137" s="72"/>
      <c r="K137" s="72"/>
      <c r="L137" s="72"/>
      <c r="M137" s="72"/>
      <c r="N137" s="72"/>
      <c r="O137" s="71"/>
      <c r="P137" s="1110"/>
      <c r="Q137" s="71"/>
      <c r="R137" s="71"/>
      <c r="S137" s="71"/>
      <c r="T137" s="71"/>
      <c r="U137" s="71"/>
      <c r="V137" s="71"/>
      <c r="W137" s="71"/>
      <c r="X137" s="71"/>
      <c r="Y137" s="71"/>
      <c r="Z137" s="71"/>
      <c r="AA137" s="1058"/>
      <c r="AB137" s="72"/>
      <c r="AC137" s="72"/>
      <c r="AD137" s="72"/>
      <c r="AE137" s="72"/>
      <c r="AF137" s="72"/>
      <c r="AG137" s="72"/>
      <c r="AH137" s="72"/>
      <c r="AI137" s="72"/>
      <c r="AJ137" s="72"/>
      <c r="AK137" s="72"/>
      <c r="AL137" s="72"/>
      <c r="AM137" s="72"/>
      <c r="AN137" s="72"/>
      <c r="AO137" s="72"/>
      <c r="AP137" s="72"/>
      <c r="AQ137" s="72"/>
      <c r="AR137" s="72"/>
      <c r="AS137" s="72"/>
      <c r="AT137" s="72"/>
      <c r="AU137" s="72"/>
      <c r="AV137" s="72"/>
      <c r="AW137" s="72"/>
      <c r="AX137" s="72"/>
      <c r="AY137" s="72"/>
      <c r="AZ137" s="72"/>
      <c r="BA137" s="72"/>
      <c r="BB137" s="72"/>
      <c r="BC137" s="72"/>
      <c r="BD137" s="72"/>
      <c r="BE137" s="72"/>
      <c r="BF137" s="72"/>
      <c r="BG137" s="72"/>
      <c r="BH137" s="72"/>
    </row>
    <row r="138" spans="2:60" ht="16.2" thickTop="1">
      <c r="B138" s="1091" t="s">
        <v>101</v>
      </c>
      <c r="C138" s="1092"/>
      <c r="D138" s="72"/>
      <c r="E138" s="72"/>
      <c r="F138" s="72"/>
      <c r="G138" s="72"/>
      <c r="H138" s="72"/>
      <c r="I138" s="72"/>
      <c r="J138" s="72"/>
      <c r="K138" s="72"/>
      <c r="L138" s="72"/>
      <c r="M138" s="72"/>
      <c r="N138" s="72"/>
      <c r="O138" s="71"/>
      <c r="P138" s="1110"/>
      <c r="Q138" s="71"/>
      <c r="R138" s="71"/>
      <c r="S138" s="71"/>
      <c r="T138" s="71"/>
      <c r="U138" s="71"/>
      <c r="V138" s="71"/>
      <c r="W138" s="71"/>
      <c r="X138" s="71"/>
      <c r="Y138" s="71"/>
      <c r="Z138" s="71"/>
      <c r="AA138" s="1058"/>
      <c r="AB138" s="72"/>
      <c r="AC138" s="72"/>
      <c r="AD138" s="72"/>
      <c r="AE138" s="72"/>
      <c r="AF138" s="72"/>
      <c r="AG138" s="72"/>
      <c r="AH138" s="72"/>
      <c r="AI138" s="72"/>
      <c r="AJ138" s="72"/>
      <c r="AK138" s="72"/>
      <c r="AL138" s="72"/>
      <c r="AM138" s="72"/>
      <c r="AN138" s="72"/>
      <c r="AO138" s="72"/>
      <c r="AP138" s="72"/>
      <c r="AQ138" s="72"/>
      <c r="AR138" s="72"/>
      <c r="AS138" s="72"/>
      <c r="AT138" s="72"/>
      <c r="AU138" s="72"/>
      <c r="AV138" s="72"/>
      <c r="AW138" s="72"/>
      <c r="AX138" s="72"/>
      <c r="AY138" s="72"/>
      <c r="AZ138" s="72"/>
      <c r="BA138" s="72"/>
      <c r="BB138" s="72"/>
      <c r="BC138" s="72"/>
      <c r="BD138" s="72"/>
      <c r="BE138" s="72"/>
      <c r="BF138" s="72"/>
      <c r="BG138" s="72"/>
      <c r="BH138" s="72"/>
    </row>
    <row r="139" spans="2:60">
      <c r="B139" s="1094" t="s">
        <v>112</v>
      </c>
      <c r="C139" s="1093"/>
      <c r="D139" s="999"/>
      <c r="E139" s="999">
        <f>D143</f>
        <v>-17394.928571428569</v>
      </c>
      <c r="F139" s="999">
        <f t="shared" ref="F139:AM139" si="186">E143</f>
        <v>-32855.222628321004</v>
      </c>
      <c r="G139" s="999">
        <f t="shared" si="186"/>
        <v>-44828.554526866741</v>
      </c>
      <c r="H139" s="999">
        <f t="shared" si="186"/>
        <v>-55088.796091405995</v>
      </c>
      <c r="I139" s="999">
        <f t="shared" si="186"/>
        <v>-61814.418612213747</v>
      </c>
      <c r="J139" s="999">
        <f t="shared" si="186"/>
        <v>-65678.792843274437</v>
      </c>
      <c r="K139" s="999">
        <f t="shared" si="186"/>
        <v>-66046.98900004747</v>
      </c>
      <c r="L139" s="999">
        <f t="shared" si="186"/>
        <v>-66447.961757223296</v>
      </c>
      <c r="M139" s="999">
        <f t="shared" si="186"/>
        <v>-65039.710246470277</v>
      </c>
      <c r="N139" s="999">
        <f t="shared" si="186"/>
        <v>-60523.388054172035</v>
      </c>
      <c r="O139" s="1002">
        <f t="shared" si="186"/>
        <v>-53286.631219155461</v>
      </c>
      <c r="P139" s="1114">
        <f t="shared" si="186"/>
        <v>-42554.676230409226</v>
      </c>
      <c r="Q139" s="1002">
        <f t="shared" si="186"/>
        <v>-24121.715739078529</v>
      </c>
      <c r="R139" s="1002">
        <f t="shared" si="186"/>
        <v>6136.2995866926613</v>
      </c>
      <c r="S139" s="1002">
        <f t="shared" si="186"/>
        <v>52056.374921214505</v>
      </c>
      <c r="T139" s="1002">
        <f t="shared" si="186"/>
        <v>101177.84533172593</v>
      </c>
      <c r="U139" s="1002">
        <f t="shared" si="186"/>
        <v>150180.31517877188</v>
      </c>
      <c r="V139" s="1002">
        <f t="shared" si="186"/>
        <v>206382.51494734257</v>
      </c>
      <c r="W139" s="1002">
        <f t="shared" si="186"/>
        <v>269934.72845586098</v>
      </c>
      <c r="X139" s="1002">
        <f t="shared" si="186"/>
        <v>331882.4846740769</v>
      </c>
      <c r="Y139" s="1002">
        <f t="shared" si="186"/>
        <v>407209.38932484324</v>
      </c>
      <c r="Z139" s="1002">
        <f t="shared" si="186"/>
        <v>492148.47623589978</v>
      </c>
      <c r="AA139" s="1047">
        <f t="shared" si="186"/>
        <v>587713.18419166445</v>
      </c>
      <c r="AB139" s="999">
        <f t="shared" si="186"/>
        <v>682629.74306003179</v>
      </c>
      <c r="AC139" s="999">
        <f t="shared" si="186"/>
        <v>768591.98698489368</v>
      </c>
      <c r="AD139" s="999">
        <f t="shared" si="186"/>
        <v>851536.23842080985</v>
      </c>
      <c r="AE139" s="999">
        <f t="shared" si="186"/>
        <v>965885.32606197218</v>
      </c>
      <c r="AF139" s="999">
        <f t="shared" si="186"/>
        <v>1089472.4167883191</v>
      </c>
      <c r="AG139" s="999">
        <f t="shared" si="186"/>
        <v>1238679.0224773725</v>
      </c>
      <c r="AH139" s="999">
        <f t="shared" si="186"/>
        <v>1429698.789661081</v>
      </c>
      <c r="AI139" s="999">
        <f t="shared" si="186"/>
        <v>1648986.6967826723</v>
      </c>
      <c r="AJ139" s="999">
        <f t="shared" si="186"/>
        <v>1882270.3006232628</v>
      </c>
      <c r="AK139" s="999">
        <f t="shared" si="186"/>
        <v>2125551.4823247241</v>
      </c>
      <c r="AL139" s="999">
        <f t="shared" si="186"/>
        <v>2408925.4048150587</v>
      </c>
      <c r="AM139" s="999">
        <f t="shared" si="186"/>
        <v>2710423.0777811497</v>
      </c>
      <c r="AN139" s="72"/>
      <c r="AO139" s="72"/>
      <c r="AP139" s="72"/>
      <c r="AQ139" s="72"/>
      <c r="AR139" s="72"/>
      <c r="AS139" s="72"/>
      <c r="AT139" s="72"/>
      <c r="AU139" s="72"/>
      <c r="AV139" s="72"/>
      <c r="AW139" s="72"/>
      <c r="AX139" s="72"/>
      <c r="AY139" s="72"/>
      <c r="AZ139" s="72"/>
      <c r="BA139" s="72"/>
      <c r="BB139" s="72"/>
      <c r="BC139" s="72"/>
      <c r="BD139" s="72"/>
      <c r="BE139" s="72"/>
      <c r="BF139" s="72"/>
      <c r="BG139" s="72"/>
      <c r="BH139" s="72"/>
    </row>
    <row r="140" spans="2:60">
      <c r="B140" s="1095" t="s">
        <v>107</v>
      </c>
      <c r="C140" s="1093"/>
      <c r="D140" s="999">
        <f>'Consolidated Profit and Loss'!D80</f>
        <v>-17394.928571428569</v>
      </c>
      <c r="E140" s="999">
        <f>'Consolidated Profit and Loss'!E80</f>
        <v>-15460.294056892435</v>
      </c>
      <c r="F140" s="999">
        <f>'Consolidated Profit and Loss'!F80</f>
        <v>-11973.331898545737</v>
      </c>
      <c r="G140" s="999">
        <f>'Consolidated Profit and Loss'!G80</f>
        <v>-10260.241564539254</v>
      </c>
      <c r="H140" s="999">
        <f>'Consolidated Profit and Loss'!H80</f>
        <v>-6725.6225208077503</v>
      </c>
      <c r="I140" s="999">
        <f>'Consolidated Profit and Loss'!I80</f>
        <v>-3864.3742310606972</v>
      </c>
      <c r="J140" s="999">
        <f>'Consolidated Profit and Loss'!J80</f>
        <v>-368.19615677302909</v>
      </c>
      <c r="K140" s="999">
        <f>'Consolidated Profit and Loss'!K80</f>
        <v>-400.97275717582829</v>
      </c>
      <c r="L140" s="999">
        <f>'Consolidated Profit and Loss'!L80</f>
        <v>1408.2515107530232</v>
      </c>
      <c r="M140" s="999">
        <f>'Consolidated Profit and Loss'!M80</f>
        <v>4516.3221922982411</v>
      </c>
      <c r="N140" s="999">
        <f>'Consolidated Profit and Loss'!N80</f>
        <v>7236.7568350165748</v>
      </c>
      <c r="O140" s="999">
        <f>'Consolidated Profit and Loss'!O80</f>
        <v>10731.954988746231</v>
      </c>
      <c r="P140" s="1114">
        <f>'Consolidated Profit and Loss'!P80</f>
        <v>18432.960491330698</v>
      </c>
      <c r="Q140" s="1002">
        <f>'Consolidated Profit and Loss'!Q80</f>
        <v>30258.01532577119</v>
      </c>
      <c r="R140" s="1002">
        <f>'Consolidated Profit and Loss'!R80</f>
        <v>45920.075334521847</v>
      </c>
      <c r="S140" s="1002">
        <f>'Consolidated Profit and Loss'!S80</f>
        <v>49121.470410511429</v>
      </c>
      <c r="T140" s="1002">
        <f>'Consolidated Profit and Loss'!T80</f>
        <v>51002.469847045955</v>
      </c>
      <c r="U140" s="1002">
        <f>'Consolidated Profit and Loss'!U80</f>
        <v>58202.199768570674</v>
      </c>
      <c r="V140" s="1002">
        <f>'Consolidated Profit and Loss'!V80</f>
        <v>65552.213508518384</v>
      </c>
      <c r="W140" s="1002">
        <f>'Consolidated Profit and Loss'!W80</f>
        <v>63947.756218215916</v>
      </c>
      <c r="X140" s="1002">
        <f>'Consolidated Profit and Loss'!X80</f>
        <v>77326.904650766344</v>
      </c>
      <c r="Y140" s="1002">
        <f>'Consolidated Profit and Loss'!Y80</f>
        <v>86939.08691105654</v>
      </c>
      <c r="Z140" s="1002">
        <f>'Consolidated Profit and Loss'!Z80</f>
        <v>97564.707955764636</v>
      </c>
      <c r="AA140" s="1047">
        <f>'Consolidated Profit and Loss'!AA80</f>
        <v>96916.55886836737</v>
      </c>
      <c r="AB140" s="999">
        <f>'Consolidated Profit and Loss'!AB80</f>
        <v>88962.243924861861</v>
      </c>
      <c r="AC140" s="999">
        <f>'Consolidated Profit and Loss'!AC80</f>
        <v>85944.251435916143</v>
      </c>
      <c r="AD140" s="999">
        <f>'Consolidated Profit and Loss'!AD80</f>
        <v>117349.0876411623</v>
      </c>
      <c r="AE140" s="999">
        <f>'Consolidated Profit and Loss'!AE80</f>
        <v>126587.09072634706</v>
      </c>
      <c r="AF140" s="999">
        <f>'Consolidated Profit and Loss'!AF80</f>
        <v>152206.60568905337</v>
      </c>
      <c r="AG140" s="999">
        <f>'Consolidated Profit and Loss'!AG80</f>
        <v>194019.76718370846</v>
      </c>
      <c r="AH140" s="999">
        <f>'Consolidated Profit and Loss'!AH80</f>
        <v>222287.90712159133</v>
      </c>
      <c r="AI140" s="999">
        <f>'Consolidated Profit and Loss'!AI80</f>
        <v>236283.60384059034</v>
      </c>
      <c r="AJ140" s="999">
        <f>'Consolidated Profit and Loss'!AJ80</f>
        <v>246281.18170146117</v>
      </c>
      <c r="AK140" s="999">
        <f>'Consolidated Profit and Loss'!AK80</f>
        <v>286373.92249033466</v>
      </c>
      <c r="AL140" s="999">
        <f>'Consolidated Profit and Loss'!AL80</f>
        <v>304497.67296609096</v>
      </c>
      <c r="AM140" s="999">
        <f>'Consolidated Profit and Loss'!AM80</f>
        <v>323599.85802086763</v>
      </c>
      <c r="AN140" s="72"/>
      <c r="AO140" s="72"/>
      <c r="AP140" s="72"/>
      <c r="AQ140" s="72"/>
      <c r="AR140" s="72"/>
      <c r="AS140" s="72"/>
      <c r="AT140" s="72"/>
      <c r="AU140" s="72"/>
      <c r="AV140" s="72"/>
      <c r="AW140" s="72"/>
      <c r="AX140" s="72"/>
      <c r="AY140" s="72"/>
      <c r="AZ140" s="72"/>
      <c r="BA140" s="72"/>
      <c r="BB140" s="72"/>
      <c r="BC140" s="72"/>
      <c r="BD140" s="72"/>
      <c r="BE140" s="72"/>
      <c r="BF140" s="72"/>
      <c r="BG140" s="72"/>
      <c r="BH140" s="72"/>
    </row>
    <row r="141" spans="2:60">
      <c r="B141" s="1095" t="s">
        <v>22</v>
      </c>
      <c r="C141" s="1093"/>
      <c r="D141" s="999">
        <f>-'Cash Flow'!D154</f>
        <v>0</v>
      </c>
      <c r="E141" s="999">
        <f>-'Cash Flow'!E154</f>
        <v>0</v>
      </c>
      <c r="F141" s="999">
        <f>-'Cash Flow'!F154</f>
        <v>0</v>
      </c>
      <c r="G141" s="999">
        <f>-'Cash Flow'!G154</f>
        <v>0</v>
      </c>
      <c r="H141" s="999">
        <f>-'Cash Flow'!H154</f>
        <v>0</v>
      </c>
      <c r="I141" s="999">
        <f>-'Cash Flow'!I154</f>
        <v>0</v>
      </c>
      <c r="J141" s="999">
        <f>-'Cash Flow'!J154</f>
        <v>0</v>
      </c>
      <c r="K141" s="999">
        <f>-'Cash Flow'!K154</f>
        <v>0</v>
      </c>
      <c r="L141" s="999">
        <f>-'Cash Flow'!L154</f>
        <v>0</v>
      </c>
      <c r="M141" s="999">
        <f>-'Cash Flow'!M154</f>
        <v>0</v>
      </c>
      <c r="N141" s="999">
        <f>-'Cash Flow'!N154</f>
        <v>0</v>
      </c>
      <c r="O141" s="1002">
        <f>-'Cash Flow'!O154</f>
        <v>0</v>
      </c>
      <c r="P141" s="1114">
        <f>-'Cash Flow'!P154</f>
        <v>0</v>
      </c>
      <c r="Q141" s="1002">
        <f>-'Cash Flow'!Q154</f>
        <v>0</v>
      </c>
      <c r="R141" s="1002">
        <f>-'Cash Flow'!R154</f>
        <v>0</v>
      </c>
      <c r="S141" s="1002">
        <f>-'Cash Flow'!S154</f>
        <v>0</v>
      </c>
      <c r="T141" s="1002">
        <f>-'Cash Flow'!T154</f>
        <v>-2000</v>
      </c>
      <c r="U141" s="1002">
        <f>-'Cash Flow'!U154</f>
        <v>-2000</v>
      </c>
      <c r="V141" s="1002">
        <f>-'Cash Flow'!V154</f>
        <v>-2000</v>
      </c>
      <c r="W141" s="1002">
        <f>-'Cash Flow'!W154</f>
        <v>-2000</v>
      </c>
      <c r="X141" s="1002">
        <f>-'Cash Flow'!X154</f>
        <v>-2000</v>
      </c>
      <c r="Y141" s="1002">
        <f>-'Cash Flow'!Y154</f>
        <v>-2000</v>
      </c>
      <c r="Z141" s="1002">
        <f>-'Cash Flow'!Z154</f>
        <v>-2000</v>
      </c>
      <c r="AA141" s="1047">
        <f>-'Cash Flow'!AA154</f>
        <v>-2000</v>
      </c>
      <c r="AB141" s="999">
        <f>-'Cash Flow'!AB154</f>
        <v>-3000</v>
      </c>
      <c r="AC141" s="999">
        <f>-'Cash Flow'!AC154</f>
        <v>-3000</v>
      </c>
      <c r="AD141" s="999">
        <f>-'Cash Flow'!AD154</f>
        <v>-3000</v>
      </c>
      <c r="AE141" s="999">
        <f>-'Cash Flow'!AE154</f>
        <v>-3000</v>
      </c>
      <c r="AF141" s="999">
        <f>-'Cash Flow'!AF154</f>
        <v>-3000</v>
      </c>
      <c r="AG141" s="999">
        <f>-'Cash Flow'!AG154</f>
        <v>-3000</v>
      </c>
      <c r="AH141" s="999">
        <f>-'Cash Flow'!AH154</f>
        <v>-3000</v>
      </c>
      <c r="AI141" s="999">
        <f>-'Cash Flow'!AI154</f>
        <v>-3000</v>
      </c>
      <c r="AJ141" s="999">
        <f>-'Cash Flow'!AJ154</f>
        <v>-3000</v>
      </c>
      <c r="AK141" s="999">
        <f>-'Cash Flow'!AK154</f>
        <v>-3000</v>
      </c>
      <c r="AL141" s="999">
        <f>-'Cash Flow'!AL154</f>
        <v>-3000</v>
      </c>
      <c r="AM141" s="999">
        <f>-'Cash Flow'!AM154</f>
        <v>-3000</v>
      </c>
      <c r="AN141" s="72"/>
      <c r="AO141" s="72"/>
      <c r="AP141" s="72"/>
      <c r="AQ141" s="72"/>
      <c r="AR141" s="72"/>
      <c r="AS141" s="72"/>
      <c r="AT141" s="72"/>
      <c r="AU141" s="72"/>
      <c r="AV141" s="72"/>
      <c r="AW141" s="72"/>
      <c r="AX141" s="72"/>
      <c r="AY141" s="72"/>
      <c r="AZ141" s="72"/>
      <c r="BA141" s="72"/>
      <c r="BB141" s="72"/>
      <c r="BC141" s="72"/>
      <c r="BD141" s="72"/>
      <c r="BE141" s="72"/>
      <c r="BF141" s="72"/>
      <c r="BG141" s="72"/>
      <c r="BH141" s="72"/>
    </row>
    <row r="142" spans="2:60">
      <c r="B142" s="1095" t="s">
        <v>110</v>
      </c>
      <c r="C142" s="1093"/>
      <c r="D142" s="999">
        <f>SUM(D140:D141)</f>
        <v>-17394.928571428569</v>
      </c>
      <c r="E142" s="999">
        <f t="shared" ref="E142" si="187">SUM(E140:E141)</f>
        <v>-15460.294056892435</v>
      </c>
      <c r="F142" s="999">
        <f t="shared" ref="F142:AM142" si="188">SUM(F140:F141)</f>
        <v>-11973.331898545737</v>
      </c>
      <c r="G142" s="999">
        <f t="shared" si="188"/>
        <v>-10260.241564539254</v>
      </c>
      <c r="H142" s="999">
        <f t="shared" si="188"/>
        <v>-6725.6225208077503</v>
      </c>
      <c r="I142" s="999">
        <f t="shared" si="188"/>
        <v>-3864.3742310606972</v>
      </c>
      <c r="J142" s="999">
        <f t="shared" si="188"/>
        <v>-368.19615677302909</v>
      </c>
      <c r="K142" s="999">
        <f t="shared" si="188"/>
        <v>-400.97275717582829</v>
      </c>
      <c r="L142" s="999">
        <f t="shared" si="188"/>
        <v>1408.2515107530232</v>
      </c>
      <c r="M142" s="999">
        <f t="shared" si="188"/>
        <v>4516.3221922982411</v>
      </c>
      <c r="N142" s="999">
        <f t="shared" si="188"/>
        <v>7236.7568350165748</v>
      </c>
      <c r="O142" s="1002">
        <f t="shared" si="188"/>
        <v>10731.954988746231</v>
      </c>
      <c r="P142" s="1114">
        <f t="shared" si="188"/>
        <v>18432.960491330698</v>
      </c>
      <c r="Q142" s="1002">
        <f t="shared" si="188"/>
        <v>30258.01532577119</v>
      </c>
      <c r="R142" s="1002">
        <f t="shared" si="188"/>
        <v>45920.075334521847</v>
      </c>
      <c r="S142" s="1002">
        <f t="shared" si="188"/>
        <v>49121.470410511429</v>
      </c>
      <c r="T142" s="1002">
        <f t="shared" si="188"/>
        <v>49002.469847045955</v>
      </c>
      <c r="U142" s="1002">
        <f t="shared" si="188"/>
        <v>56202.199768570674</v>
      </c>
      <c r="V142" s="1002">
        <f t="shared" si="188"/>
        <v>63552.213508518384</v>
      </c>
      <c r="W142" s="1002">
        <f t="shared" si="188"/>
        <v>61947.756218215916</v>
      </c>
      <c r="X142" s="1002">
        <f t="shared" si="188"/>
        <v>75326.904650766344</v>
      </c>
      <c r="Y142" s="1002">
        <f t="shared" si="188"/>
        <v>84939.08691105654</v>
      </c>
      <c r="Z142" s="1002">
        <f t="shared" si="188"/>
        <v>95564.707955764636</v>
      </c>
      <c r="AA142" s="1047">
        <f t="shared" si="188"/>
        <v>94916.55886836737</v>
      </c>
      <c r="AB142" s="999">
        <f t="shared" si="188"/>
        <v>85962.243924861861</v>
      </c>
      <c r="AC142" s="999">
        <f t="shared" si="188"/>
        <v>82944.251435916143</v>
      </c>
      <c r="AD142" s="999">
        <f t="shared" si="188"/>
        <v>114349.0876411623</v>
      </c>
      <c r="AE142" s="999">
        <f t="shared" si="188"/>
        <v>123587.09072634706</v>
      </c>
      <c r="AF142" s="999">
        <f t="shared" si="188"/>
        <v>149206.60568905337</v>
      </c>
      <c r="AG142" s="999">
        <f t="shared" si="188"/>
        <v>191019.76718370846</v>
      </c>
      <c r="AH142" s="999">
        <f t="shared" si="188"/>
        <v>219287.90712159133</v>
      </c>
      <c r="AI142" s="999">
        <f t="shared" si="188"/>
        <v>233283.60384059034</v>
      </c>
      <c r="AJ142" s="999">
        <f t="shared" si="188"/>
        <v>243281.18170146117</v>
      </c>
      <c r="AK142" s="999">
        <f t="shared" si="188"/>
        <v>283373.92249033466</v>
      </c>
      <c r="AL142" s="999">
        <f t="shared" si="188"/>
        <v>301497.67296609096</v>
      </c>
      <c r="AM142" s="999">
        <f t="shared" si="188"/>
        <v>320599.85802086763</v>
      </c>
      <c r="AN142" s="72"/>
      <c r="AO142" s="72"/>
      <c r="AP142" s="72"/>
      <c r="AQ142" s="72"/>
      <c r="AR142" s="72"/>
      <c r="AS142" s="72"/>
      <c r="AT142" s="72"/>
      <c r="AU142" s="72"/>
      <c r="AV142" s="72"/>
      <c r="AW142" s="72"/>
      <c r="AX142" s="72"/>
      <c r="AY142" s="72"/>
      <c r="AZ142" s="72"/>
      <c r="BA142" s="72"/>
      <c r="BB142" s="72"/>
      <c r="BC142" s="72"/>
      <c r="BD142" s="72"/>
      <c r="BE142" s="72"/>
      <c r="BF142" s="72"/>
      <c r="BG142" s="72"/>
      <c r="BH142" s="72"/>
    </row>
    <row r="143" spans="2:60" s="168" customFormat="1" ht="16.2" thickBot="1">
      <c r="B143" s="1096" t="s">
        <v>140</v>
      </c>
      <c r="C143" s="1077"/>
      <c r="D143" s="996">
        <f>D139+D142</f>
        <v>-17394.928571428569</v>
      </c>
      <c r="E143" s="996">
        <f>E139+E142</f>
        <v>-32855.222628321004</v>
      </c>
      <c r="F143" s="996">
        <f t="shared" ref="F143:AM143" si="189">F139+F142</f>
        <v>-44828.554526866741</v>
      </c>
      <c r="G143" s="996">
        <f t="shared" si="189"/>
        <v>-55088.796091405995</v>
      </c>
      <c r="H143" s="996">
        <f t="shared" si="189"/>
        <v>-61814.418612213747</v>
      </c>
      <c r="I143" s="996">
        <f t="shared" si="189"/>
        <v>-65678.792843274437</v>
      </c>
      <c r="J143" s="996">
        <f t="shared" si="189"/>
        <v>-66046.98900004747</v>
      </c>
      <c r="K143" s="996">
        <f t="shared" si="189"/>
        <v>-66447.961757223296</v>
      </c>
      <c r="L143" s="996">
        <f t="shared" si="189"/>
        <v>-65039.710246470277</v>
      </c>
      <c r="M143" s="996">
        <f t="shared" si="189"/>
        <v>-60523.388054172035</v>
      </c>
      <c r="N143" s="996">
        <f t="shared" si="189"/>
        <v>-53286.631219155461</v>
      </c>
      <c r="O143" s="1006">
        <f t="shared" si="189"/>
        <v>-42554.676230409226</v>
      </c>
      <c r="P143" s="1115">
        <f t="shared" si="189"/>
        <v>-24121.715739078529</v>
      </c>
      <c r="Q143" s="1006">
        <f t="shared" si="189"/>
        <v>6136.2995866926613</v>
      </c>
      <c r="R143" s="1006">
        <f t="shared" si="189"/>
        <v>52056.374921214505</v>
      </c>
      <c r="S143" s="1006">
        <f t="shared" si="189"/>
        <v>101177.84533172593</v>
      </c>
      <c r="T143" s="1006">
        <f t="shared" si="189"/>
        <v>150180.31517877188</v>
      </c>
      <c r="U143" s="1006">
        <f t="shared" si="189"/>
        <v>206382.51494734257</v>
      </c>
      <c r="V143" s="1006">
        <f t="shared" si="189"/>
        <v>269934.72845586098</v>
      </c>
      <c r="W143" s="1006">
        <f t="shared" si="189"/>
        <v>331882.4846740769</v>
      </c>
      <c r="X143" s="1006">
        <f t="shared" si="189"/>
        <v>407209.38932484324</v>
      </c>
      <c r="Y143" s="1006">
        <f t="shared" si="189"/>
        <v>492148.47623589978</v>
      </c>
      <c r="Z143" s="1006">
        <f t="shared" si="189"/>
        <v>587713.18419166445</v>
      </c>
      <c r="AA143" s="1054">
        <f t="shared" si="189"/>
        <v>682629.74306003179</v>
      </c>
      <c r="AB143" s="996">
        <f>AB139+AB142</f>
        <v>768591.98698489368</v>
      </c>
      <c r="AC143" s="996">
        <f t="shared" si="189"/>
        <v>851536.23842080985</v>
      </c>
      <c r="AD143" s="996">
        <f t="shared" si="189"/>
        <v>965885.32606197218</v>
      </c>
      <c r="AE143" s="996">
        <f t="shared" si="189"/>
        <v>1089472.4167883191</v>
      </c>
      <c r="AF143" s="996">
        <f t="shared" si="189"/>
        <v>1238679.0224773725</v>
      </c>
      <c r="AG143" s="996">
        <f t="shared" si="189"/>
        <v>1429698.789661081</v>
      </c>
      <c r="AH143" s="996">
        <f t="shared" si="189"/>
        <v>1648986.6967826723</v>
      </c>
      <c r="AI143" s="996">
        <f t="shared" si="189"/>
        <v>1882270.3006232628</v>
      </c>
      <c r="AJ143" s="996">
        <f t="shared" si="189"/>
        <v>2125551.4823247241</v>
      </c>
      <c r="AK143" s="996">
        <f t="shared" si="189"/>
        <v>2408925.4048150587</v>
      </c>
      <c r="AL143" s="996">
        <f t="shared" si="189"/>
        <v>2710423.0777811497</v>
      </c>
      <c r="AM143" s="996">
        <f t="shared" si="189"/>
        <v>3031022.9358020173</v>
      </c>
      <c r="AN143" s="169"/>
      <c r="AO143" s="169"/>
      <c r="AP143" s="169"/>
      <c r="AQ143" s="169"/>
      <c r="AR143" s="169"/>
      <c r="AS143" s="169"/>
      <c r="AT143" s="169"/>
      <c r="AU143" s="169"/>
      <c r="AV143" s="169"/>
      <c r="AW143" s="169"/>
      <c r="AX143" s="169"/>
      <c r="AY143" s="169"/>
      <c r="AZ143" s="169"/>
      <c r="BA143" s="169"/>
      <c r="BB143" s="169"/>
      <c r="BC143" s="169"/>
      <c r="BD143" s="169"/>
      <c r="BE143" s="169"/>
      <c r="BF143" s="169"/>
      <c r="BG143" s="169"/>
      <c r="BH143" s="169"/>
    </row>
    <row r="144" spans="2:60" ht="16.8" thickTop="1" thickBot="1">
      <c r="B144" s="72"/>
      <c r="C144" s="72"/>
      <c r="D144" s="72"/>
      <c r="E144" s="72"/>
      <c r="F144" s="72"/>
      <c r="G144" s="72"/>
      <c r="H144" s="72"/>
      <c r="I144" s="72"/>
      <c r="J144" s="72"/>
      <c r="K144" s="72"/>
      <c r="L144" s="72"/>
      <c r="M144" s="72"/>
      <c r="N144" s="72"/>
      <c r="O144" s="71"/>
      <c r="P144" s="1110"/>
      <c r="Q144" s="71"/>
      <c r="R144" s="71"/>
      <c r="S144" s="71"/>
      <c r="T144" s="71"/>
      <c r="U144" s="71"/>
      <c r="V144" s="71"/>
      <c r="W144" s="71"/>
      <c r="X144" s="71"/>
      <c r="Y144" s="71"/>
      <c r="Z144" s="71"/>
      <c r="AA144" s="1058"/>
      <c r="AB144" s="72"/>
      <c r="AC144" s="72"/>
      <c r="AD144" s="72"/>
      <c r="AE144" s="72"/>
      <c r="AF144" s="72"/>
      <c r="AG144" s="72"/>
      <c r="AH144" s="72"/>
      <c r="AI144" s="72"/>
      <c r="AJ144" s="72"/>
      <c r="AK144" s="72"/>
      <c r="AL144" s="72"/>
      <c r="AM144" s="72"/>
      <c r="AN144" s="72"/>
      <c r="AO144" s="72"/>
      <c r="AP144" s="72"/>
      <c r="AQ144" s="72"/>
      <c r="AR144" s="72"/>
      <c r="AS144" s="72"/>
      <c r="AT144" s="72"/>
      <c r="AU144" s="72"/>
      <c r="AV144" s="72"/>
      <c r="AW144" s="72"/>
      <c r="AX144" s="72"/>
      <c r="AY144" s="72"/>
      <c r="AZ144" s="72"/>
      <c r="BA144" s="72"/>
      <c r="BB144" s="72"/>
      <c r="BC144" s="72"/>
      <c r="BD144" s="72"/>
      <c r="BE144" s="72"/>
      <c r="BF144" s="72"/>
      <c r="BG144" s="72"/>
      <c r="BH144" s="72"/>
    </row>
    <row r="145" spans="2:60" ht="16.2" thickTop="1">
      <c r="B145" s="1091" t="s">
        <v>171</v>
      </c>
      <c r="C145" s="1092"/>
      <c r="D145" s="72"/>
      <c r="E145" s="72"/>
      <c r="F145" s="72"/>
      <c r="G145" s="72"/>
      <c r="H145" s="72"/>
      <c r="I145" s="72"/>
      <c r="J145" s="72"/>
      <c r="K145" s="72"/>
      <c r="L145" s="72"/>
      <c r="M145" s="72"/>
      <c r="N145" s="72"/>
      <c r="O145" s="71"/>
      <c r="P145" s="1110"/>
      <c r="Q145" s="71"/>
      <c r="R145" s="71"/>
      <c r="S145" s="71"/>
      <c r="T145" s="71"/>
      <c r="U145" s="71"/>
      <c r="V145" s="71"/>
      <c r="W145" s="71"/>
      <c r="X145" s="71"/>
      <c r="Y145" s="71"/>
      <c r="Z145" s="71"/>
      <c r="AA145" s="1058"/>
      <c r="AB145" s="72"/>
      <c r="AC145" s="72"/>
      <c r="AD145" s="72"/>
      <c r="AE145" s="72"/>
      <c r="AF145" s="72"/>
      <c r="AG145" s="72"/>
      <c r="AH145" s="72"/>
      <c r="AI145" s="72"/>
      <c r="AJ145" s="72"/>
      <c r="AK145" s="72"/>
      <c r="AL145" s="72"/>
      <c r="AM145" s="72"/>
      <c r="AN145" s="72"/>
      <c r="AO145" s="72"/>
      <c r="AP145" s="72"/>
      <c r="AQ145" s="72"/>
      <c r="AR145" s="72"/>
      <c r="AS145" s="72"/>
      <c r="AT145" s="72"/>
      <c r="AU145" s="72"/>
      <c r="AV145" s="72"/>
      <c r="AW145" s="72"/>
      <c r="AX145" s="72"/>
      <c r="AY145" s="72"/>
      <c r="AZ145" s="72"/>
      <c r="BA145" s="72"/>
      <c r="BB145" s="72"/>
      <c r="BC145" s="72"/>
      <c r="BD145" s="72"/>
      <c r="BE145" s="72"/>
      <c r="BF145" s="72"/>
      <c r="BG145" s="72"/>
      <c r="BH145" s="72"/>
    </row>
    <row r="146" spans="2:60" s="193" customFormat="1">
      <c r="B146" s="1062" t="s">
        <v>112</v>
      </c>
      <c r="C146" s="1067"/>
      <c r="D146" s="997"/>
      <c r="E146" s="997">
        <f>D148</f>
        <v>200000</v>
      </c>
      <c r="F146" s="997">
        <f t="shared" ref="F146:AM146" si="190">E148</f>
        <v>200000</v>
      </c>
      <c r="G146" s="997">
        <f t="shared" si="190"/>
        <v>200000</v>
      </c>
      <c r="H146" s="997">
        <f t="shared" si="190"/>
        <v>200000</v>
      </c>
      <c r="I146" s="997">
        <f t="shared" si="190"/>
        <v>200000</v>
      </c>
      <c r="J146" s="997">
        <f t="shared" si="190"/>
        <v>200000</v>
      </c>
      <c r="K146" s="997">
        <f t="shared" si="190"/>
        <v>200000</v>
      </c>
      <c r="L146" s="997">
        <f t="shared" si="190"/>
        <v>200000</v>
      </c>
      <c r="M146" s="997">
        <f t="shared" si="190"/>
        <v>200000</v>
      </c>
      <c r="N146" s="997">
        <f t="shared" si="190"/>
        <v>200000</v>
      </c>
      <c r="O146" s="998">
        <f t="shared" si="190"/>
        <v>200000</v>
      </c>
      <c r="P146" s="1120">
        <f t="shared" si="190"/>
        <v>200000</v>
      </c>
      <c r="Q146" s="998">
        <f t="shared" si="190"/>
        <v>200000</v>
      </c>
      <c r="R146" s="998">
        <f t="shared" si="190"/>
        <v>200000</v>
      </c>
      <c r="S146" s="998">
        <f t="shared" si="190"/>
        <v>200000</v>
      </c>
      <c r="T146" s="998">
        <f t="shared" si="190"/>
        <v>200000</v>
      </c>
      <c r="U146" s="998">
        <f t="shared" si="190"/>
        <v>200000</v>
      </c>
      <c r="V146" s="998">
        <f t="shared" si="190"/>
        <v>200000</v>
      </c>
      <c r="W146" s="998">
        <f t="shared" si="190"/>
        <v>200000</v>
      </c>
      <c r="X146" s="998">
        <f t="shared" si="190"/>
        <v>200000</v>
      </c>
      <c r="Y146" s="998">
        <f t="shared" si="190"/>
        <v>200000</v>
      </c>
      <c r="Z146" s="998">
        <f t="shared" si="190"/>
        <v>200000</v>
      </c>
      <c r="AA146" s="1044">
        <f t="shared" si="190"/>
        <v>200000</v>
      </c>
      <c r="AB146" s="997">
        <f t="shared" si="190"/>
        <v>200000</v>
      </c>
      <c r="AC146" s="997">
        <f t="shared" si="190"/>
        <v>200000</v>
      </c>
      <c r="AD146" s="997">
        <f t="shared" si="190"/>
        <v>200000</v>
      </c>
      <c r="AE146" s="997">
        <f t="shared" si="190"/>
        <v>200000</v>
      </c>
      <c r="AF146" s="997">
        <f t="shared" si="190"/>
        <v>200000</v>
      </c>
      <c r="AG146" s="997">
        <f t="shared" si="190"/>
        <v>200000</v>
      </c>
      <c r="AH146" s="997">
        <f t="shared" si="190"/>
        <v>200000</v>
      </c>
      <c r="AI146" s="997">
        <f t="shared" si="190"/>
        <v>200000</v>
      </c>
      <c r="AJ146" s="997">
        <f t="shared" si="190"/>
        <v>200000</v>
      </c>
      <c r="AK146" s="997">
        <f t="shared" si="190"/>
        <v>200000</v>
      </c>
      <c r="AL146" s="997">
        <f t="shared" si="190"/>
        <v>200000</v>
      </c>
      <c r="AM146" s="997">
        <f t="shared" si="190"/>
        <v>200000</v>
      </c>
    </row>
    <row r="147" spans="2:60" s="193" customFormat="1">
      <c r="B147" s="1062" t="s">
        <v>172</v>
      </c>
      <c r="C147" s="1067"/>
      <c r="D147" s="997">
        <f>'Cash Flow'!D43</f>
        <v>200000</v>
      </c>
      <c r="E147" s="997">
        <f>'Cash Flow'!E43</f>
        <v>0</v>
      </c>
      <c r="F147" s="997">
        <f>'Cash Flow'!F43</f>
        <v>0</v>
      </c>
      <c r="G147" s="997">
        <f>'Cash Flow'!G43</f>
        <v>0</v>
      </c>
      <c r="H147" s="997">
        <f>'Cash Flow'!H43</f>
        <v>0</v>
      </c>
      <c r="I147" s="997">
        <f>'Cash Flow'!I43</f>
        <v>0</v>
      </c>
      <c r="J147" s="997">
        <f>'Cash Flow'!J43</f>
        <v>0</v>
      </c>
      <c r="K147" s="997">
        <f>'Cash Flow'!K43</f>
        <v>0</v>
      </c>
      <c r="L147" s="997">
        <f>'Cash Flow'!L43</f>
        <v>0</v>
      </c>
      <c r="M147" s="997">
        <f>'Cash Flow'!M43</f>
        <v>0</v>
      </c>
      <c r="N147" s="997">
        <f>'Cash Flow'!N43</f>
        <v>0</v>
      </c>
      <c r="O147" s="998">
        <f>'Cash Flow'!O43</f>
        <v>0</v>
      </c>
      <c r="P147" s="1120">
        <f>'Cash Flow'!P43</f>
        <v>0</v>
      </c>
      <c r="Q147" s="998">
        <f>'Cash Flow'!Q43</f>
        <v>0</v>
      </c>
      <c r="R147" s="998">
        <f>'Cash Flow'!R43</f>
        <v>0</v>
      </c>
      <c r="S147" s="998">
        <f>'Cash Flow'!S43</f>
        <v>0</v>
      </c>
      <c r="T147" s="998">
        <f>'Cash Flow'!T43</f>
        <v>0</v>
      </c>
      <c r="U147" s="998">
        <f>'Cash Flow'!U43</f>
        <v>0</v>
      </c>
      <c r="V147" s="998">
        <f>'Cash Flow'!V43</f>
        <v>0</v>
      </c>
      <c r="W147" s="998">
        <f>'Cash Flow'!W43</f>
        <v>0</v>
      </c>
      <c r="X147" s="998">
        <f>'Cash Flow'!X43</f>
        <v>0</v>
      </c>
      <c r="Y147" s="998">
        <f>'Cash Flow'!Y43</f>
        <v>0</v>
      </c>
      <c r="Z147" s="998">
        <f>'Cash Flow'!Z43</f>
        <v>0</v>
      </c>
      <c r="AA147" s="1044">
        <f>'Cash Flow'!AA43</f>
        <v>0</v>
      </c>
      <c r="AB147" s="997">
        <f>'Cash Flow'!AB43</f>
        <v>0</v>
      </c>
      <c r="AC147" s="997">
        <f>'Cash Flow'!AC43</f>
        <v>0</v>
      </c>
      <c r="AD147" s="997">
        <f>'Cash Flow'!AD43</f>
        <v>0</v>
      </c>
      <c r="AE147" s="997">
        <f>'Cash Flow'!AE43</f>
        <v>0</v>
      </c>
      <c r="AF147" s="997">
        <f>'Cash Flow'!AF43</f>
        <v>0</v>
      </c>
      <c r="AG147" s="997">
        <f>'Cash Flow'!AG43</f>
        <v>0</v>
      </c>
      <c r="AH147" s="997">
        <f>'Cash Flow'!AH43</f>
        <v>0</v>
      </c>
      <c r="AI147" s="997">
        <f>'Cash Flow'!AI43</f>
        <v>0</v>
      </c>
      <c r="AJ147" s="997">
        <f>'Cash Flow'!AJ43</f>
        <v>0</v>
      </c>
      <c r="AK147" s="997">
        <f>'Cash Flow'!AK43</f>
        <v>0</v>
      </c>
      <c r="AL147" s="997">
        <f>'Cash Flow'!AL43</f>
        <v>0</v>
      </c>
      <c r="AM147" s="997">
        <f>'Cash Flow'!AM43</f>
        <v>0</v>
      </c>
    </row>
    <row r="148" spans="2:60" s="169" customFormat="1" ht="16.2" thickBot="1">
      <c r="B148" s="1076" t="s">
        <v>140</v>
      </c>
      <c r="C148" s="1077"/>
      <c r="D148" s="996">
        <f>D146+D147</f>
        <v>200000</v>
      </c>
      <c r="E148" s="996">
        <f>E146+E147</f>
        <v>200000</v>
      </c>
      <c r="F148" s="996">
        <f t="shared" ref="F148:AM148" si="191">F146+F147</f>
        <v>200000</v>
      </c>
      <c r="G148" s="996">
        <f t="shared" si="191"/>
        <v>200000</v>
      </c>
      <c r="H148" s="996">
        <f t="shared" si="191"/>
        <v>200000</v>
      </c>
      <c r="I148" s="996">
        <f t="shared" si="191"/>
        <v>200000</v>
      </c>
      <c r="J148" s="996">
        <f t="shared" si="191"/>
        <v>200000</v>
      </c>
      <c r="K148" s="996">
        <f t="shared" si="191"/>
        <v>200000</v>
      </c>
      <c r="L148" s="996">
        <f t="shared" si="191"/>
        <v>200000</v>
      </c>
      <c r="M148" s="996">
        <f t="shared" si="191"/>
        <v>200000</v>
      </c>
      <c r="N148" s="996">
        <f t="shared" si="191"/>
        <v>200000</v>
      </c>
      <c r="O148" s="1006">
        <f t="shared" si="191"/>
        <v>200000</v>
      </c>
      <c r="P148" s="1115">
        <f t="shared" si="191"/>
        <v>200000</v>
      </c>
      <c r="Q148" s="1006">
        <f t="shared" si="191"/>
        <v>200000</v>
      </c>
      <c r="R148" s="1006">
        <f t="shared" si="191"/>
        <v>200000</v>
      </c>
      <c r="S148" s="1006">
        <f t="shared" si="191"/>
        <v>200000</v>
      </c>
      <c r="T148" s="1006">
        <f t="shared" si="191"/>
        <v>200000</v>
      </c>
      <c r="U148" s="1006">
        <f t="shared" si="191"/>
        <v>200000</v>
      </c>
      <c r="V148" s="1006">
        <f t="shared" si="191"/>
        <v>200000</v>
      </c>
      <c r="W148" s="1006">
        <f t="shared" si="191"/>
        <v>200000</v>
      </c>
      <c r="X148" s="1006">
        <f t="shared" si="191"/>
        <v>200000</v>
      </c>
      <c r="Y148" s="1006">
        <f t="shared" si="191"/>
        <v>200000</v>
      </c>
      <c r="Z148" s="1006">
        <f t="shared" si="191"/>
        <v>200000</v>
      </c>
      <c r="AA148" s="1054">
        <f t="shared" si="191"/>
        <v>200000</v>
      </c>
      <c r="AB148" s="996">
        <f t="shared" si="191"/>
        <v>200000</v>
      </c>
      <c r="AC148" s="996">
        <f t="shared" si="191"/>
        <v>200000</v>
      </c>
      <c r="AD148" s="996">
        <f t="shared" si="191"/>
        <v>200000</v>
      </c>
      <c r="AE148" s="996">
        <f t="shared" si="191"/>
        <v>200000</v>
      </c>
      <c r="AF148" s="996">
        <f t="shared" si="191"/>
        <v>200000</v>
      </c>
      <c r="AG148" s="996">
        <f t="shared" si="191"/>
        <v>200000</v>
      </c>
      <c r="AH148" s="996">
        <f t="shared" si="191"/>
        <v>200000</v>
      </c>
      <c r="AI148" s="996">
        <f t="shared" si="191"/>
        <v>200000</v>
      </c>
      <c r="AJ148" s="996">
        <f t="shared" si="191"/>
        <v>200000</v>
      </c>
      <c r="AK148" s="996">
        <f t="shared" si="191"/>
        <v>200000</v>
      </c>
      <c r="AL148" s="996">
        <f t="shared" si="191"/>
        <v>200000</v>
      </c>
      <c r="AM148" s="996">
        <f t="shared" si="191"/>
        <v>200000</v>
      </c>
    </row>
    <row r="149" spans="2:60" ht="16.2" thickTop="1">
      <c r="P149" s="19"/>
      <c r="AA149" s="19"/>
    </row>
    <row r="150" spans="2:60">
      <c r="P150" s="189"/>
      <c r="Q150" s="189"/>
      <c r="R150" s="189"/>
      <c r="S150" s="189"/>
      <c r="T150" s="189"/>
      <c r="U150" s="189"/>
      <c r="V150" s="189"/>
      <c r="W150" s="189"/>
      <c r="X150" s="189"/>
      <c r="Y150" s="189"/>
      <c r="Z150" s="189"/>
      <c r="AA150" s="189"/>
      <c r="AB150" s="189"/>
      <c r="AC150" s="189"/>
      <c r="AD150" s="189"/>
      <c r="AE150" s="189"/>
      <c r="AF150" s="189"/>
      <c r="AG150" s="189"/>
      <c r="AH150" s="189"/>
      <c r="AI150" s="189"/>
      <c r="AJ150" s="189"/>
      <c r="AK150" s="189"/>
      <c r="AL150" s="189"/>
      <c r="AM150" s="189"/>
    </row>
    <row r="151" spans="2:60">
      <c r="P151" s="19"/>
      <c r="AA151" s="19"/>
    </row>
    <row r="152" spans="2:60" s="193" customFormat="1">
      <c r="B152" s="212"/>
      <c r="O152" s="213"/>
      <c r="P152" s="213"/>
      <c r="Q152" s="213"/>
      <c r="R152" s="213"/>
      <c r="S152" s="213"/>
      <c r="T152" s="213"/>
      <c r="U152" s="213"/>
      <c r="V152" s="213"/>
      <c r="W152" s="213"/>
      <c r="X152" s="213"/>
      <c r="Y152" s="213"/>
      <c r="Z152" s="213"/>
      <c r="AA152" s="213"/>
      <c r="AB152" s="213"/>
    </row>
    <row r="153" spans="2:60" s="193" customFormat="1">
      <c r="B153" s="212"/>
      <c r="O153" s="213"/>
      <c r="P153" s="213"/>
      <c r="Q153" s="213"/>
      <c r="R153" s="213"/>
      <c r="S153" s="213"/>
      <c r="T153" s="213"/>
      <c r="U153" s="213"/>
      <c r="V153" s="213"/>
      <c r="W153" s="213"/>
      <c r="X153" s="213"/>
      <c r="Y153" s="213"/>
      <c r="Z153" s="213"/>
      <c r="AA153" s="213"/>
      <c r="AB153" s="213"/>
    </row>
    <row r="154" spans="2:60" s="193" customFormat="1">
      <c r="B154" s="212"/>
      <c r="O154" s="213"/>
      <c r="P154" s="213"/>
      <c r="Q154" s="213"/>
      <c r="R154" s="213"/>
      <c r="S154" s="213"/>
      <c r="T154" s="213"/>
      <c r="U154" s="213"/>
      <c r="V154" s="213"/>
      <c r="W154" s="213"/>
      <c r="X154" s="213"/>
      <c r="Y154" s="213"/>
      <c r="Z154" s="213"/>
      <c r="AA154" s="213"/>
      <c r="AB154" s="213"/>
    </row>
    <row r="155" spans="2:60">
      <c r="P155" s="19"/>
      <c r="AA155" s="19"/>
    </row>
    <row r="156" spans="2:60">
      <c r="P156" s="19"/>
      <c r="AA156" s="19"/>
    </row>
    <row r="157" spans="2:60">
      <c r="P157" s="19"/>
      <c r="AA157" s="19"/>
    </row>
    <row r="158" spans="2:60">
      <c r="P158" s="19"/>
      <c r="AA158" s="19"/>
    </row>
    <row r="159" spans="2:60">
      <c r="P159" s="19"/>
      <c r="AA159" s="19"/>
    </row>
    <row r="160" spans="2:60">
      <c r="P160" s="19"/>
      <c r="AA160" s="19"/>
    </row>
    <row r="161" spans="2:28">
      <c r="P161" s="19"/>
      <c r="AA161" s="19"/>
    </row>
    <row r="162" spans="2:28">
      <c r="P162" s="19"/>
      <c r="AA162" s="19"/>
    </row>
    <row r="163" spans="2:28">
      <c r="P163" s="19"/>
      <c r="AA163" s="19"/>
    </row>
    <row r="164" spans="2:28">
      <c r="P164" s="19"/>
      <c r="AA164" s="19"/>
    </row>
    <row r="165" spans="2:28">
      <c r="P165" s="19"/>
      <c r="AA165" s="19"/>
    </row>
    <row r="166" spans="2:28">
      <c r="P166" s="19"/>
      <c r="AA166" s="19"/>
    </row>
    <row r="167" spans="2:28">
      <c r="P167" s="19"/>
      <c r="AA167" s="19"/>
    </row>
    <row r="168" spans="2:28">
      <c r="P168" s="19"/>
      <c r="AA168" s="19"/>
    </row>
    <row r="169" spans="2:28">
      <c r="P169" s="19"/>
      <c r="AA169" s="19"/>
    </row>
    <row r="170" spans="2:28" s="193" customFormat="1">
      <c r="B170" s="18"/>
      <c r="O170" s="213"/>
      <c r="P170" s="213"/>
      <c r="Q170" s="213"/>
      <c r="R170" s="213"/>
      <c r="S170" s="213"/>
      <c r="T170" s="213"/>
      <c r="U170" s="213"/>
      <c r="V170" s="213"/>
      <c r="W170" s="213"/>
      <c r="X170" s="213"/>
      <c r="Y170" s="213"/>
      <c r="Z170" s="213"/>
      <c r="AA170" s="213"/>
      <c r="AB170" s="213"/>
    </row>
    <row r="171" spans="2:28" s="193" customFormat="1">
      <c r="B171" s="18"/>
      <c r="C171" s="214"/>
      <c r="O171" s="213"/>
      <c r="P171" s="213"/>
      <c r="Q171" s="213"/>
      <c r="R171" s="213"/>
      <c r="S171" s="213"/>
      <c r="T171" s="213"/>
      <c r="U171" s="213"/>
      <c r="V171" s="213"/>
      <c r="W171" s="213"/>
      <c r="X171" s="213"/>
      <c r="Y171" s="213"/>
      <c r="Z171" s="213"/>
      <c r="AA171" s="213"/>
      <c r="AB171" s="213"/>
    </row>
    <row r="172" spans="2:28" s="193" customFormat="1">
      <c r="B172" s="18"/>
      <c r="O172" s="213"/>
      <c r="P172" s="213"/>
      <c r="Q172" s="213"/>
      <c r="R172" s="213"/>
      <c r="S172" s="213"/>
      <c r="T172" s="213"/>
      <c r="U172" s="213"/>
      <c r="V172" s="213"/>
      <c r="W172" s="213"/>
      <c r="X172" s="213"/>
      <c r="Y172" s="213"/>
      <c r="Z172" s="213"/>
      <c r="AA172" s="213"/>
      <c r="AB172" s="213"/>
    </row>
    <row r="173" spans="2:28" s="193" customFormat="1">
      <c r="B173" s="18"/>
      <c r="O173" s="213"/>
      <c r="P173" s="213"/>
      <c r="Q173" s="213"/>
      <c r="R173" s="213"/>
      <c r="S173" s="213"/>
      <c r="T173" s="213"/>
      <c r="U173" s="213"/>
      <c r="V173" s="213"/>
      <c r="W173" s="213"/>
      <c r="X173" s="213"/>
      <c r="Y173" s="213"/>
      <c r="Z173" s="213"/>
      <c r="AA173" s="213"/>
      <c r="AB173" s="213"/>
    </row>
    <row r="174" spans="2:28" s="193" customFormat="1">
      <c r="B174" s="18"/>
      <c r="O174" s="213"/>
      <c r="P174" s="213"/>
      <c r="Q174" s="213"/>
      <c r="R174" s="213"/>
      <c r="S174" s="213"/>
      <c r="T174" s="213"/>
      <c r="U174" s="213"/>
      <c r="V174" s="213"/>
      <c r="W174" s="213"/>
      <c r="X174" s="213"/>
      <c r="Y174" s="213"/>
      <c r="Z174" s="213"/>
      <c r="AA174" s="213"/>
      <c r="AB174" s="213"/>
    </row>
    <row r="175" spans="2:28" s="193" customFormat="1">
      <c r="B175" s="215"/>
      <c r="O175" s="213"/>
      <c r="P175" s="213"/>
      <c r="Q175" s="213"/>
      <c r="R175" s="213"/>
      <c r="S175" s="213"/>
      <c r="T175" s="213"/>
      <c r="U175" s="213"/>
      <c r="V175" s="213"/>
      <c r="W175" s="213"/>
      <c r="X175" s="213"/>
      <c r="Y175" s="213"/>
      <c r="Z175" s="213"/>
      <c r="AA175" s="213"/>
      <c r="AB175" s="213"/>
    </row>
    <row r="176" spans="2:28" s="193" customFormat="1">
      <c r="B176" s="18"/>
      <c r="O176" s="213"/>
      <c r="P176" s="213"/>
      <c r="Q176" s="213"/>
      <c r="R176" s="213"/>
      <c r="S176" s="213"/>
      <c r="T176" s="213"/>
      <c r="U176" s="213"/>
      <c r="V176" s="213"/>
      <c r="W176" s="213"/>
      <c r="X176" s="213"/>
      <c r="Y176" s="213"/>
      <c r="Z176" s="213"/>
      <c r="AA176" s="213"/>
      <c r="AB176" s="213"/>
    </row>
    <row r="177" spans="2:28" s="193" customFormat="1">
      <c r="B177" s="18"/>
      <c r="O177" s="213"/>
      <c r="P177" s="213"/>
      <c r="Q177" s="213"/>
      <c r="R177" s="213"/>
      <c r="S177" s="213"/>
      <c r="T177" s="213"/>
      <c r="U177" s="213"/>
      <c r="V177" s="213"/>
      <c r="W177" s="213"/>
      <c r="X177" s="213"/>
      <c r="Y177" s="213"/>
      <c r="Z177" s="213"/>
      <c r="AA177" s="213"/>
      <c r="AB177" s="213"/>
    </row>
    <row r="178" spans="2:28" s="193" customFormat="1">
      <c r="B178" s="18"/>
      <c r="O178" s="213"/>
      <c r="P178" s="213"/>
      <c r="Q178" s="213"/>
      <c r="R178" s="213"/>
      <c r="S178" s="213"/>
      <c r="T178" s="213"/>
      <c r="U178" s="213"/>
      <c r="V178" s="213"/>
      <c r="W178" s="213"/>
      <c r="X178" s="213"/>
      <c r="Y178" s="213"/>
      <c r="Z178" s="213"/>
      <c r="AA178" s="213"/>
      <c r="AB178" s="213"/>
    </row>
    <row r="179" spans="2:28" s="193" customFormat="1">
      <c r="B179" s="18"/>
      <c r="O179" s="213"/>
      <c r="P179" s="213"/>
      <c r="Q179" s="213"/>
      <c r="R179" s="213"/>
      <c r="S179" s="213"/>
      <c r="T179" s="213"/>
      <c r="U179" s="213"/>
      <c r="V179" s="213"/>
      <c r="W179" s="213"/>
      <c r="X179" s="213"/>
      <c r="Y179" s="213"/>
      <c r="Z179" s="213"/>
      <c r="AA179" s="213"/>
      <c r="AB179" s="213"/>
    </row>
    <row r="180" spans="2:28" s="193" customFormat="1">
      <c r="B180" s="18"/>
      <c r="O180" s="213"/>
      <c r="P180" s="213"/>
      <c r="Q180" s="213"/>
      <c r="R180" s="213"/>
      <c r="S180" s="213"/>
      <c r="T180" s="213"/>
      <c r="U180" s="213"/>
      <c r="V180" s="213"/>
      <c r="W180" s="213"/>
      <c r="X180" s="213"/>
      <c r="Y180" s="213"/>
      <c r="Z180" s="213"/>
      <c r="AA180" s="213"/>
      <c r="AB180" s="213"/>
    </row>
    <row r="181" spans="2:28" s="193" customFormat="1">
      <c r="B181" s="18"/>
      <c r="O181" s="213"/>
      <c r="P181" s="213"/>
      <c r="Q181" s="213"/>
      <c r="R181" s="213"/>
      <c r="S181" s="213"/>
      <c r="T181" s="213"/>
      <c r="U181" s="213"/>
      <c r="V181" s="213"/>
      <c r="W181" s="213"/>
      <c r="X181" s="213"/>
      <c r="Y181" s="213"/>
      <c r="Z181" s="213"/>
      <c r="AA181" s="213"/>
      <c r="AB181" s="213"/>
    </row>
    <row r="182" spans="2:28" s="193" customFormat="1">
      <c r="B182" s="18"/>
      <c r="O182" s="213"/>
      <c r="P182" s="213"/>
      <c r="Q182" s="213"/>
      <c r="R182" s="213"/>
      <c r="S182" s="213"/>
      <c r="T182" s="213"/>
      <c r="U182" s="213"/>
      <c r="V182" s="213"/>
      <c r="W182" s="213"/>
      <c r="X182" s="213"/>
      <c r="Y182" s="213"/>
      <c r="Z182" s="213"/>
      <c r="AA182" s="213"/>
      <c r="AB182" s="213"/>
    </row>
    <row r="183" spans="2:28" s="216" customFormat="1" ht="13.8">
      <c r="B183" s="215"/>
      <c r="O183" s="217"/>
      <c r="P183" s="217"/>
      <c r="Q183" s="217"/>
      <c r="R183" s="217"/>
      <c r="S183" s="217"/>
      <c r="T183" s="217"/>
      <c r="U183" s="217"/>
      <c r="V183" s="217"/>
      <c r="W183" s="217"/>
      <c r="X183" s="217"/>
      <c r="Y183" s="217"/>
      <c r="Z183" s="217"/>
      <c r="AA183" s="217"/>
      <c r="AB183" s="217"/>
    </row>
    <row r="184" spans="2:28" s="216" customFormat="1" ht="13.8">
      <c r="B184" s="215"/>
      <c r="O184" s="217"/>
      <c r="P184" s="217"/>
      <c r="Q184" s="217"/>
      <c r="R184" s="217"/>
      <c r="S184" s="217"/>
      <c r="T184" s="217"/>
      <c r="U184" s="217"/>
      <c r="V184" s="217"/>
      <c r="W184" s="217"/>
      <c r="X184" s="217"/>
      <c r="Y184" s="217"/>
      <c r="Z184" s="217"/>
      <c r="AA184" s="217"/>
      <c r="AB184" s="217"/>
    </row>
    <row r="185" spans="2:28" s="193" customFormat="1">
      <c r="B185" s="18"/>
      <c r="O185" s="213"/>
      <c r="P185" s="213"/>
      <c r="Q185" s="213"/>
      <c r="R185" s="213"/>
      <c r="S185" s="213"/>
      <c r="T185" s="213"/>
      <c r="U185" s="213"/>
      <c r="V185" s="213"/>
      <c r="W185" s="213"/>
      <c r="X185" s="213"/>
      <c r="Y185" s="213"/>
      <c r="Z185" s="213"/>
      <c r="AA185" s="213"/>
      <c r="AB185" s="213"/>
    </row>
    <row r="186" spans="2:28">
      <c r="P186" s="19"/>
      <c r="AA186" s="19"/>
    </row>
    <row r="187" spans="2:28">
      <c r="P187" s="19"/>
      <c r="AA187" s="19"/>
    </row>
    <row r="188" spans="2:28">
      <c r="P188" s="19"/>
      <c r="AA188" s="19"/>
    </row>
    <row r="189" spans="2:28">
      <c r="P189" s="19"/>
      <c r="AA189" s="19"/>
    </row>
    <row r="190" spans="2:28">
      <c r="P190" s="19"/>
      <c r="AA190" s="19"/>
    </row>
    <row r="191" spans="2:28">
      <c r="P191" s="19"/>
      <c r="AA191" s="19"/>
    </row>
    <row r="192" spans="2:28">
      <c r="P192" s="19"/>
      <c r="AA192" s="19"/>
    </row>
    <row r="193" spans="16:27">
      <c r="P193" s="19"/>
      <c r="AA193" s="19"/>
    </row>
    <row r="194" spans="16:27">
      <c r="P194" s="19"/>
      <c r="AA194" s="19"/>
    </row>
    <row r="195" spans="16:27">
      <c r="P195" s="19"/>
      <c r="AA195" s="19"/>
    </row>
    <row r="196" spans="16:27">
      <c r="P196" s="19"/>
      <c r="AA196" s="19"/>
    </row>
    <row r="197" spans="16:27">
      <c r="P197" s="19"/>
      <c r="AA197" s="19"/>
    </row>
    <row r="198" spans="16:27">
      <c r="P198" s="19"/>
      <c r="AA198" s="19"/>
    </row>
    <row r="199" spans="16:27">
      <c r="AA199" s="19"/>
    </row>
    <row r="200" spans="16:27">
      <c r="AA200" s="19"/>
    </row>
    <row r="201" spans="16:27">
      <c r="AA201" s="19"/>
    </row>
    <row r="202" spans="16:27">
      <c r="AA202" s="19"/>
    </row>
    <row r="203" spans="16:27">
      <c r="AA203" s="19"/>
    </row>
    <row r="204" spans="16:27">
      <c r="AA204" s="19"/>
    </row>
    <row r="205" spans="16:27">
      <c r="AA205" s="19"/>
    </row>
    <row r="206" spans="16:27">
      <c r="AA206" s="19"/>
    </row>
    <row r="207" spans="16:27">
      <c r="AA207" s="19"/>
    </row>
    <row r="208" spans="16:27">
      <c r="AA208" s="19"/>
    </row>
    <row r="209" spans="27:27">
      <c r="AA209" s="19"/>
    </row>
    <row r="210" spans="27:27">
      <c r="AA210" s="19"/>
    </row>
    <row r="211" spans="27:27">
      <c r="AA211" s="19"/>
    </row>
    <row r="212" spans="27:27">
      <c r="AA212" s="19"/>
    </row>
    <row r="1033" spans="1:1">
      <c r="A1033" s="6">
        <v>30217</v>
      </c>
    </row>
  </sheetData>
  <sheetProtection formatCells="0" formatColumns="0" formatRows="0" insertColumns="0" insertRows="0" insertHyperlinks="0" deleteColumns="0" deleteRows="0" sort="0" autoFilter="0" pivotTables="0"/>
  <mergeCells count="6">
    <mergeCell ref="D15:O15"/>
    <mergeCell ref="P15:AA15"/>
    <mergeCell ref="AB15:AM15"/>
    <mergeCell ref="D83:O83"/>
    <mergeCell ref="P83:AA83"/>
    <mergeCell ref="AB83:AM83"/>
  </mergeCells>
  <pageMargins left="0.75" right="0.75" top="1" bottom="1" header="0.5" footer="0.5"/>
  <pageSetup paperSize="9" orientation="portrait" horizontalDpi="4294967292" verticalDpi="4294967292"/>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0BA0EB"/>
  </sheetPr>
  <dimension ref="A1:AQ1013"/>
  <sheetViews>
    <sheetView showGridLines="0" zoomScale="73" zoomScaleNormal="100" zoomScalePageLayoutView="125" workbookViewId="0">
      <selection activeCell="I25" sqref="I25"/>
    </sheetView>
  </sheetViews>
  <sheetFormatPr defaultColWidth="10.796875" defaultRowHeight="15.6" outlineLevelRow="1"/>
  <cols>
    <col min="1" max="1" width="5.5" style="19" customWidth="1"/>
    <col min="2" max="2" width="22.69921875" style="19" customWidth="1"/>
    <col min="3" max="3" width="28.296875" style="19" customWidth="1"/>
    <col min="4" max="4" width="25.296875" style="19" customWidth="1"/>
    <col min="5" max="5" width="20.296875" style="19" customWidth="1"/>
    <col min="6" max="6" width="16.19921875" style="19" customWidth="1"/>
    <col min="7" max="7" width="19.69921875" style="19" customWidth="1"/>
    <col min="8" max="8" width="16" style="19" customWidth="1"/>
    <col min="9" max="9" width="16.796875" style="19" customWidth="1"/>
    <col min="10" max="10" width="13.296875" style="19" customWidth="1"/>
    <col min="11" max="12" width="16.296875" style="19" bestFit="1" customWidth="1"/>
    <col min="13" max="13" width="14.69921875" style="19" customWidth="1"/>
    <col min="14" max="14" width="10.796875" style="19"/>
    <col min="15" max="15" width="14" style="19" customWidth="1"/>
    <col min="16" max="16384" width="10.796875" style="19"/>
  </cols>
  <sheetData>
    <row r="1" spans="1:27" s="261" customFormat="1" ht="27" customHeight="1">
      <c r="A1" s="260" t="str">
        <f>"v"&amp;'COPYRIGHT PROTECTION'!C14&amp;" "&amp;'COPYRIGHT PROTECTION'!C6</f>
        <v xml:space="preserve">v2023.2 © Simon Hulme and Chris Drew, 2011-2023     IF PART OF AN ACADEMIC ASSIGNMENT, PLEASE DO NOT DELETE THIS SINGLE LINE.  DELETING IT MAY INVALIDATE YOUR SUBMISSION. </v>
      </c>
    </row>
    <row r="2" spans="1:27" s="1181" customFormat="1" ht="28.8">
      <c r="C2" s="1184" t="s">
        <v>306</v>
      </c>
      <c r="F2" s="1185"/>
      <c r="G2" s="1186"/>
      <c r="AA2" s="1187"/>
    </row>
    <row r="3" spans="1:27">
      <c r="C3" s="152"/>
      <c r="D3" s="189"/>
      <c r="E3" s="189"/>
      <c r="F3" s="189"/>
      <c r="G3" s="189"/>
    </row>
    <row r="4" spans="1:27" s="107" customFormat="1">
      <c r="C4" s="190"/>
    </row>
    <row r="5" spans="1:27" s="1181" customFormat="1" ht="25.8">
      <c r="C5" s="1182" t="s">
        <v>83</v>
      </c>
      <c r="AA5" s="1183"/>
    </row>
    <row r="6" spans="1:27">
      <c r="C6" s="190"/>
      <c r="D6" s="218"/>
    </row>
    <row r="7" spans="1:27">
      <c r="D7" s="189"/>
      <c r="E7" s="189"/>
      <c r="F7" s="189"/>
    </row>
    <row r="8" spans="1:27" s="1188" customFormat="1" ht="21">
      <c r="C8" s="1189" t="s">
        <v>262</v>
      </c>
      <c r="D8" s="1190"/>
      <c r="E8" s="1191">
        <f>'Profit &amp; Loss Ecommerce'!C27</f>
        <v>2024</v>
      </c>
      <c r="F8" s="1191">
        <f>'Profit &amp; Loss Ecommerce'!D27</f>
        <v>2025</v>
      </c>
      <c r="G8" s="1191">
        <f>'Profit &amp; Loss Ecommerce'!E27</f>
        <v>2026</v>
      </c>
    </row>
    <row r="9" spans="1:27" s="219" customFormat="1" ht="21">
      <c r="C9" s="220"/>
      <c r="D9" s="221"/>
      <c r="E9" s="222"/>
      <c r="F9" s="222"/>
      <c r="G9" s="222"/>
    </row>
    <row r="10" spans="1:27">
      <c r="C10" s="154"/>
      <c r="D10" s="223"/>
      <c r="E10" s="223"/>
      <c r="F10" s="223"/>
      <c r="G10" s="223"/>
    </row>
    <row r="11" spans="1:27">
      <c r="C11" s="1194" t="s">
        <v>88</v>
      </c>
      <c r="D11" s="1194"/>
      <c r="E11" s="1195">
        <f>SUM('Consolidated Profit and Loss'!D55:O55)</f>
        <v>607224.1</v>
      </c>
      <c r="F11" s="1195">
        <f>SUM('Consolidated Profit and Loss'!P55:AA55)</f>
        <v>2759764.9</v>
      </c>
      <c r="G11" s="1195">
        <f>SUM('Consolidated Profit and Loss'!AB55:AM55)</f>
        <v>7553274.6838400001</v>
      </c>
    </row>
    <row r="12" spans="1:27" ht="13.8" customHeight="1" outlineLevel="1">
      <c r="C12" s="1196" t="s">
        <v>10</v>
      </c>
      <c r="D12" s="1033"/>
      <c r="E12" s="1195">
        <f>SUM('Consolidated Profit and Loss'!D56:O56)</f>
        <v>-241513.85800000001</v>
      </c>
      <c r="F12" s="1195">
        <f>SUM('Consolidated Profit and Loss'!P56:AA56)</f>
        <v>-1347659.0894999998</v>
      </c>
      <c r="G12" s="1195">
        <f>SUM('Consolidated Profit and Loss'!AB56:AM56)</f>
        <v>-3228312.5061724</v>
      </c>
    </row>
    <row r="13" spans="1:27">
      <c r="B13" s="224" t="s">
        <v>81</v>
      </c>
      <c r="C13" s="1194" t="s">
        <v>11</v>
      </c>
      <c r="D13" s="1195"/>
      <c r="E13" s="1195">
        <f>SUM('Consolidated Profit and Loss'!D57:O57)</f>
        <v>365710.24200000003</v>
      </c>
      <c r="F13" s="1195">
        <f>SUM('Consolidated Profit and Loss'!P57:AA57)</f>
        <v>1412105.8104999999</v>
      </c>
      <c r="G13" s="1195">
        <f>SUM('Consolidated Profit and Loss'!AB57:AM57)</f>
        <v>4324962.1776675992</v>
      </c>
    </row>
    <row r="14" spans="1:27" s="225" customFormat="1" ht="13.95" customHeight="1" outlineLevel="1">
      <c r="C14" s="225" t="s">
        <v>7</v>
      </c>
      <c r="E14" s="226">
        <f>E11+E12</f>
        <v>365710.24199999997</v>
      </c>
      <c r="F14" s="226">
        <f t="shared" ref="F14:G14" si="0">F11+F12</f>
        <v>1412105.8105000001</v>
      </c>
      <c r="G14" s="226">
        <f t="shared" si="0"/>
        <v>4324962.1776676001</v>
      </c>
    </row>
    <row r="15" spans="1:27" s="25" customFormat="1">
      <c r="B15" s="215" t="s">
        <v>82</v>
      </c>
      <c r="C15" s="153"/>
      <c r="D15" s="227"/>
      <c r="E15" s="227">
        <f>E13/E11</f>
        <v>0.60226569070628133</v>
      </c>
      <c r="F15" s="227">
        <f t="shared" ref="F15:G15" si="1">F13/F11</f>
        <v>0.51167612520182426</v>
      </c>
      <c r="G15" s="227">
        <f t="shared" si="1"/>
        <v>0.57259431951028117</v>
      </c>
    </row>
    <row r="16" spans="1:27" outlineLevel="1">
      <c r="C16" s="1194" t="s">
        <v>248</v>
      </c>
      <c r="D16" s="1033"/>
      <c r="E16" s="1195"/>
      <c r="F16" s="1195"/>
      <c r="G16" s="1195"/>
    </row>
    <row r="17" spans="2:7" outlineLevel="1">
      <c r="C17" s="1196" t="str">
        <f>'Consolidated Profit and Loss'!B60</f>
        <v>Total Salaries</v>
      </c>
      <c r="D17" s="1033"/>
      <c r="E17" s="1033">
        <f>SUM('Consolidated Profit and Loss'!D60:O60)</f>
        <v>-297220</v>
      </c>
      <c r="F17" s="1033">
        <f>SUM('Consolidated Profit and Loss'!P60:AA60)</f>
        <v>-333200</v>
      </c>
      <c r="G17" s="1033">
        <f>SUM('Consolidated Profit and Loss'!AB60:AM60)</f>
        <v>-982339.99999999988</v>
      </c>
    </row>
    <row r="18" spans="2:7" ht="15" customHeight="1" outlineLevel="1">
      <c r="C18" s="1196" t="str">
        <f>'Consolidated Profit and Loss'!B61</f>
        <v>Work Space Rent</v>
      </c>
      <c r="D18" s="1033"/>
      <c r="E18" s="1033">
        <f>SUM('Consolidated Profit and Loss'!D61:O61)</f>
        <v>-30000</v>
      </c>
      <c r="F18" s="1033">
        <f>SUM('Consolidated Profit and Loss'!P61:AA61)</f>
        <v>-30000</v>
      </c>
      <c r="G18" s="1033">
        <f>SUM('Consolidated Profit and Loss'!AB61:AM61)</f>
        <v>-33300</v>
      </c>
    </row>
    <row r="19" spans="2:7" outlineLevel="1">
      <c r="C19" s="1196" t="str">
        <f>'Consolidated Profit and Loss'!B62</f>
        <v>Marketing</v>
      </c>
      <c r="D19" s="1033"/>
      <c r="E19" s="1033">
        <f>SUM('Consolidated Profit and Loss'!D62:O62)</f>
        <v>-2300</v>
      </c>
      <c r="F19" s="1033">
        <f>SUM('Consolidated Profit and Loss'!P62:AA62)</f>
        <v>-2300</v>
      </c>
      <c r="G19" s="1033">
        <f>SUM('Consolidated Profit and Loss'!AB62:AM62)</f>
        <v>-3000</v>
      </c>
    </row>
    <row r="20" spans="2:7" outlineLevel="1">
      <c r="C20" s="1196" t="str">
        <f>'Consolidated Profit and Loss'!B63</f>
        <v>Utilities</v>
      </c>
      <c r="D20" s="1033"/>
      <c r="E20" s="1033">
        <f>SUM('Consolidated Profit and Loss'!D63:O63)</f>
        <v>-18100</v>
      </c>
      <c r="F20" s="1033">
        <f>SUM('Consolidated Profit and Loss'!P63:AA63)</f>
        <v>-21700</v>
      </c>
      <c r="G20" s="1033">
        <f>SUM('Consolidated Profit and Loss'!AB63:AM63)</f>
        <v>-26760</v>
      </c>
    </row>
    <row r="21" spans="2:7" outlineLevel="1">
      <c r="C21" s="1196" t="str">
        <f>'Consolidated Profit and Loss'!B64</f>
        <v>Software Subscriptions</v>
      </c>
      <c r="D21" s="1033"/>
      <c r="E21" s="1033">
        <f>SUM('Consolidated Profit and Loss'!D64:O64)</f>
        <v>-3150</v>
      </c>
      <c r="F21" s="1033">
        <f>SUM('Consolidated Profit and Loss'!P64:AA64)</f>
        <v>-3150</v>
      </c>
      <c r="G21" s="1033">
        <f>SUM('Consolidated Profit and Loss'!AB64:AM64)</f>
        <v>-6300</v>
      </c>
    </row>
    <row r="22" spans="2:7" outlineLevel="1">
      <c r="C22" s="1196" t="str">
        <f>'Consolidated Profit and Loss'!B65</f>
        <v>Research and Development</v>
      </c>
      <c r="D22" s="1033"/>
      <c r="E22" s="1033">
        <f>SUM('Consolidated Profit and Loss'!D65:O65)</f>
        <v>-8600.0000000000018</v>
      </c>
      <c r="F22" s="1033">
        <f>SUM('Consolidated Profit and Loss'!P65:AA65)</f>
        <v>-3600</v>
      </c>
      <c r="G22" s="1033">
        <f>SUM('Consolidated Profit and Loss'!AB65:AM65)</f>
        <v>-5400</v>
      </c>
    </row>
    <row r="23" spans="2:7" outlineLevel="1">
      <c r="C23" s="1196" t="str">
        <f>'Consolidated Profit and Loss'!B66</f>
        <v>Insurance</v>
      </c>
      <c r="D23" s="1033"/>
      <c r="E23" s="1033">
        <f>SUM('Consolidated Profit and Loss'!D66:O66)</f>
        <v>-9000</v>
      </c>
      <c r="F23" s="1033">
        <f>SUM('Consolidated Profit and Loss'!P66:AA66)</f>
        <v>-9000</v>
      </c>
      <c r="G23" s="1033">
        <f>SUM('Consolidated Profit and Loss'!AB66:AM66)</f>
        <v>-10500</v>
      </c>
    </row>
    <row r="24" spans="2:7" outlineLevel="1">
      <c r="C24" s="1196" t="str">
        <f>'Consolidated Profit and Loss'!B67</f>
        <v xml:space="preserve">Security </v>
      </c>
      <c r="D24" s="1033"/>
      <c r="E24" s="1033">
        <f>SUM('Consolidated Profit and Loss'!D67:O67)</f>
        <v>0</v>
      </c>
      <c r="F24" s="1033">
        <f>SUM('Consolidated Profit and Loss'!P67:AA67)</f>
        <v>0</v>
      </c>
      <c r="G24" s="1033">
        <f>SUM('Consolidated Profit and Loss'!AB67:AM67)</f>
        <v>-750</v>
      </c>
    </row>
    <row r="25" spans="2:7" outlineLevel="1">
      <c r="C25" s="1196" t="str">
        <f>'Consolidated Profit and Loss'!B68</f>
        <v>Ecommerce</v>
      </c>
      <c r="D25" s="1033"/>
      <c r="E25" s="1033">
        <f>SUM('Consolidated Profit and Loss'!D68:O68)</f>
        <v>-700.00000000000011</v>
      </c>
      <c r="F25" s="1033">
        <f>SUM('Consolidated Profit and Loss'!P68:AA68)</f>
        <v>-700.00000000000011</v>
      </c>
      <c r="G25" s="1033">
        <f>SUM('Consolidated Profit and Loss'!AB68:AM68)</f>
        <v>-700.00000000000011</v>
      </c>
    </row>
    <row r="26" spans="2:7" s="168" customFormat="1">
      <c r="B26" s="224" t="s">
        <v>81</v>
      </c>
      <c r="C26" s="1194" t="str">
        <f>'Profit &amp; Loss Ecommerce'!B108</f>
        <v>Total Operating Expenses</v>
      </c>
      <c r="D26" s="1195"/>
      <c r="E26" s="1033">
        <f>SUM('Consolidated Profit and Loss'!D69:O69)</f>
        <v>-369069.99999999994</v>
      </c>
      <c r="F26" s="1033">
        <f>SUM('Consolidated Profit and Loss'!P69:AA69)</f>
        <v>-403650.00000000006</v>
      </c>
      <c r="G26" s="1033">
        <f>SUM('Consolidated Profit and Loss'!AB69:AM69)</f>
        <v>-1069050</v>
      </c>
    </row>
    <row r="27" spans="2:7" s="225" customFormat="1" ht="13.95" customHeight="1" outlineLevel="1">
      <c r="C27" s="225" t="s">
        <v>7</v>
      </c>
      <c r="E27" s="226">
        <f>SUM(E17:E25)</f>
        <v>-369070</v>
      </c>
      <c r="F27" s="226">
        <f>SUM(F17:F25)</f>
        <v>-403650</v>
      </c>
      <c r="G27" s="226">
        <f>SUM(G17:G25)</f>
        <v>-1069050</v>
      </c>
    </row>
    <row r="28" spans="2:7" s="225" customFormat="1">
      <c r="B28" s="215" t="s">
        <v>82</v>
      </c>
      <c r="D28" s="189"/>
      <c r="E28" s="189"/>
      <c r="F28" s="189"/>
      <c r="G28" s="189"/>
    </row>
    <row r="29" spans="2:7" s="168" customFormat="1">
      <c r="B29" s="228"/>
      <c r="C29" s="1194" t="str">
        <f>'Profit &amp; Loss Ecommerce'!B110</f>
        <v>EBITDA</v>
      </c>
      <c r="D29" s="1195"/>
      <c r="E29" s="1195">
        <f>SUM('Consolidated Profit and Loss'!D71:O71)</f>
        <v>-3359.7579999999907</v>
      </c>
      <c r="F29" s="1195">
        <f>SUM('Consolidated Profit and Loss'!P71:AA71)</f>
        <v>1008455.8104999999</v>
      </c>
      <c r="G29" s="1195">
        <f>SUM('Consolidated Profit and Loss'!AB71:AM71)</f>
        <v>3255912.1776676006</v>
      </c>
    </row>
    <row r="30" spans="2:7">
      <c r="B30" s="215"/>
      <c r="C30" s="152"/>
      <c r="D30" s="189"/>
      <c r="E30" s="189"/>
      <c r="F30" s="189"/>
      <c r="G30" s="189"/>
    </row>
    <row r="31" spans="2:7" ht="24.45" customHeight="1" outlineLevel="1">
      <c r="B31" s="215"/>
      <c r="C31" s="1196" t="str">
        <f>'Profit &amp; Loss Ecommerce'!B112</f>
        <v>Depreciation</v>
      </c>
      <c r="D31" s="1033"/>
      <c r="E31" s="1033">
        <f>SUM('Consolidated Profit and Loss'!D92:O92)</f>
        <v>-16245.142857142857</v>
      </c>
      <c r="F31" s="1033">
        <f>SUM('Consolidated Profit and Loss'!P92:AA92)</f>
        <v>-31531.571428571435</v>
      </c>
      <c r="G31" s="1033">
        <f>SUM('Consolidated Profit and Loss'!AB92:AM92)</f>
        <v>-92254</v>
      </c>
    </row>
    <row r="32" spans="2:7" s="168" customFormat="1" ht="21.45" customHeight="1">
      <c r="B32" s="224" t="s">
        <v>81</v>
      </c>
      <c r="C32" s="1194" t="str">
        <f>'Profit &amp; Loss Ecommerce'!B113</f>
        <v>Operating Profit (EBIT)</v>
      </c>
      <c r="D32" s="1195"/>
      <c r="E32" s="1195">
        <f>SUM('Consolidated Profit and Loss'!D74:O74)</f>
        <v>-19604.900857142849</v>
      </c>
      <c r="F32" s="1195">
        <f>SUM('Consolidated Profit and Loss'!P74:AA74)</f>
        <v>976924.23907142854</v>
      </c>
      <c r="G32" s="1195">
        <f>SUM('Consolidated Profit and Loss'!AB74:AM74)</f>
        <v>3163658.1776676006</v>
      </c>
    </row>
    <row r="33" spans="2:7" ht="19.2" customHeight="1">
      <c r="B33" s="215"/>
      <c r="C33" s="152"/>
      <c r="D33" s="189"/>
      <c r="E33" s="189"/>
      <c r="F33" s="189"/>
      <c r="G33" s="189"/>
    </row>
    <row r="34" spans="2:7" ht="19.2" customHeight="1" outlineLevel="1">
      <c r="C34" s="1196" t="str">
        <f>'Profit &amp; Loss Ecommerce'!B115</f>
        <v>Loan Interest</v>
      </c>
      <c r="D34" s="1033"/>
      <c r="E34" s="1033">
        <f>SUM('Profit &amp; Loss Ecommerce'!D115:O115)</f>
        <v>-22949.775373266384</v>
      </c>
      <c r="F34" s="1033">
        <f>SUM('Profit &amp; Loss Ecommerce'!P115:AA115)</f>
        <v>-18331.000665738862</v>
      </c>
      <c r="G34" s="1033">
        <f>SUM('Consolidated Profit and Loss'!AB76:AM76)</f>
        <v>-13475.920678286087</v>
      </c>
    </row>
    <row r="35" spans="2:7" s="168" customFormat="1" ht="19.2" customHeight="1">
      <c r="B35" s="224" t="s">
        <v>81</v>
      </c>
      <c r="C35" s="1194" t="str">
        <f>'Profit &amp; Loss Ecommerce'!B116</f>
        <v>Profit Before Tax</v>
      </c>
      <c r="D35" s="1195"/>
      <c r="E35" s="1195">
        <f>SUM('Consolidated Profit and Loss'!D77:O77)</f>
        <v>-42554.676230409226</v>
      </c>
      <c r="F35" s="1195">
        <f>SUM('Consolidated Profit and Loss'!P77:AA77)</f>
        <v>958593.2384056896</v>
      </c>
      <c r="G35" s="1195">
        <f>SUM('Consolidated Profit and Loss'!AB77:AM77)</f>
        <v>3150182.2569893142</v>
      </c>
    </row>
    <row r="36" spans="2:7">
      <c r="C36" s="152"/>
      <c r="D36" s="189"/>
      <c r="E36" s="189"/>
      <c r="F36" s="189"/>
      <c r="G36" s="189"/>
    </row>
    <row r="37" spans="2:7" ht="24" customHeight="1" outlineLevel="1">
      <c r="C37" s="1196" t="str">
        <f>'Profit &amp; Loss Ecommerce'!B118</f>
        <v>Corporation Tax</v>
      </c>
      <c r="D37" s="1033"/>
      <c r="E37" s="1033">
        <f>SUM('Consolidated Profit and Loss'!D79:O79)</f>
        <v>0</v>
      </c>
      <c r="F37" s="1033">
        <f>SUM('Consolidated Profit and Loss'!P79:AA79)</f>
        <v>-217408.81911524865</v>
      </c>
      <c r="G37" s="1033">
        <f>SUM('Consolidated Profit and Loss'!AB79:AM79)</f>
        <v>-765789.06424732844</v>
      </c>
    </row>
    <row r="38" spans="2:7" s="168" customFormat="1">
      <c r="B38" s="224" t="s">
        <v>246</v>
      </c>
      <c r="C38" s="1194" t="str">
        <f>'Profit &amp; Loss Ecommerce'!B119</f>
        <v>Profit After Tax</v>
      </c>
      <c r="D38" s="1197"/>
      <c r="E38" s="1195">
        <f>SUM('Consolidated Profit and Loss'!D80:O80)</f>
        <v>-42554.676230409226</v>
      </c>
      <c r="F38" s="1195">
        <f>SUM('Consolidated Profit and Loss'!P80:AA80)</f>
        <v>741184.41929044097</v>
      </c>
      <c r="G38" s="1195">
        <f>SUM('Consolidated Profit and Loss'!AB80:AM80)</f>
        <v>2384393.192741985</v>
      </c>
    </row>
    <row r="39" spans="2:7" s="225" customFormat="1" ht="13.95" customHeight="1" outlineLevel="1">
      <c r="C39" s="225" t="s">
        <v>7</v>
      </c>
      <c r="E39" s="226">
        <f>E13+E26+E31+E34+E37</f>
        <v>-42554.676230409154</v>
      </c>
      <c r="F39" s="226">
        <f>F13+F26+F31+F34+F37</f>
        <v>741184.41929044097</v>
      </c>
      <c r="G39" s="226">
        <f>G13+G26+G31+G34+G37</f>
        <v>2384393.192741985</v>
      </c>
    </row>
    <row r="40" spans="2:7">
      <c r="B40" s="215" t="s">
        <v>82</v>
      </c>
      <c r="C40" s="152"/>
      <c r="D40" s="189"/>
      <c r="E40" s="189"/>
      <c r="F40" s="189"/>
      <c r="G40" s="189"/>
    </row>
    <row r="43" spans="2:7" s="1188" customFormat="1" ht="21">
      <c r="C43" s="1189" t="s">
        <v>261</v>
      </c>
      <c r="D43" s="1190"/>
      <c r="E43" s="1191">
        <f>E8</f>
        <v>2024</v>
      </c>
      <c r="F43" s="1191">
        <f>F8</f>
        <v>2025</v>
      </c>
      <c r="G43" s="1191">
        <f>G8</f>
        <v>2026</v>
      </c>
    </row>
    <row r="44" spans="2:7">
      <c r="C44" s="152"/>
      <c r="D44" s="189"/>
      <c r="E44" s="189"/>
      <c r="F44" s="189"/>
      <c r="G44" s="189"/>
    </row>
    <row r="45" spans="2:7">
      <c r="C45" s="1196" t="s">
        <v>173</v>
      </c>
      <c r="D45" s="1033"/>
      <c r="E45" s="1033">
        <f>SUM('Cash Flow'!D24:O24)</f>
        <v>-162331.6473732664</v>
      </c>
      <c r="F45" s="1033">
        <f ca="1">SUM('Cash Flow'!P24:AA24)</f>
        <v>586124.81559426116</v>
      </c>
      <c r="G45" s="1033">
        <f ca="1">SUM('Cash Flow'!AB24:AM24)</f>
        <v>1762926.2640136653</v>
      </c>
    </row>
    <row r="46" spans="2:7">
      <c r="C46" s="1196" t="s">
        <v>174</v>
      </c>
      <c r="D46" s="1033"/>
      <c r="E46" s="1033">
        <f>SUM('Cash Flow'!D37:O37)</f>
        <v>-49800</v>
      </c>
      <c r="F46" s="1033">
        <f>SUM('Cash Flow'!P37:AA37)</f>
        <v>-97636</v>
      </c>
      <c r="G46" s="1033">
        <f>SUM('Cash Flow'!AB37:AM37)</f>
        <v>-455360</v>
      </c>
    </row>
    <row r="47" spans="2:7">
      <c r="C47" s="1196" t="s">
        <v>175</v>
      </c>
      <c r="D47" s="1033"/>
      <c r="E47" s="1033">
        <f>SUM('Cash Flow'!D54:O54)</f>
        <v>644722.37350920076</v>
      </c>
      <c r="F47" s="1033">
        <f>SUM('Cash Flow'!P54:AA54)</f>
        <v>-115896.40119832674</v>
      </c>
      <c r="G47" s="1033">
        <f>SUM('Cash Flow'!AB54:AM54)</f>
        <v>-135751.4811857795</v>
      </c>
    </row>
    <row r="48" spans="2:7" s="168" customFormat="1">
      <c r="C48" s="1194" t="s">
        <v>36</v>
      </c>
      <c r="D48" s="1195"/>
      <c r="E48" s="1195">
        <f>SUM(E45:E47)</f>
        <v>432590.72613593435</v>
      </c>
      <c r="F48" s="1195">
        <f t="shared" ref="F48:G48" ca="1" si="2">SUM(F45:F47)</f>
        <v>372592.41439593444</v>
      </c>
      <c r="G48" s="1195">
        <f t="shared" ca="1" si="2"/>
        <v>1171814.7828278858</v>
      </c>
    </row>
    <row r="49" spans="3:7" s="168" customFormat="1">
      <c r="C49" s="1194" t="s">
        <v>37</v>
      </c>
      <c r="D49" s="1195"/>
      <c r="E49" s="1195">
        <f>'Cash Flow'!O60</f>
        <v>432590.72613593435</v>
      </c>
      <c r="F49" s="1195">
        <f ca="1">'Cash Flow'!AA60</f>
        <v>805183.14053186879</v>
      </c>
      <c r="G49" s="1195">
        <f ca="1">'Cash Flow'!AM60</f>
        <v>1976997.923359755</v>
      </c>
    </row>
    <row r="53" spans="3:7" s="1188" customFormat="1" ht="21">
      <c r="C53" s="1189" t="s">
        <v>260</v>
      </c>
      <c r="D53" s="1190"/>
      <c r="E53" s="1192">
        <f>'Balance Sheet'!O16</f>
        <v>45627</v>
      </c>
      <c r="F53" s="1192">
        <f>'Balance Sheet'!AA16</f>
        <v>45992</v>
      </c>
      <c r="G53" s="1192">
        <f>'Balance Sheet'!AM16</f>
        <v>46357.899999999994</v>
      </c>
    </row>
    <row r="55" spans="3:7">
      <c r="C55" s="1198" t="str">
        <f>'Balance Sheet'!B17</f>
        <v>FIXED ASSETS</v>
      </c>
      <c r="D55" s="995"/>
      <c r="E55" s="995"/>
      <c r="F55" s="995"/>
      <c r="G55" s="995"/>
    </row>
    <row r="56" spans="3:7">
      <c r="C56" s="995" t="str">
        <f>'Balance Sheet'!B18</f>
        <v>Property (not depreciated)</v>
      </c>
      <c r="D56" s="995"/>
      <c r="E56" s="995">
        <f>'Balance Sheet'!O18</f>
        <v>0</v>
      </c>
      <c r="F56" s="995">
        <f>'Balance Sheet'!AA18</f>
        <v>0</v>
      </c>
      <c r="G56" s="995">
        <f>'Balance Sheet'!AM18</f>
        <v>0</v>
      </c>
    </row>
    <row r="57" spans="3:7">
      <c r="C57" s="995" t="str">
        <f>'Balance Sheet'!B19</f>
        <v xml:space="preserve">Computers </v>
      </c>
      <c r="D57" s="995"/>
      <c r="E57" s="995">
        <f>'Balance Sheet'!O19</f>
        <v>7200</v>
      </c>
      <c r="F57" s="995">
        <f>'Balance Sheet'!AA19</f>
        <v>12600.000000000004</v>
      </c>
      <c r="G57" s="995">
        <f>'Balance Sheet'!AM19</f>
        <v>23800.000000000015</v>
      </c>
    </row>
    <row r="58" spans="3:7">
      <c r="C58" s="995" t="str">
        <f>'Balance Sheet'!B20</f>
        <v>Camera</v>
      </c>
      <c r="D58" s="995"/>
      <c r="E58" s="995">
        <f>'Balance Sheet'!O20</f>
        <v>960</v>
      </c>
      <c r="F58" s="995">
        <f>'Balance Sheet'!AA20</f>
        <v>720</v>
      </c>
      <c r="G58" s="995">
        <f>'Balance Sheet'!AM20</f>
        <v>1440</v>
      </c>
    </row>
    <row r="59" spans="3:7">
      <c r="C59" s="995"/>
      <c r="D59" s="995"/>
      <c r="E59" s="1000">
        <f>'Balance Sheet'!O33</f>
        <v>33554.857142857145</v>
      </c>
      <c r="F59" s="1000">
        <f>'Balance Sheet'!AA33</f>
        <v>46403.28571428571</v>
      </c>
      <c r="G59" s="1000">
        <f>'Balance Sheet'!AM33</f>
        <v>133429.28571428574</v>
      </c>
    </row>
    <row r="61" spans="3:7">
      <c r="C61" s="1198" t="str">
        <f>'Balance Sheet'!B35</f>
        <v>CURRENT ASSETS</v>
      </c>
      <c r="D61" s="995"/>
      <c r="E61" s="995"/>
      <c r="F61" s="995"/>
      <c r="G61" s="995"/>
    </row>
    <row r="62" spans="3:7">
      <c r="C62" s="995" t="str">
        <f>'Balance Sheet'!B36</f>
        <v>Stocks (Inventory)</v>
      </c>
      <c r="D62" s="995"/>
      <c r="E62" s="995">
        <f>'Balance Sheet'!O36</f>
        <v>115191.80000000002</v>
      </c>
      <c r="F62" s="995">
        <f>'Balance Sheet'!AA36</f>
        <v>423926.38000000006</v>
      </c>
      <c r="G62" s="995">
        <f>'Balance Sheet'!AM36</f>
        <v>1618827.8668</v>
      </c>
    </row>
    <row r="63" spans="3:7">
      <c r="C63" s="995" t="str">
        <f>'Balance Sheet'!B37</f>
        <v>Debtors (Receivables)</v>
      </c>
      <c r="D63" s="995"/>
      <c r="E63" s="995">
        <f>'Balance Sheet'!O37</f>
        <v>92114.39999999998</v>
      </c>
      <c r="F63" s="995">
        <f>'Balance Sheet'!AA37</f>
        <v>383887.55999999994</v>
      </c>
      <c r="G63" s="995">
        <f>'Balance Sheet'!AM37</f>
        <v>1080306.7245599998</v>
      </c>
    </row>
    <row r="64" spans="3:7">
      <c r="C64" s="995" t="str">
        <f>'Balance Sheet'!B38</f>
        <v>Prepayments</v>
      </c>
      <c r="D64" s="995"/>
      <c r="E64" s="995">
        <f>'Balance Sheet'!O38</f>
        <v>0</v>
      </c>
      <c r="F64" s="995">
        <f>'Balance Sheet'!AA38</f>
        <v>0</v>
      </c>
      <c r="G64" s="995">
        <f>'Balance Sheet'!AM38</f>
        <v>0</v>
      </c>
    </row>
    <row r="65" spans="3:7">
      <c r="C65" s="995" t="str">
        <f>'Balance Sheet'!B39</f>
        <v>Cash</v>
      </c>
      <c r="D65" s="995"/>
      <c r="E65" s="995">
        <f>'Balance Sheet'!O39</f>
        <v>432590.72613593435</v>
      </c>
      <c r="F65" s="995">
        <f ca="1">'Balance Sheet'!AA39</f>
        <v>805183.14053186879</v>
      </c>
      <c r="G65" s="995">
        <f ca="1">'Balance Sheet'!AM39</f>
        <v>1976997.923359755</v>
      </c>
    </row>
    <row r="66" spans="3:7" s="168" customFormat="1">
      <c r="C66" s="1198"/>
      <c r="D66" s="1198"/>
      <c r="E66" s="1199">
        <f>'Balance Sheet'!O40</f>
        <v>639896.92613593442</v>
      </c>
      <c r="F66" s="1199">
        <f ca="1">'Balance Sheet'!AA40</f>
        <v>1612997.0805318686</v>
      </c>
      <c r="G66" s="1199">
        <f ca="1">'Balance Sheet'!AM40</f>
        <v>4676132.5147197545</v>
      </c>
    </row>
    <row r="68" spans="3:7">
      <c r="C68" s="1198" t="str">
        <f>'Balance Sheet'!B42</f>
        <v>CURRENT LIABILITIES (&lt; 1 YR)</v>
      </c>
      <c r="D68" s="995"/>
      <c r="E68" s="995"/>
      <c r="F68" s="995"/>
      <c r="G68" s="995"/>
    </row>
    <row r="69" spans="3:7">
      <c r="C69" s="995" t="str">
        <f>'Balance Sheet'!B43</f>
        <v>Creditors (Payables)</v>
      </c>
      <c r="D69" s="995"/>
      <c r="E69" s="995">
        <f>'Balance Sheet'!O43</f>
        <v>-71284.08600000001</v>
      </c>
      <c r="F69" s="995">
        <f>'Balance Sheet'!AA43</f>
        <v>-214535.83175999997</v>
      </c>
      <c r="G69" s="995">
        <f>'Balance Sheet'!AM43</f>
        <v>-567675.30925960001</v>
      </c>
    </row>
    <row r="70" spans="3:7">
      <c r="C70" s="995" t="str">
        <f>'Balance Sheet'!B44</f>
        <v>Accruals</v>
      </c>
      <c r="D70" s="995"/>
      <c r="E70" s="995">
        <f>'Balance Sheet'!O44</f>
        <v>0</v>
      </c>
      <c r="F70" s="995">
        <f>'Balance Sheet'!AA44</f>
        <v>0</v>
      </c>
      <c r="G70" s="995">
        <f>'Balance Sheet'!AM44</f>
        <v>0</v>
      </c>
    </row>
    <row r="71" spans="3:7">
      <c r="C71" s="995" t="str">
        <f>'Balance Sheet'!B45</f>
        <v>Bank Loans (&lt; 1 YR)</v>
      </c>
      <c r="D71" s="995"/>
      <c r="E71" s="995">
        <f>'Balance Sheet'!O45</f>
        <v>-94896.401198326712</v>
      </c>
      <c r="F71" s="995">
        <f>'Balance Sheet'!AA45</f>
        <v>-99751.481185779499</v>
      </c>
      <c r="G71" s="995">
        <f>'Balance Sheet'!AM45</f>
        <v>-104854.95627975799</v>
      </c>
    </row>
    <row r="72" spans="3:7">
      <c r="C72" s="995" t="str">
        <f>'Balance Sheet'!B46</f>
        <v>Tax &amp; NI</v>
      </c>
      <c r="D72" s="995"/>
      <c r="E72" s="995">
        <f>'Balance Sheet'!O46</f>
        <v>0</v>
      </c>
      <c r="F72" s="995">
        <f>'Balance Sheet'!AA46</f>
        <v>0</v>
      </c>
      <c r="G72" s="995">
        <f>'Balance Sheet'!AM46</f>
        <v>0</v>
      </c>
    </row>
    <row r="73" spans="3:7">
      <c r="C73" s="995" t="str">
        <f>'Balance Sheet'!B47</f>
        <v>Corporation Tax</v>
      </c>
      <c r="D73" s="995"/>
      <c r="E73" s="995">
        <f>'Balance Sheet'!O47</f>
        <v>0</v>
      </c>
      <c r="F73" s="995">
        <f ca="1">'Balance Sheet'!AA47</f>
        <v>-217408.81911524865</v>
      </c>
      <c r="G73" s="995">
        <f ca="1">'Balance Sheet'!AM47</f>
        <v>-765789.06424732844</v>
      </c>
    </row>
    <row r="74" spans="3:7" s="168" customFormat="1">
      <c r="C74" s="1198"/>
      <c r="D74" s="1198"/>
      <c r="E74" s="1199">
        <f>'Balance Sheet'!O48</f>
        <v>-166180.48719832674</v>
      </c>
      <c r="F74" s="1199">
        <f ca="1">'Balance Sheet'!AA48</f>
        <v>-531696.13206102815</v>
      </c>
      <c r="G74" s="1199">
        <f ca="1">'Balance Sheet'!AM48</f>
        <v>-1438319.3297866865</v>
      </c>
    </row>
    <row r="76" spans="3:7" s="168" customFormat="1">
      <c r="C76" s="1198" t="str">
        <f>'Balance Sheet'!B50</f>
        <v>NET CURRENT ASSETS</v>
      </c>
      <c r="D76" s="1198"/>
      <c r="E76" s="1199">
        <f>'Balance Sheet'!O50</f>
        <v>473716.43893760769</v>
      </c>
      <c r="F76" s="1199">
        <f ca="1">'Balance Sheet'!AA50</f>
        <v>1081300.9484708405</v>
      </c>
      <c r="G76" s="1199">
        <f ca="1">'Balance Sheet'!AM50</f>
        <v>3237813.1849330682</v>
      </c>
    </row>
    <row r="78" spans="3:7">
      <c r="C78" s="1198" t="str">
        <f>'Balance Sheet'!B52</f>
        <v>LONG TERM LIABILITIES (&gt; 1 YR)</v>
      </c>
      <c r="D78" s="995"/>
      <c r="E78" s="995"/>
      <c r="F78" s="995"/>
      <c r="G78" s="995"/>
    </row>
    <row r="79" spans="3:7">
      <c r="C79" s="995" t="str">
        <f>'Balance Sheet'!B53</f>
        <v>Bank Loans (&gt; 1 YR)</v>
      </c>
      <c r="D79" s="995"/>
      <c r="E79" s="995">
        <f>'Balance Sheet'!O53</f>
        <v>-314825.97231087403</v>
      </c>
      <c r="F79" s="995">
        <f>'Balance Sheet'!AA53</f>
        <v>-215074.49112509459</v>
      </c>
      <c r="G79" s="995">
        <f>'Balance Sheet'!AM53</f>
        <v>-110219.5348453366</v>
      </c>
    </row>
    <row r="80" spans="3:7">
      <c r="C80" s="995" t="str">
        <f>'Balance Sheet'!B54</f>
        <v>Directors' Loans</v>
      </c>
      <c r="D80" s="995"/>
      <c r="E80" s="995">
        <f>'Balance Sheet'!O54</f>
        <v>-35000</v>
      </c>
      <c r="F80" s="995">
        <f>'Balance Sheet'!AA54</f>
        <v>-30000</v>
      </c>
      <c r="G80" s="995">
        <f>'Balance Sheet'!AM54</f>
        <v>-30000</v>
      </c>
    </row>
    <row r="81" spans="3:7" s="168" customFormat="1">
      <c r="C81" s="1198"/>
      <c r="D81" s="1198"/>
      <c r="E81" s="1199">
        <f>'Balance Sheet'!O55</f>
        <v>-349825.97231087403</v>
      </c>
      <c r="F81" s="1199">
        <f>'Balance Sheet'!AA55</f>
        <v>-245074.49112509459</v>
      </c>
      <c r="G81" s="1199">
        <f>'Balance Sheet'!AM55</f>
        <v>-140219.5348453366</v>
      </c>
    </row>
    <row r="83" spans="3:7" s="168" customFormat="1">
      <c r="C83" s="1198" t="str">
        <f>'Balance Sheet'!B57</f>
        <v>NET ASSETS</v>
      </c>
      <c r="D83" s="1198"/>
      <c r="E83" s="1199">
        <f>'Balance Sheet'!O57</f>
        <v>157445.32376959082</v>
      </c>
      <c r="F83" s="1199">
        <f ca="1">'Balance Sheet'!AA57</f>
        <v>882629.74306003156</v>
      </c>
      <c r="G83" s="1199">
        <f ca="1">'Balance Sheet'!AM57</f>
        <v>3231022.9358020173</v>
      </c>
    </row>
    <row r="86" spans="3:7">
      <c r="C86" s="1198" t="str">
        <f>'Balance Sheet'!B60</f>
        <v xml:space="preserve">CAPITAL &amp; RESERVES </v>
      </c>
      <c r="D86" s="995"/>
      <c r="E86" s="995"/>
      <c r="F86" s="995"/>
      <c r="G86" s="995"/>
    </row>
    <row r="87" spans="3:7">
      <c r="C87" s="995" t="str">
        <f>'Balance Sheet'!B61</f>
        <v xml:space="preserve">Called up Share Capital </v>
      </c>
      <c r="D87" s="995"/>
      <c r="E87" s="995">
        <f>'Balance Sheet'!O61</f>
        <v>200000</v>
      </c>
      <c r="F87" s="995">
        <f>'Balance Sheet'!AA61</f>
        <v>200000</v>
      </c>
      <c r="G87" s="995">
        <f>'Balance Sheet'!AM61</f>
        <v>200000</v>
      </c>
    </row>
    <row r="88" spans="3:7">
      <c r="C88" s="995" t="str">
        <f>'Balance Sheet'!B62</f>
        <v xml:space="preserve">Revaluation Reserve </v>
      </c>
      <c r="D88" s="995"/>
      <c r="E88" s="995">
        <f>'Balance Sheet'!O62</f>
        <v>0</v>
      </c>
      <c r="F88" s="995">
        <f>'Balance Sheet'!AA62</f>
        <v>0</v>
      </c>
      <c r="G88" s="995">
        <f>'Balance Sheet'!AM62</f>
        <v>0</v>
      </c>
    </row>
    <row r="89" spans="3:7">
      <c r="C89" s="995" t="str">
        <f>'Balance Sheet'!B63</f>
        <v>Retained Earnings</v>
      </c>
      <c r="D89" s="995"/>
      <c r="E89" s="995">
        <f>'Balance Sheet'!O63</f>
        <v>-42554.676230409226</v>
      </c>
      <c r="F89" s="995">
        <f>'Balance Sheet'!AA63</f>
        <v>682629.74306003179</v>
      </c>
      <c r="G89" s="995">
        <f>'Balance Sheet'!AM63</f>
        <v>3031022.9358020173</v>
      </c>
    </row>
    <row r="91" spans="3:7" s="168" customFormat="1">
      <c r="C91" s="1198" t="str">
        <f>'Balance Sheet'!B65</f>
        <v>SHAREHOLDERS' EQUITY</v>
      </c>
      <c r="D91" s="1198"/>
      <c r="E91" s="1199">
        <f>'Balance Sheet'!O65</f>
        <v>157445.32376959076</v>
      </c>
      <c r="F91" s="1199">
        <f>'Balance Sheet'!AA65</f>
        <v>882629.74306003179</v>
      </c>
      <c r="G91" s="1199">
        <f>'Balance Sheet'!AM65</f>
        <v>3231022.9358020173</v>
      </c>
    </row>
    <row r="100" spans="3:27" s="532" customFormat="1" ht="25.8">
      <c r="C100" s="573" t="s">
        <v>109</v>
      </c>
      <c r="AA100" s="1193"/>
    </row>
    <row r="101" spans="3:27">
      <c r="C101" s="190"/>
      <c r="D101" s="24"/>
      <c r="E101" s="6"/>
      <c r="F101" s="6"/>
      <c r="G101" s="6"/>
    </row>
    <row r="102" spans="3:27" ht="11.55" customHeight="1">
      <c r="C102" s="190"/>
      <c r="D102" s="24"/>
      <c r="E102" s="6"/>
      <c r="F102" s="6"/>
      <c r="G102" s="6"/>
    </row>
    <row r="103" spans="3:27" ht="9.4499999999999993" hidden="1" customHeight="1">
      <c r="C103" s="190"/>
      <c r="D103" s="24"/>
      <c r="E103" s="6"/>
      <c r="F103" s="6"/>
      <c r="G103" s="6"/>
    </row>
    <row r="104" spans="3:27" hidden="1">
      <c r="C104" s="190"/>
      <c r="D104" s="24"/>
      <c r="E104" s="6"/>
      <c r="F104" s="6"/>
      <c r="G104" s="6"/>
    </row>
    <row r="105" spans="3:27" hidden="1">
      <c r="C105" s="190"/>
      <c r="D105" s="24"/>
      <c r="E105" s="6"/>
      <c r="F105" s="6"/>
      <c r="G105" s="6"/>
    </row>
    <row r="106" spans="3:27" hidden="1">
      <c r="C106" s="190"/>
      <c r="D106" s="24"/>
      <c r="E106" s="6"/>
      <c r="F106" s="6"/>
      <c r="G106" s="6"/>
    </row>
    <row r="107" spans="3:27" hidden="1">
      <c r="C107" s="190"/>
      <c r="D107" s="24"/>
      <c r="E107" s="6"/>
      <c r="F107" s="6"/>
      <c r="G107" s="6"/>
    </row>
    <row r="108" spans="3:27" hidden="1">
      <c r="C108" s="190"/>
      <c r="D108" s="24"/>
      <c r="E108" s="6"/>
      <c r="F108" s="6"/>
      <c r="G108" s="6"/>
    </row>
    <row r="109" spans="3:27" hidden="1">
      <c r="C109" s="190"/>
      <c r="D109" s="24"/>
      <c r="E109" s="6"/>
      <c r="F109" s="6"/>
      <c r="G109" s="6"/>
    </row>
    <row r="110" spans="3:27" hidden="1">
      <c r="C110" s="190"/>
      <c r="D110" s="24"/>
      <c r="E110" s="6"/>
      <c r="F110" s="6"/>
      <c r="G110" s="6"/>
    </row>
    <row r="111" spans="3:27" hidden="1">
      <c r="C111" s="190"/>
      <c r="D111" s="24"/>
      <c r="E111" s="6"/>
      <c r="F111" s="6"/>
      <c r="G111" s="6"/>
    </row>
    <row r="112" spans="3:27" hidden="1">
      <c r="C112" s="190"/>
      <c r="D112" s="24"/>
      <c r="E112" s="6"/>
      <c r="F112" s="6"/>
      <c r="G112" s="6"/>
    </row>
    <row r="113" spans="3:9" hidden="1">
      <c r="C113" s="190"/>
      <c r="D113" s="24"/>
      <c r="E113" s="6"/>
      <c r="F113" s="6"/>
      <c r="G113" s="6"/>
    </row>
    <row r="114" spans="3:9" hidden="1">
      <c r="C114" s="190"/>
      <c r="D114" s="24"/>
      <c r="E114" s="6"/>
      <c r="F114" s="6"/>
      <c r="G114" s="6"/>
    </row>
    <row r="115" spans="3:9" hidden="1">
      <c r="C115" s="190"/>
      <c r="D115" s="24"/>
      <c r="E115" s="6"/>
      <c r="F115" s="6"/>
      <c r="G115" s="6"/>
    </row>
    <row r="116" spans="3:9" hidden="1">
      <c r="C116" s="190"/>
      <c r="D116" s="24"/>
      <c r="E116" s="6"/>
      <c r="F116" s="6"/>
      <c r="G116" s="6"/>
    </row>
    <row r="117" spans="3:9" hidden="1">
      <c r="C117" s="190"/>
      <c r="D117" s="24"/>
      <c r="E117" s="6"/>
      <c r="F117" s="6"/>
      <c r="G117" s="6"/>
    </row>
    <row r="118" spans="3:9" hidden="1">
      <c r="C118" s="190"/>
      <c r="D118" s="24"/>
      <c r="E118" s="6"/>
      <c r="F118" s="6"/>
      <c r="G118" s="6"/>
    </row>
    <row r="119" spans="3:9" s="16" customFormat="1" ht="18">
      <c r="C119" s="229" t="s">
        <v>263</v>
      </c>
      <c r="D119" s="56"/>
      <c r="E119" s="229"/>
      <c r="F119" s="229"/>
      <c r="G119" s="229"/>
      <c r="I119" s="229"/>
    </row>
    <row r="120" spans="3:9">
      <c r="C120" s="190"/>
      <c r="D120" s="24"/>
      <c r="E120" s="6"/>
      <c r="F120" s="6"/>
      <c r="G120" s="6"/>
    </row>
    <row r="121" spans="3:9">
      <c r="C121" s="190"/>
      <c r="D121" s="47" t="s">
        <v>84</v>
      </c>
      <c r="E121" s="230">
        <f>E8</f>
        <v>2024</v>
      </c>
      <c r="F121" s="230">
        <f>F8</f>
        <v>2025</v>
      </c>
      <c r="G121" s="230">
        <f>G8</f>
        <v>2026</v>
      </c>
    </row>
    <row r="122" spans="3:9">
      <c r="C122" s="190"/>
      <c r="D122" s="47"/>
      <c r="E122" s="230"/>
      <c r="F122" s="230"/>
      <c r="G122" s="230"/>
    </row>
    <row r="123" spans="3:9">
      <c r="C123" s="1200" t="s">
        <v>264</v>
      </c>
      <c r="D123" s="1201"/>
      <c r="E123" s="995">
        <f>E91+(-E71)+(-E79)+(-E80)</f>
        <v>602167.69727879157</v>
      </c>
      <c r="F123" s="995">
        <f>F91+(-F71)+(-F79)+(-F80)</f>
        <v>1227455.7153709061</v>
      </c>
      <c r="G123" s="995">
        <f>G91+(-G71)+(-G79)+(-G80)</f>
        <v>3476097.426927112</v>
      </c>
    </row>
    <row r="124" spans="3:9">
      <c r="C124" s="6"/>
      <c r="D124" s="6"/>
      <c r="E124" s="6"/>
      <c r="F124" s="6"/>
      <c r="G124" s="6"/>
    </row>
    <row r="125" spans="3:9" s="16" customFormat="1" ht="18">
      <c r="C125" s="229" t="s">
        <v>67</v>
      </c>
      <c r="D125" s="56"/>
      <c r="E125" s="229"/>
      <c r="F125" s="229"/>
      <c r="G125" s="229"/>
      <c r="I125" s="229" t="s">
        <v>95</v>
      </c>
    </row>
    <row r="126" spans="3:9">
      <c r="C126" s="6"/>
      <c r="D126" s="24"/>
      <c r="E126" s="6"/>
      <c r="F126" s="6"/>
      <c r="G126" s="6"/>
    </row>
    <row r="127" spans="3:9">
      <c r="C127" s="24"/>
      <c r="D127" s="47" t="s">
        <v>84</v>
      </c>
      <c r="E127" s="230">
        <f>E8</f>
        <v>2024</v>
      </c>
      <c r="F127" s="230">
        <f>F8</f>
        <v>2025</v>
      </c>
      <c r="G127" s="230">
        <f>G8</f>
        <v>2026</v>
      </c>
    </row>
    <row r="128" spans="3:9">
      <c r="C128" s="6"/>
      <c r="D128" s="24"/>
      <c r="E128" s="6"/>
      <c r="F128" s="6"/>
      <c r="G128" s="6"/>
    </row>
    <row r="129" spans="3:15">
      <c r="C129" s="1201" t="s">
        <v>12</v>
      </c>
      <c r="D129" s="995"/>
      <c r="E129" s="480">
        <f>E13/E11</f>
        <v>0.60226569070628133</v>
      </c>
      <c r="F129" s="480">
        <f>F13/F11</f>
        <v>0.51167612520182426</v>
      </c>
      <c r="G129" s="480">
        <f>G13/G11</f>
        <v>0.57259431951028117</v>
      </c>
      <c r="I129" s="1315" t="s">
        <v>498</v>
      </c>
      <c r="J129" s="1315"/>
      <c r="K129" s="1315"/>
      <c r="L129" s="1315"/>
      <c r="M129" s="1315"/>
      <c r="N129" s="1315"/>
      <c r="O129" s="1315"/>
    </row>
    <row r="130" spans="3:15" ht="33.450000000000003" customHeight="1">
      <c r="C130" s="1201"/>
      <c r="D130" s="995"/>
      <c r="E130" s="480"/>
      <c r="F130" s="480"/>
      <c r="G130" s="480"/>
      <c r="I130" s="1315"/>
      <c r="J130" s="1315"/>
      <c r="K130" s="1315"/>
      <c r="L130" s="1315"/>
      <c r="M130" s="1315"/>
      <c r="N130" s="1315"/>
      <c r="O130" s="1315"/>
    </row>
    <row r="131" spans="3:15">
      <c r="C131" s="1201" t="s">
        <v>500</v>
      </c>
      <c r="D131" s="995"/>
      <c r="E131" s="480">
        <f>E29/E11</f>
        <v>-5.5329786811821055E-3</v>
      </c>
      <c r="F131" s="480">
        <f>F29/F11</f>
        <v>0.36541366639600348</v>
      </c>
      <c r="G131" s="480">
        <f>G29/G11</f>
        <v>0.43105968125765703</v>
      </c>
      <c r="I131" s="1315" t="s">
        <v>499</v>
      </c>
      <c r="J131" s="1315"/>
      <c r="K131" s="1315"/>
      <c r="L131" s="1315"/>
      <c r="M131" s="1315"/>
      <c r="N131" s="1315"/>
      <c r="O131" s="1315"/>
    </row>
    <row r="132" spans="3:15">
      <c r="C132" s="1201"/>
      <c r="D132" s="995"/>
      <c r="E132" s="480"/>
      <c r="F132" s="480"/>
      <c r="G132" s="480"/>
      <c r="I132" s="1315"/>
      <c r="J132" s="1315"/>
      <c r="K132" s="1315"/>
      <c r="L132" s="1315"/>
      <c r="M132" s="1315"/>
      <c r="N132" s="1315"/>
      <c r="O132" s="1315"/>
    </row>
    <row r="133" spans="3:15">
      <c r="C133" s="1201" t="s">
        <v>501</v>
      </c>
      <c r="D133" s="995"/>
      <c r="E133" s="480">
        <f>E32/E11</f>
        <v>-3.2286104680533681E-2</v>
      </c>
      <c r="F133" s="480">
        <f>F32/F11</f>
        <v>0.35398821076078929</v>
      </c>
      <c r="G133" s="480">
        <f>G32/G11</f>
        <v>0.41884590592688897</v>
      </c>
      <c r="I133" s="1315" t="s">
        <v>502</v>
      </c>
      <c r="J133" s="1315"/>
      <c r="K133" s="1315"/>
      <c r="L133" s="1315"/>
      <c r="M133" s="1315"/>
      <c r="N133" s="1315"/>
      <c r="O133" s="1315"/>
    </row>
    <row r="134" spans="3:15" ht="50.55" customHeight="1">
      <c r="C134" s="1201"/>
      <c r="D134" s="995"/>
      <c r="E134" s="480"/>
      <c r="F134" s="480"/>
      <c r="G134" s="480"/>
      <c r="I134" s="1315"/>
      <c r="J134" s="1315"/>
      <c r="K134" s="1315"/>
      <c r="L134" s="1315"/>
      <c r="M134" s="1315"/>
      <c r="N134" s="1315"/>
      <c r="O134" s="1315"/>
    </row>
    <row r="135" spans="3:15">
      <c r="C135" s="1201" t="s">
        <v>105</v>
      </c>
      <c r="D135" s="995"/>
      <c r="E135" s="480">
        <f>E35/E11</f>
        <v>-7.008067734862504E-2</v>
      </c>
      <c r="F135" s="480">
        <f>F35/F11</f>
        <v>0.34734597805983025</v>
      </c>
      <c r="G135" s="480">
        <f>G35/G11</f>
        <v>0.4170617896008777</v>
      </c>
      <c r="I135" s="1315" t="s">
        <v>503</v>
      </c>
      <c r="J135" s="1315"/>
      <c r="K135" s="1315"/>
      <c r="L135" s="1315"/>
      <c r="M135" s="1315"/>
      <c r="N135" s="1315"/>
      <c r="O135" s="1315"/>
    </row>
    <row r="136" spans="3:15">
      <c r="C136" s="1201"/>
      <c r="D136" s="995"/>
      <c r="E136" s="1200"/>
      <c r="F136" s="1200"/>
      <c r="G136" s="1200"/>
      <c r="I136" s="1315"/>
      <c r="J136" s="1315"/>
      <c r="K136" s="1315"/>
      <c r="L136" s="1315"/>
      <c r="M136" s="1315"/>
      <c r="N136" s="1315"/>
      <c r="O136" s="1315"/>
    </row>
    <row r="137" spans="3:15">
      <c r="C137" s="1201" t="s">
        <v>68</v>
      </c>
      <c r="D137" s="995"/>
      <c r="E137" s="1202">
        <f>E32/(E91-(E81+E71))</f>
        <v>-3.2557211131945152E-2</v>
      </c>
      <c r="F137" s="1202">
        <f>F32/(F91-(F81+F71))</f>
        <v>0.79589367407542433</v>
      </c>
      <c r="G137" s="1202">
        <f>G32/(G91-(G81+G71))</f>
        <v>0.91011781003626546</v>
      </c>
      <c r="I137" s="1315" t="s">
        <v>550</v>
      </c>
      <c r="J137" s="1315"/>
      <c r="K137" s="1315"/>
      <c r="L137" s="1315"/>
      <c r="M137" s="1315"/>
      <c r="N137" s="1315"/>
      <c r="O137" s="1315"/>
    </row>
    <row r="138" spans="3:15">
      <c r="C138" s="1200"/>
      <c r="D138" s="1201"/>
      <c r="E138" s="1203"/>
      <c r="F138" s="1203"/>
      <c r="G138" s="1203"/>
      <c r="I138" s="1315"/>
      <c r="J138" s="1315"/>
      <c r="K138" s="1315"/>
      <c r="L138" s="1315"/>
      <c r="M138" s="1315"/>
      <c r="N138" s="1315"/>
      <c r="O138" s="1315"/>
    </row>
    <row r="139" spans="3:15">
      <c r="C139" s="1201" t="s">
        <v>96</v>
      </c>
      <c r="D139" s="1201"/>
      <c r="E139" s="1202">
        <f>E38/E91</f>
        <v>-0.27028224917422605</v>
      </c>
      <c r="F139" s="1202">
        <f t="shared" ref="F139:G139" si="3">F38/F91</f>
        <v>0.83974557295202046</v>
      </c>
      <c r="G139" s="1202">
        <f t="shared" si="3"/>
        <v>0.7379685134145052</v>
      </c>
      <c r="I139" s="1315" t="s">
        <v>504</v>
      </c>
      <c r="J139" s="1315"/>
      <c r="K139" s="1315"/>
      <c r="L139" s="1315"/>
      <c r="M139" s="1315"/>
      <c r="N139" s="1315"/>
      <c r="O139" s="1315"/>
    </row>
    <row r="140" spans="3:15">
      <c r="C140" s="1200"/>
      <c r="D140" s="1201"/>
      <c r="E140" s="1200"/>
      <c r="F140" s="1200"/>
      <c r="G140" s="1200"/>
      <c r="I140" s="1315"/>
      <c r="J140" s="1315"/>
      <c r="K140" s="1315"/>
      <c r="L140" s="1315"/>
      <c r="M140" s="1315"/>
      <c r="N140" s="1315"/>
      <c r="O140" s="1315"/>
    </row>
    <row r="141" spans="3:15">
      <c r="C141" s="6"/>
      <c r="D141" s="24"/>
      <c r="E141" s="25"/>
      <c r="F141" s="25"/>
      <c r="G141" s="25"/>
      <c r="I141" s="661"/>
      <c r="J141" s="661"/>
      <c r="K141" s="661"/>
      <c r="L141" s="661"/>
      <c r="M141" s="661"/>
      <c r="N141" s="661"/>
      <c r="O141" s="661"/>
    </row>
    <row r="142" spans="3:15">
      <c r="C142" s="6"/>
      <c r="D142" s="24"/>
      <c r="E142" s="6"/>
      <c r="F142" s="6"/>
      <c r="G142" s="6"/>
      <c r="I142" s="593"/>
      <c r="J142" s="593"/>
      <c r="K142" s="593"/>
      <c r="L142" s="593"/>
      <c r="M142" s="593"/>
      <c r="N142" s="593"/>
      <c r="O142" s="593"/>
    </row>
    <row r="143" spans="3:15" s="16" customFormat="1" ht="18">
      <c r="C143" s="229" t="s">
        <v>70</v>
      </c>
      <c r="D143" s="56"/>
      <c r="E143" s="229"/>
      <c r="F143" s="229"/>
      <c r="G143" s="229"/>
      <c r="I143" s="801" t="s">
        <v>95</v>
      </c>
      <c r="J143" s="802"/>
      <c r="K143" s="802"/>
      <c r="L143" s="802"/>
      <c r="M143" s="802"/>
      <c r="N143" s="802"/>
      <c r="O143" s="802"/>
    </row>
    <row r="144" spans="3:15" ht="18">
      <c r="C144" s="231"/>
      <c r="D144" s="232"/>
      <c r="E144" s="231"/>
      <c r="F144" s="231"/>
      <c r="G144" s="231"/>
      <c r="I144" s="593"/>
      <c r="J144" s="593"/>
      <c r="K144" s="593"/>
      <c r="L144" s="593"/>
      <c r="M144" s="593"/>
      <c r="N144" s="593"/>
      <c r="O144" s="593"/>
    </row>
    <row r="145" spans="1:15">
      <c r="C145" s="24"/>
      <c r="D145" s="233" t="s">
        <v>33</v>
      </c>
      <c r="E145" s="142">
        <f>E53</f>
        <v>45627</v>
      </c>
      <c r="F145" s="142">
        <f>F53</f>
        <v>45992</v>
      </c>
      <c r="G145" s="142">
        <f>G53</f>
        <v>46357.899999999994</v>
      </c>
      <c r="I145" s="593"/>
      <c r="J145" s="593"/>
      <c r="K145" s="593"/>
      <c r="L145" s="593"/>
      <c r="M145" s="593"/>
      <c r="N145" s="593"/>
      <c r="O145" s="593"/>
    </row>
    <row r="146" spans="1:15">
      <c r="C146" s="1200"/>
      <c r="D146" s="1201"/>
      <c r="E146" s="1200"/>
      <c r="F146" s="1200"/>
      <c r="G146" s="1200"/>
      <c r="I146" s="593"/>
      <c r="J146" s="593"/>
      <c r="K146" s="593"/>
      <c r="L146" s="593"/>
      <c r="M146" s="593"/>
      <c r="N146" s="593"/>
      <c r="O146" s="593"/>
    </row>
    <row r="147" spans="1:15">
      <c r="C147" s="1201" t="s">
        <v>69</v>
      </c>
      <c r="D147" s="995"/>
      <c r="E147" s="1204">
        <f>-(E71+E79+E80)/E91</f>
        <v>2.8246146843968392</v>
      </c>
      <c r="F147" s="1204">
        <f>-(F71+F79+F80)/F91</f>
        <v>0.39068020879896959</v>
      </c>
      <c r="G147" s="1204">
        <f>-(G71+G79+G80)/G91</f>
        <v>7.5850433746382936E-2</v>
      </c>
      <c r="I147" s="1315" t="s">
        <v>505</v>
      </c>
      <c r="J147" s="1315"/>
      <c r="K147" s="1315"/>
      <c r="L147" s="1315"/>
      <c r="M147" s="1315"/>
      <c r="N147" s="1315"/>
      <c r="O147" s="1315"/>
    </row>
    <row r="148" spans="1:15">
      <c r="C148" s="1201"/>
      <c r="D148" s="995"/>
      <c r="E148" s="1200"/>
      <c r="F148" s="1200"/>
      <c r="G148" s="1200"/>
      <c r="I148" s="1315"/>
      <c r="J148" s="1315"/>
      <c r="K148" s="1315"/>
      <c r="L148" s="1315"/>
      <c r="M148" s="1315"/>
      <c r="N148" s="1315"/>
      <c r="O148" s="1315"/>
    </row>
    <row r="149" spans="1:15">
      <c r="C149" s="1201" t="s">
        <v>71</v>
      </c>
      <c r="D149" s="995"/>
      <c r="E149" s="1205">
        <f>E32/-E34</f>
        <v>-0.85425240719262574</v>
      </c>
      <c r="F149" s="1205">
        <f>F32/-F34</f>
        <v>53.293557557789327</v>
      </c>
      <c r="G149" s="1205">
        <f>G32/-G34</f>
        <v>234.76378743941711</v>
      </c>
      <c r="I149" s="1315" t="s">
        <v>506</v>
      </c>
      <c r="J149" s="1315"/>
      <c r="K149" s="1315"/>
      <c r="L149" s="1315"/>
      <c r="M149" s="1315"/>
      <c r="N149" s="1315"/>
      <c r="O149" s="1315"/>
    </row>
    <row r="150" spans="1:15" ht="34.200000000000003" customHeight="1">
      <c r="C150" s="6"/>
      <c r="D150" s="24"/>
      <c r="E150" s="6"/>
      <c r="F150" s="6"/>
      <c r="G150" s="6"/>
      <c r="I150" s="1315"/>
      <c r="J150" s="1315"/>
      <c r="K150" s="1315"/>
      <c r="L150" s="1315"/>
      <c r="M150" s="1315"/>
      <c r="N150" s="1315"/>
      <c r="O150" s="1315"/>
    </row>
    <row r="151" spans="1:15">
      <c r="C151" s="6"/>
      <c r="D151" s="24"/>
      <c r="E151" s="6"/>
      <c r="F151" s="6"/>
      <c r="G151" s="6"/>
      <c r="I151" s="593"/>
      <c r="J151" s="593"/>
      <c r="K151" s="593"/>
      <c r="L151" s="593"/>
      <c r="M151" s="593"/>
      <c r="N151" s="593"/>
      <c r="O151" s="593"/>
    </row>
    <row r="152" spans="1:15">
      <c r="C152" s="6"/>
      <c r="D152" s="24"/>
      <c r="E152" s="6"/>
      <c r="F152" s="6"/>
      <c r="G152" s="6"/>
      <c r="I152" s="593"/>
      <c r="J152" s="593"/>
      <c r="K152" s="593"/>
      <c r="L152" s="593"/>
      <c r="M152" s="593"/>
      <c r="N152" s="593"/>
      <c r="O152" s="593"/>
    </row>
    <row r="153" spans="1:15" s="16" customFormat="1" ht="18">
      <c r="C153" s="229" t="s">
        <v>72</v>
      </c>
      <c r="D153" s="56"/>
      <c r="E153" s="229"/>
      <c r="F153" s="229"/>
      <c r="G153" s="229"/>
      <c r="I153" s="801" t="s">
        <v>95</v>
      </c>
      <c r="J153" s="802"/>
      <c r="K153" s="802"/>
      <c r="L153" s="802"/>
      <c r="M153" s="802"/>
      <c r="N153" s="802"/>
      <c r="O153" s="802"/>
    </row>
    <row r="154" spans="1:15">
      <c r="C154" s="6"/>
      <c r="D154" s="24"/>
      <c r="E154" s="6"/>
      <c r="F154" s="6"/>
      <c r="G154" s="6"/>
      <c r="I154" s="593"/>
      <c r="J154" s="593"/>
      <c r="K154" s="593"/>
      <c r="L154" s="593"/>
      <c r="M154" s="593"/>
      <c r="N154" s="593"/>
      <c r="O154" s="593"/>
    </row>
    <row r="155" spans="1:15">
      <c r="A155" s="168"/>
      <c r="C155" s="142"/>
      <c r="D155" s="233" t="s">
        <v>33</v>
      </c>
      <c r="E155" s="142">
        <f>E53</f>
        <v>45627</v>
      </c>
      <c r="F155" s="142">
        <f>F53</f>
        <v>45992</v>
      </c>
      <c r="G155" s="142">
        <f>G53</f>
        <v>46357.899999999994</v>
      </c>
      <c r="I155" s="593"/>
      <c r="J155" s="593"/>
      <c r="K155" s="593"/>
      <c r="L155" s="593"/>
      <c r="M155" s="593"/>
      <c r="N155" s="593"/>
      <c r="O155" s="593"/>
    </row>
    <row r="156" spans="1:15">
      <c r="C156" s="6"/>
      <c r="E156" s="6"/>
      <c r="F156" s="6"/>
      <c r="G156" s="6"/>
      <c r="I156" s="593"/>
      <c r="J156" s="593"/>
      <c r="K156" s="593"/>
      <c r="L156" s="593"/>
      <c r="M156" s="593"/>
      <c r="N156" s="593"/>
      <c r="O156" s="593"/>
    </row>
    <row r="157" spans="1:15">
      <c r="C157" s="1201" t="s">
        <v>73</v>
      </c>
      <c r="D157" s="1201"/>
      <c r="E157" s="1204">
        <f>-E66/E74</f>
        <v>3.8506140938933142</v>
      </c>
      <c r="F157" s="1204">
        <f ca="1">-F66/F74</f>
        <v>3.033682179103625</v>
      </c>
      <c r="G157" s="1204">
        <f ca="1">-G66/G74</f>
        <v>3.2511087196563366</v>
      </c>
      <c r="I157" s="1315" t="s">
        <v>507</v>
      </c>
      <c r="J157" s="1315"/>
      <c r="K157" s="1315"/>
      <c r="L157" s="1315"/>
      <c r="M157" s="1315"/>
      <c r="N157" s="1315"/>
      <c r="O157" s="1315"/>
    </row>
    <row r="158" spans="1:15" ht="34.799999999999997" customHeight="1">
      <c r="C158" s="1201"/>
      <c r="D158" s="995"/>
      <c r="E158" s="1204"/>
      <c r="F158" s="1204"/>
      <c r="G158" s="1204"/>
      <c r="I158" s="1315"/>
      <c r="J158" s="1315"/>
      <c r="K158" s="1315"/>
      <c r="L158" s="1315"/>
      <c r="M158" s="1315"/>
      <c r="N158" s="1315"/>
      <c r="O158" s="1315"/>
    </row>
    <row r="159" spans="1:15">
      <c r="C159" s="1201" t="s">
        <v>74</v>
      </c>
      <c r="D159" s="995"/>
      <c r="E159" s="1206">
        <f>(E66-E62-E64)/-E74</f>
        <v>3.1574412554810323</v>
      </c>
      <c r="F159" s="1206">
        <f ca="1">(F66-F62-F64)/-F74</f>
        <v>2.2363726738478262</v>
      </c>
      <c r="G159" s="1206">
        <f ca="1">(G66-G62-G64)/-G74</f>
        <v>2.1256090943123009</v>
      </c>
      <c r="I159" s="1315" t="s">
        <v>508</v>
      </c>
      <c r="J159" s="1315"/>
      <c r="K159" s="1315"/>
      <c r="L159" s="1315"/>
      <c r="M159" s="1315"/>
      <c r="N159" s="1315"/>
      <c r="O159" s="1315"/>
    </row>
    <row r="160" spans="1:15">
      <c r="C160" s="1200"/>
      <c r="D160" s="1201"/>
      <c r="E160" s="1200"/>
      <c r="F160" s="1200"/>
      <c r="G160" s="1200"/>
      <c r="I160" s="1315"/>
      <c r="J160" s="1315"/>
      <c r="K160" s="1315"/>
      <c r="L160" s="1315"/>
      <c r="M160" s="1315"/>
      <c r="N160" s="1315"/>
      <c r="O160" s="1315"/>
    </row>
    <row r="161" spans="3:15">
      <c r="C161" s="6"/>
      <c r="D161" s="24"/>
      <c r="E161" s="6"/>
      <c r="F161" s="6"/>
      <c r="G161" s="6"/>
      <c r="I161" s="593"/>
      <c r="J161" s="593"/>
      <c r="K161" s="593"/>
      <c r="L161" s="593"/>
      <c r="M161" s="593"/>
      <c r="N161" s="593"/>
      <c r="O161" s="593"/>
    </row>
    <row r="162" spans="3:15">
      <c r="C162" s="6"/>
      <c r="D162" s="24"/>
      <c r="E162" s="6"/>
      <c r="F162" s="6"/>
      <c r="G162" s="6"/>
      <c r="I162" s="593"/>
      <c r="J162" s="593"/>
      <c r="K162" s="593"/>
      <c r="L162" s="593"/>
      <c r="M162" s="593"/>
      <c r="N162" s="593"/>
      <c r="O162" s="593"/>
    </row>
    <row r="163" spans="3:15" s="16" customFormat="1" ht="18">
      <c r="C163" s="229" t="s">
        <v>75</v>
      </c>
      <c r="D163" s="56"/>
      <c r="E163" s="229"/>
      <c r="F163" s="229"/>
      <c r="G163" s="229"/>
      <c r="I163" s="801" t="s">
        <v>95</v>
      </c>
      <c r="J163" s="802"/>
      <c r="K163" s="802"/>
      <c r="L163" s="802"/>
      <c r="M163" s="802"/>
      <c r="N163" s="802"/>
      <c r="O163" s="802"/>
    </row>
    <row r="164" spans="3:15">
      <c r="C164" s="6"/>
      <c r="D164" s="24"/>
      <c r="E164" s="6"/>
      <c r="F164" s="6"/>
      <c r="G164" s="6"/>
      <c r="I164" s="593"/>
      <c r="J164" s="593"/>
      <c r="K164" s="593"/>
      <c r="L164" s="593"/>
      <c r="M164" s="593"/>
      <c r="N164" s="593"/>
      <c r="O164" s="593"/>
    </row>
    <row r="165" spans="3:15">
      <c r="C165" s="142"/>
      <c r="D165" s="47" t="s">
        <v>84</v>
      </c>
      <c r="E165" s="234">
        <f t="shared" ref="E165:G165" si="4">E127</f>
        <v>2024</v>
      </c>
      <c r="F165" s="234">
        <f t="shared" si="4"/>
        <v>2025</v>
      </c>
      <c r="G165" s="234">
        <f t="shared" si="4"/>
        <v>2026</v>
      </c>
      <c r="I165" s="593"/>
      <c r="J165" s="593"/>
      <c r="K165" s="593"/>
      <c r="L165" s="593"/>
      <c r="M165" s="593"/>
      <c r="N165" s="593"/>
      <c r="O165" s="593"/>
    </row>
    <row r="166" spans="3:15">
      <c r="C166" s="6"/>
      <c r="D166" s="24"/>
      <c r="E166" s="6"/>
      <c r="F166" s="6"/>
      <c r="G166" s="6"/>
      <c r="I166" s="593"/>
      <c r="J166" s="593"/>
      <c r="K166" s="593"/>
      <c r="L166" s="593"/>
      <c r="M166" s="593"/>
      <c r="N166" s="593"/>
      <c r="O166" s="593"/>
    </row>
    <row r="167" spans="3:15">
      <c r="C167" s="1201" t="s">
        <v>76</v>
      </c>
      <c r="D167" s="995"/>
      <c r="E167" s="1207">
        <f>-(SUM('Balance Sheet'!D36:O36)/12)/(E12/365)</f>
        <v>86.322534129697857</v>
      </c>
      <c r="F167" s="1207">
        <f>-(SUM('Balance Sheet'!P36:AA36)/12)/(F12/365)</f>
        <v>67.440118319329628</v>
      </c>
      <c r="G167" s="1207">
        <f>-(SUM('Balance Sheet'!AB36:AM36)/12)/(G12/365)</f>
        <v>90.201805577652436</v>
      </c>
      <c r="I167" s="1315" t="s">
        <v>509</v>
      </c>
      <c r="J167" s="1315"/>
      <c r="K167" s="1315"/>
      <c r="L167" s="1315"/>
      <c r="M167" s="1315"/>
      <c r="N167" s="1315"/>
      <c r="O167" s="1315"/>
    </row>
    <row r="168" spans="3:15" ht="48.45" customHeight="1">
      <c r="C168" s="1201"/>
      <c r="D168" s="995"/>
      <c r="E168" s="1208"/>
      <c r="F168" s="1208"/>
      <c r="G168" s="1208"/>
      <c r="I168" s="1315"/>
      <c r="J168" s="1315"/>
      <c r="K168" s="1315"/>
      <c r="L168" s="1315"/>
      <c r="M168" s="1315"/>
      <c r="N168" s="1315"/>
      <c r="O168" s="1315"/>
    </row>
    <row r="169" spans="3:15">
      <c r="C169" s="1201" t="s">
        <v>77</v>
      </c>
      <c r="D169" s="995"/>
      <c r="E169" s="1207">
        <f>365/E167</f>
        <v>4.2283281379528885</v>
      </c>
      <c r="F169" s="1207">
        <f t="shared" ref="F169:G169" si="5">365/F167</f>
        <v>5.4122087727029387</v>
      </c>
      <c r="G169" s="1207">
        <f t="shared" si="5"/>
        <v>4.0464821924853913</v>
      </c>
      <c r="I169" s="1315" t="s">
        <v>510</v>
      </c>
      <c r="J169" s="1315"/>
      <c r="K169" s="1315"/>
      <c r="L169" s="1315"/>
      <c r="M169" s="1315"/>
      <c r="N169" s="1315"/>
      <c r="O169" s="1315"/>
    </row>
    <row r="170" spans="3:15">
      <c r="C170" s="1201"/>
      <c r="D170" s="995"/>
      <c r="E170" s="1208"/>
      <c r="F170" s="1208"/>
      <c r="G170" s="1208"/>
      <c r="I170" s="1315"/>
      <c r="J170" s="1315"/>
      <c r="K170" s="1315"/>
      <c r="L170" s="1315"/>
      <c r="M170" s="1315"/>
      <c r="N170" s="1315"/>
      <c r="O170" s="1315"/>
    </row>
    <row r="171" spans="3:15">
      <c r="C171" s="1201" t="s">
        <v>78</v>
      </c>
      <c r="D171" s="995"/>
      <c r="E171" s="1207">
        <f>((SUM('Balance Sheet'!D37:O37)/12)/1.2)/('Ratio Analysis and Graphs'!E11/365)</f>
        <v>30.416666666666668</v>
      </c>
      <c r="F171" s="1207">
        <f>((SUM('Balance Sheet'!P37:AA37)/12)/1.2)/('Ratio Analysis and Graphs'!F11/365)</f>
        <v>30.416666666666668</v>
      </c>
      <c r="G171" s="1207">
        <f>((SUM('Balance Sheet'!AB37:AM37)/12)/1.2)/('Ratio Analysis and Graphs'!G11/365)</f>
        <v>30.416666666666664</v>
      </c>
      <c r="I171" s="1315" t="s">
        <v>517</v>
      </c>
      <c r="J171" s="1315"/>
      <c r="K171" s="1315"/>
      <c r="L171" s="1315"/>
      <c r="M171" s="1315"/>
      <c r="N171" s="1315"/>
      <c r="O171" s="1315"/>
    </row>
    <row r="172" spans="3:15" ht="27.45" customHeight="1">
      <c r="C172" s="1201"/>
      <c r="D172" s="995"/>
      <c r="E172" s="1207"/>
      <c r="F172" s="1207"/>
      <c r="G172" s="1207"/>
      <c r="I172" s="1315"/>
      <c r="J172" s="1315"/>
      <c r="K172" s="1315"/>
      <c r="L172" s="1315"/>
      <c r="M172" s="1315"/>
      <c r="N172" s="1315"/>
      <c r="O172" s="1315"/>
    </row>
    <row r="173" spans="3:15">
      <c r="C173" s="1201" t="s">
        <v>90</v>
      </c>
      <c r="D173" s="995"/>
      <c r="E173" s="1209">
        <f>(((SUM('Balance Sheet'!D43:O43))/12)/1.2)/('Ratio Analysis and Graphs'!E12/365)</f>
        <v>55.419260122631215</v>
      </c>
      <c r="F173" s="1209">
        <f>(((SUM('Balance Sheet'!E43:P43))/12)/1.2)/('Ratio Analysis and Graphs'!F12/365)</f>
        <v>9.3346676290701325</v>
      </c>
      <c r="G173" s="1209">
        <f>(((SUM('Balance Sheet'!F43:Q43))/12)/1.2)/('Ratio Analysis and Graphs'!G12/365)</f>
        <v>3.7166304379794299</v>
      </c>
      <c r="I173" s="1316" t="s">
        <v>516</v>
      </c>
      <c r="J173" s="1317"/>
      <c r="K173" s="1317"/>
      <c r="L173" s="1317"/>
      <c r="M173" s="1317"/>
      <c r="N173" s="1317"/>
      <c r="O173" s="1318"/>
    </row>
    <row r="174" spans="3:15">
      <c r="C174" s="1201"/>
      <c r="D174" s="995"/>
      <c r="E174" s="1209"/>
      <c r="F174" s="1209"/>
      <c r="G174" s="1209"/>
      <c r="I174" s="1319"/>
      <c r="J174" s="1320"/>
      <c r="K174" s="1320"/>
      <c r="L174" s="1320"/>
      <c r="M174" s="1320"/>
      <c r="N174" s="1320"/>
      <c r="O174" s="1321"/>
    </row>
    <row r="175" spans="3:15">
      <c r="C175" s="1201" t="s">
        <v>518</v>
      </c>
      <c r="D175" s="995"/>
      <c r="E175" s="1209">
        <f>E167+E171-E173</f>
        <v>61.319940673733313</v>
      </c>
      <c r="F175" s="1209">
        <f t="shared" ref="F175:G175" si="6">F167+F171-F173</f>
        <v>88.522117356926174</v>
      </c>
      <c r="G175" s="1209">
        <f t="shared" si="6"/>
        <v>116.90184180633966</v>
      </c>
      <c r="I175" s="1316" t="s">
        <v>519</v>
      </c>
      <c r="J175" s="1317"/>
      <c r="K175" s="1317"/>
      <c r="L175" s="1317"/>
      <c r="M175" s="1317"/>
      <c r="N175" s="1317"/>
      <c r="O175" s="1318"/>
    </row>
    <row r="176" spans="3:15">
      <c r="C176" s="1201"/>
      <c r="D176" s="995"/>
      <c r="E176" s="1207"/>
      <c r="F176" s="1207"/>
      <c r="G176" s="1207"/>
      <c r="I176" s="1319"/>
      <c r="J176" s="1320"/>
      <c r="K176" s="1320"/>
      <c r="L176" s="1320"/>
      <c r="M176" s="1320"/>
      <c r="N176" s="1320"/>
      <c r="O176" s="1321"/>
    </row>
    <row r="177" spans="3:15">
      <c r="C177" s="1201" t="s">
        <v>91</v>
      </c>
      <c r="D177" s="995"/>
      <c r="E177" s="1209">
        <f>E11/E123</f>
        <v>1.0083970009418612</v>
      </c>
      <c r="F177" s="1209">
        <f>F11/F123</f>
        <v>2.2483620919603351</v>
      </c>
      <c r="G177" s="1209">
        <f>G11/G123</f>
        <v>2.1729180043486678</v>
      </c>
      <c r="I177" s="1315" t="s">
        <v>511</v>
      </c>
      <c r="J177" s="1315"/>
      <c r="K177" s="1315"/>
      <c r="L177" s="1315"/>
      <c r="M177" s="1315"/>
      <c r="N177" s="1315"/>
      <c r="O177" s="1315"/>
    </row>
    <row r="178" spans="3:15">
      <c r="C178" s="1200"/>
      <c r="D178" s="1201"/>
      <c r="E178" s="501"/>
      <c r="F178" s="1200"/>
      <c r="G178" s="1200"/>
      <c r="I178" s="1315"/>
      <c r="J178" s="1315"/>
      <c r="K178" s="1315"/>
      <c r="L178" s="1315"/>
      <c r="M178" s="1315"/>
      <c r="N178" s="1315"/>
      <c r="O178" s="1315"/>
    </row>
    <row r="179" spans="3:15">
      <c r="C179" s="6"/>
      <c r="D179" s="24"/>
      <c r="E179" s="6"/>
      <c r="F179" s="6"/>
      <c r="G179" s="6"/>
      <c r="I179" s="593"/>
      <c r="J179" s="593"/>
      <c r="K179" s="593"/>
      <c r="L179" s="593"/>
      <c r="M179" s="593"/>
      <c r="N179" s="593"/>
      <c r="O179" s="593"/>
    </row>
    <row r="180" spans="3:15">
      <c r="C180" s="6"/>
      <c r="D180" s="24"/>
      <c r="E180" s="6"/>
      <c r="F180" s="6"/>
      <c r="G180" s="6"/>
      <c r="I180" s="593"/>
      <c r="J180" s="593"/>
      <c r="K180" s="593"/>
      <c r="L180" s="593"/>
      <c r="M180" s="593"/>
      <c r="N180" s="593"/>
      <c r="O180" s="593"/>
    </row>
    <row r="181" spans="3:15" s="16" customFormat="1" ht="18">
      <c r="C181" s="229" t="s">
        <v>79</v>
      </c>
      <c r="D181" s="56"/>
      <c r="E181" s="229"/>
      <c r="F181" s="229"/>
      <c r="G181" s="229"/>
      <c r="I181" s="801" t="s">
        <v>95</v>
      </c>
      <c r="J181" s="802"/>
      <c r="K181" s="802"/>
      <c r="L181" s="802"/>
      <c r="M181" s="802"/>
      <c r="N181" s="802"/>
      <c r="O181" s="802"/>
    </row>
    <row r="182" spans="3:15">
      <c r="C182" s="6"/>
      <c r="D182" s="24"/>
      <c r="E182" s="6"/>
      <c r="F182" s="6"/>
      <c r="G182" s="6"/>
      <c r="I182" s="593"/>
      <c r="J182" s="593"/>
      <c r="K182" s="593"/>
      <c r="L182" s="593"/>
      <c r="M182" s="593"/>
      <c r="N182" s="593"/>
      <c r="O182" s="593"/>
    </row>
    <row r="183" spans="3:15">
      <c r="C183" s="24"/>
      <c r="D183" s="47" t="s">
        <v>84</v>
      </c>
      <c r="E183" s="230">
        <f>E8</f>
        <v>2024</v>
      </c>
      <c r="F183" s="230">
        <f>F8</f>
        <v>2025</v>
      </c>
      <c r="G183" s="230">
        <f>G8</f>
        <v>2026</v>
      </c>
      <c r="I183" s="593"/>
      <c r="J183" s="593"/>
      <c r="K183" s="593"/>
      <c r="L183" s="593"/>
      <c r="M183" s="593"/>
      <c r="N183" s="593"/>
      <c r="O183" s="593"/>
    </row>
    <row r="184" spans="3:15" ht="20.55" customHeight="1">
      <c r="C184" s="6"/>
      <c r="D184" s="24"/>
      <c r="E184" s="6"/>
      <c r="F184" s="6"/>
      <c r="G184" s="6"/>
      <c r="I184" s="593"/>
      <c r="J184" s="593"/>
      <c r="K184" s="593"/>
      <c r="L184" s="593"/>
      <c r="M184" s="593"/>
      <c r="N184" s="593"/>
      <c r="O184" s="593"/>
    </row>
    <row r="185" spans="3:15" ht="19.2" customHeight="1">
      <c r="C185" s="1201" t="s">
        <v>80</v>
      </c>
      <c r="D185" s="995"/>
      <c r="E185" s="999">
        <f>E11/E199</f>
        <v>60722.409999999996</v>
      </c>
      <c r="F185" s="999">
        <f>F11/F199</f>
        <v>250887.71818181817</v>
      </c>
      <c r="G185" s="999">
        <f>G11/G199</f>
        <v>228887.11163151514</v>
      </c>
      <c r="I185" s="1315" t="s">
        <v>513</v>
      </c>
      <c r="J185" s="1315"/>
      <c r="K185" s="1315"/>
      <c r="L185" s="1315"/>
      <c r="M185" s="1315"/>
      <c r="N185" s="1315"/>
      <c r="O185" s="1315"/>
    </row>
    <row r="186" spans="3:15" ht="30.45" customHeight="1">
      <c r="C186" s="1200"/>
      <c r="D186" s="995"/>
      <c r="E186" s="999"/>
      <c r="F186" s="999"/>
      <c r="G186" s="999"/>
      <c r="I186" s="1315"/>
      <c r="J186" s="1315"/>
      <c r="K186" s="1315"/>
      <c r="L186" s="1315"/>
      <c r="M186" s="1315"/>
      <c r="N186" s="1315"/>
      <c r="O186" s="1315"/>
    </row>
    <row r="187" spans="3:15" ht="20.55" customHeight="1">
      <c r="C187" s="1201" t="s">
        <v>245</v>
      </c>
      <c r="D187" s="995"/>
      <c r="E187" s="999">
        <f>E35/E199</f>
        <v>-4255.4676230409223</v>
      </c>
      <c r="F187" s="999">
        <f>F35/F199</f>
        <v>87144.839855062688</v>
      </c>
      <c r="G187" s="999">
        <f>G35/G199</f>
        <v>95460.068393615584</v>
      </c>
      <c r="I187" s="1315" t="s">
        <v>512</v>
      </c>
      <c r="J187" s="1315"/>
      <c r="K187" s="1315"/>
      <c r="L187" s="1315"/>
      <c r="M187" s="1315"/>
      <c r="N187" s="1315"/>
      <c r="O187" s="1315"/>
    </row>
    <row r="188" spans="3:15" ht="41.55" customHeight="1">
      <c r="C188" s="1201"/>
      <c r="D188" s="995"/>
      <c r="E188" s="1200"/>
      <c r="F188" s="1200"/>
      <c r="G188" s="1200"/>
      <c r="I188" s="1315"/>
      <c r="J188" s="1315"/>
      <c r="K188" s="1315"/>
      <c r="L188" s="1315"/>
      <c r="M188" s="1315"/>
      <c r="N188" s="1315"/>
      <c r="O188" s="1315"/>
    </row>
    <row r="189" spans="3:15">
      <c r="C189" s="1201" t="s">
        <v>92</v>
      </c>
      <c r="D189" s="995"/>
      <c r="E189" s="1210">
        <f>E38/E196</f>
        <v>-0.42554676230409227</v>
      </c>
      <c r="F189" s="1210">
        <f>F38/F196</f>
        <v>3.7059220964522051</v>
      </c>
      <c r="G189" s="1210">
        <f>G38/G196</f>
        <v>7.9479773091399499</v>
      </c>
      <c r="I189" s="1315" t="s">
        <v>514</v>
      </c>
      <c r="J189" s="1315"/>
      <c r="K189" s="1315"/>
      <c r="L189" s="1315"/>
      <c r="M189" s="1315"/>
      <c r="N189" s="1315"/>
      <c r="O189" s="1315"/>
    </row>
    <row r="190" spans="3:15">
      <c r="C190" s="1200"/>
      <c r="D190" s="1201"/>
      <c r="E190" s="1200"/>
      <c r="F190" s="1200"/>
      <c r="G190" s="1200"/>
      <c r="I190" s="1315"/>
      <c r="J190" s="1315"/>
      <c r="K190" s="1315"/>
      <c r="L190" s="1315"/>
      <c r="M190" s="1315"/>
      <c r="N190" s="1315"/>
      <c r="O190" s="1315"/>
    </row>
    <row r="191" spans="3:15">
      <c r="C191" s="1201" t="s">
        <v>93</v>
      </c>
      <c r="D191" s="1201"/>
      <c r="E191" s="1211">
        <f>E197/E189</f>
        <v>-1.1749590040182329</v>
      </c>
      <c r="F191" s="1211">
        <f t="shared" ref="F191:G191" si="7">F197/F189</f>
        <v>0.53967675195187248</v>
      </c>
      <c r="G191" s="1211">
        <f t="shared" si="7"/>
        <v>0.6290908750142179</v>
      </c>
      <c r="I191" s="1315" t="s">
        <v>515</v>
      </c>
      <c r="J191" s="1315"/>
      <c r="K191" s="1315"/>
      <c r="L191" s="1315"/>
      <c r="M191" s="1315"/>
      <c r="N191" s="1315"/>
      <c r="O191" s="1315"/>
    </row>
    <row r="192" spans="3:15">
      <c r="C192" s="995"/>
      <c r="D192" s="995"/>
      <c r="E192" s="995"/>
      <c r="F192" s="995"/>
      <c r="G192" s="995"/>
      <c r="I192" s="1315"/>
      <c r="J192" s="1315"/>
      <c r="K192" s="1315"/>
      <c r="L192" s="1315"/>
      <c r="M192" s="1315"/>
      <c r="N192" s="1315"/>
      <c r="O192" s="1315"/>
    </row>
    <row r="193" spans="2:43">
      <c r="C193" s="168"/>
    </row>
    <row r="194" spans="2:43" s="16" customFormat="1" ht="18">
      <c r="C194" s="229" t="s">
        <v>61</v>
      </c>
      <c r="D194" s="56"/>
      <c r="E194" s="229"/>
      <c r="F194" s="229"/>
      <c r="G194" s="229"/>
    </row>
    <row r="196" spans="2:43">
      <c r="C196" s="995" t="s">
        <v>94</v>
      </c>
      <c r="D196" s="995"/>
      <c r="E196" s="235">
        <v>100000</v>
      </c>
      <c r="F196" s="235">
        <v>200000</v>
      </c>
      <c r="G196" s="235">
        <v>300000</v>
      </c>
    </row>
    <row r="197" spans="2:43">
      <c r="C197" s="995" t="s">
        <v>290</v>
      </c>
      <c r="D197" s="995"/>
      <c r="E197" s="236">
        <v>0.5</v>
      </c>
      <c r="F197" s="236">
        <v>2</v>
      </c>
      <c r="G197" s="236">
        <v>5</v>
      </c>
    </row>
    <row r="198" spans="2:43">
      <c r="C198" s="995"/>
      <c r="D198" s="995"/>
      <c r="E198" s="1212"/>
      <c r="F198" s="1212"/>
      <c r="G198" s="1212"/>
    </row>
    <row r="199" spans="2:43">
      <c r="C199" s="995" t="s">
        <v>244</v>
      </c>
      <c r="D199" s="995"/>
      <c r="E199" s="237">
        <f>10</f>
        <v>10</v>
      </c>
      <c r="F199" s="237">
        <f>11</f>
        <v>11</v>
      </c>
      <c r="G199" s="237">
        <f>33</f>
        <v>33</v>
      </c>
    </row>
    <row r="200" spans="2:43">
      <c r="E200" s="219"/>
      <c r="F200" s="219"/>
      <c r="G200" s="219"/>
    </row>
    <row r="201" spans="2:43">
      <c r="E201" s="219"/>
      <c r="F201" s="219"/>
      <c r="G201" s="219"/>
    </row>
    <row r="202" spans="2:43">
      <c r="E202" s="219"/>
      <c r="F202" s="219"/>
      <c r="G202" s="219"/>
    </row>
    <row r="204" spans="2:43" s="532" customFormat="1" ht="175.8" customHeight="1">
      <c r="B204" s="1314" t="s">
        <v>538</v>
      </c>
      <c r="C204" s="1314"/>
    </row>
    <row r="206" spans="2:43">
      <c r="B206" s="19" t="s">
        <v>526</v>
      </c>
    </row>
    <row r="207" spans="2:43">
      <c r="G207" s="661"/>
    </row>
    <row r="208" spans="2:43" ht="31.2">
      <c r="G208" s="401" t="s">
        <v>546</v>
      </c>
      <c r="H208" s="1172" t="s">
        <v>544</v>
      </c>
      <c r="I208" s="1172" t="s">
        <v>545</v>
      </c>
      <c r="J208" s="1172" t="s">
        <v>540</v>
      </c>
      <c r="K208" s="1173" t="s">
        <v>541</v>
      </c>
      <c r="L208" s="1170"/>
      <c r="M208" s="1170"/>
      <c r="N208" s="1170"/>
      <c r="O208" s="1170"/>
      <c r="P208" s="1170"/>
      <c r="Q208" s="1170"/>
      <c r="R208" s="1170"/>
      <c r="S208" s="1170"/>
      <c r="T208" s="1170"/>
      <c r="U208" s="1170"/>
      <c r="V208" s="1170"/>
      <c r="W208" s="1170"/>
      <c r="X208" s="1170"/>
      <c r="Y208" s="1170"/>
      <c r="Z208" s="1170"/>
      <c r="AA208" s="1170"/>
      <c r="AB208" s="1170"/>
      <c r="AC208" s="1170"/>
      <c r="AD208" s="1170"/>
      <c r="AE208" s="1170"/>
      <c r="AF208" s="1170"/>
      <c r="AG208" s="1170"/>
      <c r="AH208" s="1170"/>
      <c r="AI208" s="1170"/>
      <c r="AJ208" s="1170"/>
      <c r="AK208" s="1170"/>
      <c r="AL208" s="1170"/>
      <c r="AM208" s="1170"/>
      <c r="AN208" s="1170"/>
      <c r="AO208" s="1170"/>
      <c r="AP208" s="1170"/>
      <c r="AQ208" s="1170"/>
    </row>
    <row r="209" spans="2:43">
      <c r="B209" s="401" t="s">
        <v>527</v>
      </c>
      <c r="C209" s="1159" t="s">
        <v>528</v>
      </c>
      <c r="D209" s="1159" t="s">
        <v>529</v>
      </c>
      <c r="E209" s="1159" t="s">
        <v>530</v>
      </c>
      <c r="G209" s="661" t="s">
        <v>539</v>
      </c>
      <c r="H209" s="661">
        <v>200000</v>
      </c>
      <c r="I209" s="1176">
        <v>0.5</v>
      </c>
      <c r="J209" s="1175">
        <v>100000</v>
      </c>
      <c r="K209" s="1166">
        <f>J209/J211</f>
        <v>0.33333333333333331</v>
      </c>
    </row>
    <row r="210" spans="2:43">
      <c r="B210" s="661" t="str">
        <f>C55</f>
        <v>FIXED ASSETS</v>
      </c>
      <c r="C210" s="661">
        <f>E59</f>
        <v>33554.857142857145</v>
      </c>
      <c r="D210" s="661">
        <f>F59</f>
        <v>46403.28571428571</v>
      </c>
      <c r="E210" s="661">
        <f>G59</f>
        <v>133429.28571428574</v>
      </c>
      <c r="G210" s="661" t="s">
        <v>542</v>
      </c>
      <c r="H210" s="1178">
        <v>250000</v>
      </c>
      <c r="I210" s="1179">
        <v>0.5</v>
      </c>
      <c r="J210" s="1177">
        <v>200000</v>
      </c>
      <c r="K210" s="1166">
        <f>J210/J211</f>
        <v>0.66666666666666663</v>
      </c>
      <c r="L210" s="1171"/>
      <c r="M210" s="1171"/>
      <c r="N210" s="1171"/>
      <c r="O210" s="1171"/>
      <c r="P210" s="1171"/>
      <c r="Q210" s="1171"/>
      <c r="R210" s="1171"/>
      <c r="S210" s="1171"/>
      <c r="T210" s="1171"/>
      <c r="U210" s="1171"/>
      <c r="V210" s="1171"/>
      <c r="W210" s="1171"/>
      <c r="X210" s="1171"/>
      <c r="Y210" s="1171"/>
      <c r="Z210" s="1171"/>
      <c r="AA210" s="1171"/>
      <c r="AB210" s="1171"/>
      <c r="AC210" s="1171"/>
      <c r="AD210" s="1171"/>
      <c r="AE210" s="1171"/>
      <c r="AF210" s="1171"/>
      <c r="AG210" s="1171"/>
      <c r="AH210" s="1171"/>
      <c r="AI210" s="1171"/>
      <c r="AJ210" s="1171"/>
      <c r="AK210" s="1171"/>
      <c r="AL210" s="1171"/>
      <c r="AM210" s="1171"/>
      <c r="AN210" s="1171"/>
      <c r="AO210" s="1171"/>
      <c r="AP210" s="1171"/>
      <c r="AQ210" s="1171"/>
    </row>
    <row r="211" spans="2:43" ht="31.2">
      <c r="B211" s="661" t="str">
        <f>C61</f>
        <v>CURRENT ASSETS</v>
      </c>
      <c r="C211" s="661">
        <f>E66</f>
        <v>639896.92613593442</v>
      </c>
      <c r="D211" s="661">
        <f ca="1">F66</f>
        <v>1612997.0805318686</v>
      </c>
      <c r="E211" s="661">
        <f ca="1">G66</f>
        <v>4676132.5147197545</v>
      </c>
      <c r="G211" s="661" t="s">
        <v>543</v>
      </c>
      <c r="H211" s="1180">
        <f>SUM(H209:H210)</f>
        <v>450000</v>
      </c>
      <c r="I211" s="1174">
        <v>0.5</v>
      </c>
      <c r="J211" s="1177">
        <f>SUM(J209:J210)</f>
        <v>300000</v>
      </c>
      <c r="K211" s="301">
        <v>1</v>
      </c>
      <c r="L211" s="1171"/>
      <c r="M211" s="1171"/>
      <c r="N211" s="1171"/>
      <c r="O211" s="1171"/>
      <c r="P211" s="1171"/>
      <c r="Q211" s="1171"/>
      <c r="R211" s="1171"/>
      <c r="S211" s="1171"/>
      <c r="T211" s="1171"/>
      <c r="U211" s="1171"/>
      <c r="V211" s="1171"/>
      <c r="W211" s="1171"/>
      <c r="X211" s="1171"/>
      <c r="Y211" s="1171"/>
      <c r="Z211" s="1171"/>
      <c r="AA211" s="1171"/>
      <c r="AB211" s="1171"/>
      <c r="AC211" s="1171"/>
      <c r="AD211" s="1171"/>
      <c r="AE211" s="1171"/>
      <c r="AF211" s="1171"/>
      <c r="AG211" s="1171"/>
      <c r="AH211" s="1171"/>
      <c r="AI211" s="1171"/>
      <c r="AJ211" s="1171"/>
      <c r="AK211" s="1171"/>
      <c r="AL211" s="1171"/>
      <c r="AM211" s="1171"/>
      <c r="AN211" s="1171"/>
      <c r="AO211" s="1171"/>
      <c r="AP211" s="1171"/>
      <c r="AQ211" s="1171"/>
    </row>
    <row r="212" spans="2:43" ht="31.2">
      <c r="B212" s="661" t="str">
        <f>C68</f>
        <v>CURRENT LIABILITIES (&lt; 1 YR)</v>
      </c>
      <c r="C212" s="661">
        <f>E74</f>
        <v>-166180.48719832674</v>
      </c>
      <c r="D212" s="661">
        <f ca="1">F74</f>
        <v>-531696.13206102815</v>
      </c>
      <c r="E212" s="661">
        <f ca="1">G74</f>
        <v>-1438319.3297866865</v>
      </c>
      <c r="H212" s="1171"/>
      <c r="I212" s="1171"/>
      <c r="J212" s="1171"/>
      <c r="K212" s="1171"/>
      <c r="L212" s="1171"/>
      <c r="M212" s="1171"/>
      <c r="N212" s="1171"/>
      <c r="O212" s="1171"/>
      <c r="P212" s="1171"/>
      <c r="Q212" s="1171"/>
      <c r="R212" s="1171"/>
      <c r="S212" s="1171"/>
      <c r="T212" s="1171"/>
      <c r="U212" s="1171"/>
      <c r="V212" s="1171"/>
      <c r="W212" s="1171"/>
      <c r="X212" s="1171"/>
      <c r="Y212" s="1171"/>
      <c r="Z212" s="1171"/>
      <c r="AA212" s="1171"/>
      <c r="AB212" s="1171"/>
      <c r="AC212" s="1171"/>
      <c r="AD212" s="1171"/>
      <c r="AE212" s="1171"/>
      <c r="AF212" s="1171"/>
      <c r="AG212" s="1171"/>
      <c r="AH212" s="1171"/>
      <c r="AI212" s="1171"/>
      <c r="AJ212" s="1171"/>
      <c r="AK212" s="1171"/>
      <c r="AL212" s="1171"/>
      <c r="AM212" s="1171"/>
      <c r="AN212" s="1171"/>
      <c r="AO212" s="1171"/>
      <c r="AP212" s="1171"/>
      <c r="AQ212" s="1171"/>
    </row>
    <row r="213" spans="2:43">
      <c r="B213" s="661" t="str">
        <f>C76</f>
        <v>NET CURRENT ASSETS</v>
      </c>
      <c r="C213" s="661">
        <f>E83</f>
        <v>157445.32376959082</v>
      </c>
      <c r="D213" s="661">
        <f ca="1">F83</f>
        <v>882629.74306003156</v>
      </c>
      <c r="E213" s="661">
        <f ca="1">G83</f>
        <v>3231022.9358020173</v>
      </c>
      <c r="G213" s="19" t="s">
        <v>553</v>
      </c>
      <c r="H213" s="1171" t="s">
        <v>554</v>
      </c>
      <c r="I213" s="1171"/>
      <c r="J213" s="1171"/>
      <c r="K213" s="1171"/>
      <c r="L213" s="1171"/>
      <c r="M213" s="1171"/>
      <c r="N213" s="1171"/>
      <c r="O213" s="1171"/>
      <c r="P213" s="1171"/>
      <c r="Q213" s="1171"/>
      <c r="R213" s="1171"/>
      <c r="S213" s="1171"/>
      <c r="T213" s="1171"/>
      <c r="U213" s="1171"/>
      <c r="V213" s="1171"/>
      <c r="W213" s="1171"/>
      <c r="X213" s="1171"/>
      <c r="Y213" s="1171"/>
      <c r="Z213" s="1171"/>
      <c r="AA213" s="1171"/>
      <c r="AB213" s="1171"/>
      <c r="AC213" s="1171"/>
      <c r="AD213" s="1171"/>
      <c r="AE213" s="1171"/>
      <c r="AF213" s="1171"/>
      <c r="AG213" s="1171"/>
      <c r="AH213" s="1171"/>
      <c r="AI213" s="1171"/>
      <c r="AJ213" s="1171"/>
      <c r="AK213" s="1171"/>
      <c r="AL213" s="1171"/>
      <c r="AM213" s="1171"/>
      <c r="AN213" s="1171"/>
      <c r="AO213" s="1171"/>
      <c r="AP213" s="1171"/>
      <c r="AQ213" s="1171"/>
    </row>
    <row r="214" spans="2:43">
      <c r="B214" s="661" t="str">
        <f>C91</f>
        <v>SHAREHOLDERS' EQUITY</v>
      </c>
      <c r="C214" s="661">
        <f>E91</f>
        <v>157445.32376959076</v>
      </c>
      <c r="D214" s="661">
        <f>F91</f>
        <v>882629.74306003179</v>
      </c>
      <c r="E214" s="661">
        <f>G91</f>
        <v>3231022.9358020173</v>
      </c>
      <c r="G214" s="19" t="s">
        <v>240</v>
      </c>
      <c r="H214" s="19">
        <f>$H$211*0.3</f>
        <v>135000</v>
      </c>
    </row>
    <row r="215" spans="2:43">
      <c r="G215" s="19" t="s">
        <v>555</v>
      </c>
      <c r="H215" s="19">
        <f>$H$211*0.2</f>
        <v>90000</v>
      </c>
    </row>
    <row r="216" spans="2:43">
      <c r="G216" s="19" t="s">
        <v>556</v>
      </c>
      <c r="H216" s="19">
        <f>$H$211*0.1</f>
        <v>45000</v>
      </c>
    </row>
    <row r="217" spans="2:43">
      <c r="B217" s="1161" t="s">
        <v>531</v>
      </c>
      <c r="C217" s="1161" t="s">
        <v>532</v>
      </c>
      <c r="D217" s="1161" t="s">
        <v>533</v>
      </c>
      <c r="E217" s="1161" t="s">
        <v>534</v>
      </c>
      <c r="G217" s="19" t="s">
        <v>557</v>
      </c>
      <c r="H217" s="19">
        <f>$H$211*0.4</f>
        <v>180000</v>
      </c>
    </row>
    <row r="218" spans="2:43">
      <c r="B218" s="1162" t="str">
        <f>C11</f>
        <v>Sales (excl VAT)</v>
      </c>
      <c r="C218" s="1164">
        <f t="shared" ref="C218:E220" si="8">E11</f>
        <v>607224.1</v>
      </c>
      <c r="D218" s="1164">
        <f t="shared" si="8"/>
        <v>2759764.9</v>
      </c>
      <c r="E218" s="1164">
        <f t="shared" si="8"/>
        <v>7553274.6838400001</v>
      </c>
    </row>
    <row r="219" spans="2:43">
      <c r="B219" s="1163" t="str">
        <f>C12</f>
        <v>Cost of Sales</v>
      </c>
      <c r="C219" s="1160">
        <f t="shared" si="8"/>
        <v>-241513.85800000001</v>
      </c>
      <c r="D219" s="1160">
        <f t="shared" si="8"/>
        <v>-1347659.0894999998</v>
      </c>
      <c r="E219" s="1160">
        <f t="shared" si="8"/>
        <v>-3228312.5061724</v>
      </c>
    </row>
    <row r="220" spans="2:43">
      <c r="B220" s="1161" t="str">
        <f>C13</f>
        <v>Gross Profit</v>
      </c>
      <c r="C220" s="593">
        <f t="shared" si="8"/>
        <v>365710.24200000003</v>
      </c>
      <c r="D220" s="593">
        <f t="shared" si="8"/>
        <v>1412105.8104999999</v>
      </c>
      <c r="E220" s="593">
        <f t="shared" si="8"/>
        <v>4324962.1776675992</v>
      </c>
    </row>
    <row r="221" spans="2:43">
      <c r="B221" s="1161" t="str">
        <f>C16</f>
        <v>Operating Expenses</v>
      </c>
      <c r="C221" s="593">
        <f>E17</f>
        <v>-297220</v>
      </c>
      <c r="D221" s="593">
        <f>F17</f>
        <v>-333200</v>
      </c>
      <c r="E221" s="593">
        <f>G17</f>
        <v>-982339.99999999988</v>
      </c>
    </row>
    <row r="222" spans="2:43">
      <c r="B222" s="1161" t="str">
        <f>C29</f>
        <v>EBITDA</v>
      </c>
      <c r="C222" s="593">
        <f>E29</f>
        <v>-3359.7579999999907</v>
      </c>
      <c r="D222" s="593">
        <f>F29</f>
        <v>1008455.8104999999</v>
      </c>
      <c r="E222" s="593">
        <f>G29</f>
        <v>3255912.1776676006</v>
      </c>
    </row>
    <row r="223" spans="2:43">
      <c r="B223" s="1161" t="str">
        <f>C31</f>
        <v>Depreciation</v>
      </c>
      <c r="C223" s="593">
        <f t="shared" ref="C223:E224" si="9">E31</f>
        <v>-16245.142857142857</v>
      </c>
      <c r="D223" s="593">
        <f t="shared" si="9"/>
        <v>-31531.571428571435</v>
      </c>
      <c r="E223" s="593">
        <f t="shared" si="9"/>
        <v>-92254</v>
      </c>
    </row>
    <row r="224" spans="2:43">
      <c r="B224" s="1161" t="str">
        <f>C32</f>
        <v>Operating Profit (EBIT)</v>
      </c>
      <c r="C224" s="593">
        <f t="shared" si="9"/>
        <v>-19604.900857142849</v>
      </c>
      <c r="D224" s="593">
        <f t="shared" si="9"/>
        <v>976924.23907142854</v>
      </c>
      <c r="E224" s="593">
        <f t="shared" si="9"/>
        <v>3163658.1776676006</v>
      </c>
      <c r="G224" s="305" t="s">
        <v>109</v>
      </c>
      <c r="H224" s="1165" t="s">
        <v>535</v>
      </c>
      <c r="I224" s="1165" t="s">
        <v>536</v>
      </c>
      <c r="J224" s="1165" t="s">
        <v>537</v>
      </c>
    </row>
    <row r="225" spans="2:10">
      <c r="B225" s="1161" t="str">
        <f>C34</f>
        <v>Loan Interest</v>
      </c>
      <c r="C225" s="593">
        <f t="shared" ref="C225:E226" si="10">E34</f>
        <v>-22949.775373266384</v>
      </c>
      <c r="D225" s="593">
        <f t="shared" si="10"/>
        <v>-18331.000665738862</v>
      </c>
      <c r="E225" s="593">
        <f t="shared" si="10"/>
        <v>-13475.920678286087</v>
      </c>
      <c r="G225" s="593" t="str">
        <f>C129</f>
        <v>Gross Margin</v>
      </c>
      <c r="H225" s="1166">
        <f>E129</f>
        <v>0.60226569070628133</v>
      </c>
      <c r="I225" s="1166">
        <f>F129</f>
        <v>0.51167612520182426</v>
      </c>
      <c r="J225" s="1166">
        <f>G129</f>
        <v>0.57259431951028117</v>
      </c>
    </row>
    <row r="226" spans="2:10">
      <c r="B226" s="1161" t="str">
        <f>C35</f>
        <v>Profit Before Tax</v>
      </c>
      <c r="C226" s="593">
        <f t="shared" si="10"/>
        <v>-42554.676230409226</v>
      </c>
      <c r="D226" s="593">
        <f t="shared" si="10"/>
        <v>958593.2384056896</v>
      </c>
      <c r="E226" s="593">
        <f t="shared" si="10"/>
        <v>3150182.2569893142</v>
      </c>
      <c r="G226" s="593" t="str">
        <f>C147</f>
        <v>Debt to Equity</v>
      </c>
      <c r="H226" s="1166">
        <f>E147</f>
        <v>2.8246146843968392</v>
      </c>
      <c r="I226" s="1166">
        <f>F147</f>
        <v>0.39068020879896959</v>
      </c>
      <c r="J226" s="1166">
        <f>G147</f>
        <v>7.5850433746382936E-2</v>
      </c>
    </row>
    <row r="227" spans="2:10">
      <c r="B227" s="1161" t="str">
        <f>C37</f>
        <v>Corporation Tax</v>
      </c>
      <c r="C227" s="593">
        <f t="shared" ref="C227:E228" si="11">E37</f>
        <v>0</v>
      </c>
      <c r="D227" s="593">
        <f t="shared" si="11"/>
        <v>-217408.81911524865</v>
      </c>
      <c r="E227" s="593">
        <f t="shared" si="11"/>
        <v>-765789.06424732844</v>
      </c>
      <c r="G227" s="593" t="str">
        <f>C139</f>
        <v>Return on Equity</v>
      </c>
      <c r="H227" s="1166">
        <f>E139</f>
        <v>-0.27028224917422605</v>
      </c>
      <c r="I227" s="1166">
        <f>F139</f>
        <v>0.83974557295202046</v>
      </c>
      <c r="J227" s="1166">
        <f>G139</f>
        <v>0.7379685134145052</v>
      </c>
    </row>
    <row r="228" spans="2:10">
      <c r="B228" s="1161" t="str">
        <f>C38</f>
        <v>Profit After Tax</v>
      </c>
      <c r="C228" s="593">
        <f t="shared" si="11"/>
        <v>-42554.676230409226</v>
      </c>
      <c r="D228" s="593">
        <f t="shared" si="11"/>
        <v>741184.41929044097</v>
      </c>
      <c r="E228" s="593">
        <f t="shared" si="11"/>
        <v>2384393.192741985</v>
      </c>
      <c r="G228" s="593" t="str">
        <f>C157</f>
        <v>Current Ratio</v>
      </c>
      <c r="H228" s="1167">
        <f>E157</f>
        <v>3.8506140938933142</v>
      </c>
      <c r="I228" s="1167">
        <f ca="1">F157</f>
        <v>3.033682179103625</v>
      </c>
      <c r="J228" s="1167">
        <f ca="1">G157</f>
        <v>3.2511087196563366</v>
      </c>
    </row>
    <row r="1013" spans="1:1">
      <c r="A1013" s="6">
        <v>30217</v>
      </c>
    </row>
  </sheetData>
  <sheetProtection formatCells="0" formatColumns="0" formatRows="0" insertColumns="0" insertRows="0" insertHyperlinks="0" deleteColumns="0" deleteRows="0" sort="0" autoFilter="0" pivotTables="0"/>
  <mergeCells count="21">
    <mergeCell ref="I175:O176"/>
    <mergeCell ref="I189:O190"/>
    <mergeCell ref="I191:O192"/>
    <mergeCell ref="I185:O186"/>
    <mergeCell ref="I187:O188"/>
    <mergeCell ref="B204:C204"/>
    <mergeCell ref="I147:O148"/>
    <mergeCell ref="I149:O150"/>
    <mergeCell ref="I129:O130"/>
    <mergeCell ref="I131:O132"/>
    <mergeCell ref="I133:O134"/>
    <mergeCell ref="I135:O136"/>
    <mergeCell ref="I137:O138"/>
    <mergeCell ref="I139:O140"/>
    <mergeCell ref="I167:O168"/>
    <mergeCell ref="I169:O170"/>
    <mergeCell ref="I171:O172"/>
    <mergeCell ref="I177:O178"/>
    <mergeCell ref="I157:O158"/>
    <mergeCell ref="I159:O160"/>
    <mergeCell ref="I173:O174"/>
  </mergeCells>
  <phoneticPr fontId="22" type="noConversion"/>
  <pageMargins left="0.75" right="0.75" top="1" bottom="1" header="0.5" footer="0.5"/>
  <pageSetup paperSize="9" orientation="portrait" horizontalDpi="4294967292" verticalDpi="4294967292" r:id="rId1"/>
  <colBreaks count="1" manualBreakCount="1">
    <brk id="7" max="1048575" man="1"/>
  </colBreaks>
  <drawing r:id="rId2"/>
  <legacyDrawing r:id="rId3"/>
  <tableParts count="4">
    <tablePart r:id="rId4"/>
    <tablePart r:id="rId5"/>
    <tablePart r:id="rId6"/>
    <tablePart r:id="rId7"/>
  </tableParts>
  <extLst>
    <ext xmlns:x14="http://schemas.microsoft.com/office/spreadsheetml/2009/9/main" uri="{05C60535-1F16-4fd2-B633-F4F36F0B64E0}">
      <x14:sparklineGroups xmlns:xm="http://schemas.microsoft.com/office/excel/2006/main">
        <x14:sparklineGroup displayEmptyCellsAs="gap" xr2:uid="{DBA0F3D7-DE36-4C63-A8F3-046EE761B0BB}">
          <x14:colorSeries rgb="FF376092"/>
          <x14:colorNegative rgb="FFD00000"/>
          <x14:colorAxis rgb="FF000000"/>
          <x14:colorMarkers rgb="FFD00000"/>
          <x14:colorFirst rgb="FFD00000"/>
          <x14:colorLast rgb="FFD00000"/>
          <x14:colorHigh rgb="FFD00000"/>
          <x14:colorLow rgb="FFD00000"/>
          <x14:sparklines>
            <x14:sparkline>
              <xm:f>'Ratio Analysis and Graphs'!E191:G191</xm:f>
              <xm:sqref>D191</xm:sqref>
            </x14:sparkline>
          </x14:sparklines>
        </x14:sparklineGroup>
        <x14:sparklineGroup displayEmptyCellsAs="gap" xr2:uid="{6BF941F3-1BB9-483B-87B6-E7CB09BAFFE8}">
          <x14:colorSeries rgb="FF376092"/>
          <x14:colorNegative rgb="FFD00000"/>
          <x14:colorAxis rgb="FF000000"/>
          <x14:colorMarkers rgb="FFD00000"/>
          <x14:colorFirst rgb="FFD00000"/>
          <x14:colorLast rgb="FFD00000"/>
          <x14:colorHigh rgb="FFD00000"/>
          <x14:colorLow rgb="FFD00000"/>
          <x14:sparklines>
            <x14:sparkline>
              <xm:f>'Ratio Analysis and Graphs'!E189:G189</xm:f>
              <xm:sqref>D189</xm:sqref>
            </x14:sparkline>
          </x14:sparklines>
        </x14:sparklineGroup>
        <x14:sparklineGroup displayEmptyCellsAs="gap" xr2:uid="{B8347FDB-C5DE-4463-B0E8-B0CBE6622392}">
          <x14:colorSeries rgb="FF376092"/>
          <x14:colorNegative rgb="FFD00000"/>
          <x14:colorAxis rgb="FF000000"/>
          <x14:colorMarkers rgb="FFD00000"/>
          <x14:colorFirst rgb="FFD00000"/>
          <x14:colorLast rgb="FFD00000"/>
          <x14:colorHigh rgb="FFD00000"/>
          <x14:colorLow rgb="FFD00000"/>
          <x14:sparklines>
            <x14:sparkline>
              <xm:f>'Ratio Analysis and Graphs'!E187:G187</xm:f>
              <xm:sqref>D187</xm:sqref>
            </x14:sparkline>
          </x14:sparklines>
        </x14:sparklineGroup>
        <x14:sparklineGroup displayEmptyCellsAs="gap" xr2:uid="{3907BF71-BD3E-4E44-8060-2B290A4D3B1A}">
          <x14:colorSeries rgb="FF376092"/>
          <x14:colorNegative rgb="FFD00000"/>
          <x14:colorAxis rgb="FF000000"/>
          <x14:colorMarkers rgb="FFD00000"/>
          <x14:colorFirst rgb="FFD00000"/>
          <x14:colorLast rgb="FFD00000"/>
          <x14:colorHigh rgb="FFD00000"/>
          <x14:colorLow rgb="FFD00000"/>
          <x14:sparklines>
            <x14:sparkline>
              <xm:f>'Ratio Analysis and Graphs'!E185:G185</xm:f>
              <xm:sqref>D185</xm:sqref>
            </x14:sparkline>
          </x14:sparklines>
        </x14:sparklineGroup>
        <x14:sparklineGroup displayEmptyCellsAs="gap" xr2:uid="{1ED86065-13C6-4486-809E-54A6B5297D1A}">
          <x14:colorSeries rgb="FF376092"/>
          <x14:colorNegative rgb="FFD00000"/>
          <x14:colorAxis rgb="FF000000"/>
          <x14:colorMarkers rgb="FFD00000"/>
          <x14:colorFirst rgb="FFD00000"/>
          <x14:colorLast rgb="FFD00000"/>
          <x14:colorHigh rgb="FFD00000"/>
          <x14:colorLow rgb="FFD00000"/>
          <x14:sparklines>
            <x14:sparkline>
              <xm:f>'Ratio Analysis and Graphs'!E177:G177</xm:f>
              <xm:sqref>D177</xm:sqref>
            </x14:sparkline>
          </x14:sparklines>
        </x14:sparklineGroup>
        <x14:sparklineGroup displayEmptyCellsAs="gap" xr2:uid="{C0C5E453-D80D-4F84-8B6B-DA8CC9002402}">
          <x14:colorSeries rgb="FF376092"/>
          <x14:colorNegative rgb="FFD00000"/>
          <x14:colorAxis rgb="FF000000"/>
          <x14:colorMarkers rgb="FFD00000"/>
          <x14:colorFirst rgb="FFD00000"/>
          <x14:colorLast rgb="FFD00000"/>
          <x14:colorHigh rgb="FFD00000"/>
          <x14:colorLow rgb="FFD00000"/>
          <x14:sparklines>
            <x14:sparkline>
              <xm:f>'Ratio Analysis and Graphs'!E175:G175</xm:f>
              <xm:sqref>D175</xm:sqref>
            </x14:sparkline>
          </x14:sparklines>
        </x14:sparklineGroup>
        <x14:sparklineGroup displayEmptyCellsAs="gap" xr2:uid="{04C627AA-B36E-4DAE-839D-68E622B9B201}">
          <x14:colorSeries rgb="FF376092"/>
          <x14:colorNegative rgb="FFD00000"/>
          <x14:colorAxis rgb="FF000000"/>
          <x14:colorMarkers rgb="FFD00000"/>
          <x14:colorFirst rgb="FFD00000"/>
          <x14:colorLast rgb="FFD00000"/>
          <x14:colorHigh rgb="FFD00000"/>
          <x14:colorLow rgb="FFD00000"/>
          <x14:sparklines>
            <x14:sparkline>
              <xm:f>'Ratio Analysis and Graphs'!E173:G173</xm:f>
              <xm:sqref>D173</xm:sqref>
            </x14:sparkline>
          </x14:sparklines>
        </x14:sparklineGroup>
        <x14:sparklineGroup displayEmptyCellsAs="gap" xr2:uid="{23B02497-A86B-4F78-A0B4-068033E5C481}">
          <x14:colorSeries rgb="FF376092"/>
          <x14:colorNegative rgb="FFD00000"/>
          <x14:colorAxis rgb="FF000000"/>
          <x14:colorMarkers rgb="FFD00000"/>
          <x14:colorFirst rgb="FFD00000"/>
          <x14:colorLast rgb="FFD00000"/>
          <x14:colorHigh rgb="FFD00000"/>
          <x14:colorLow rgb="FFD00000"/>
          <x14:sparklines>
            <x14:sparkline>
              <xm:f>'Ratio Analysis and Graphs'!E171:G171</xm:f>
              <xm:sqref>D171</xm:sqref>
            </x14:sparkline>
          </x14:sparklines>
        </x14:sparklineGroup>
        <x14:sparklineGroup displayEmptyCellsAs="gap" xr2:uid="{6C3B1706-39AB-4EE6-B4CE-059AC6BD0DEE}">
          <x14:colorSeries rgb="FF376092"/>
          <x14:colorNegative rgb="FFD00000"/>
          <x14:colorAxis rgb="FF000000"/>
          <x14:colorMarkers rgb="FFD00000"/>
          <x14:colorFirst rgb="FFD00000"/>
          <x14:colorLast rgb="FFD00000"/>
          <x14:colorHigh rgb="FFD00000"/>
          <x14:colorLow rgb="FFD00000"/>
          <x14:sparklines>
            <x14:sparkline>
              <xm:f>'Ratio Analysis and Graphs'!E169:G169</xm:f>
              <xm:sqref>D169</xm:sqref>
            </x14:sparkline>
          </x14:sparklines>
        </x14:sparklineGroup>
        <x14:sparklineGroup displayEmptyCellsAs="gap" xr2:uid="{8B777616-AA9A-4608-ABD1-0A9E9A5F73DE}">
          <x14:colorSeries rgb="FF376092"/>
          <x14:colorNegative rgb="FFD00000"/>
          <x14:colorAxis rgb="FF000000"/>
          <x14:colorMarkers rgb="FFD00000"/>
          <x14:colorFirst rgb="FFD00000"/>
          <x14:colorLast rgb="FFD00000"/>
          <x14:colorHigh rgb="FFD00000"/>
          <x14:colorLow rgb="FFD00000"/>
          <x14:sparklines>
            <x14:sparkline>
              <xm:f>'Ratio Analysis and Graphs'!E167:G167</xm:f>
              <xm:sqref>D167</xm:sqref>
            </x14:sparkline>
          </x14:sparklines>
        </x14:sparklineGroup>
        <x14:sparklineGroup displayEmptyCellsAs="gap" xr2:uid="{A393650E-8AE5-457B-889D-88C54178CBCC}">
          <x14:colorSeries rgb="FF376092"/>
          <x14:colorNegative rgb="FFD00000"/>
          <x14:colorAxis rgb="FF000000"/>
          <x14:colorMarkers rgb="FFD00000"/>
          <x14:colorFirst rgb="FFD00000"/>
          <x14:colorLast rgb="FFD00000"/>
          <x14:colorHigh rgb="FFD00000"/>
          <x14:colorLow rgb="FFD00000"/>
          <x14:sparklines>
            <x14:sparkline>
              <xm:f>'Ratio Analysis and Graphs'!E159:G159</xm:f>
              <xm:sqref>D159</xm:sqref>
            </x14:sparkline>
          </x14:sparklines>
        </x14:sparklineGroup>
        <x14:sparklineGroup displayEmptyCellsAs="gap" xr2:uid="{85A1F898-FBA2-4789-906D-4BB52CF83296}">
          <x14:colorSeries rgb="FF376092"/>
          <x14:colorNegative rgb="FFD00000"/>
          <x14:colorAxis rgb="FF000000"/>
          <x14:colorMarkers rgb="FFD00000"/>
          <x14:colorFirst rgb="FFD00000"/>
          <x14:colorLast rgb="FFD00000"/>
          <x14:colorHigh rgb="FFD00000"/>
          <x14:colorLow rgb="FFD00000"/>
          <x14:sparklines>
            <x14:sparkline>
              <xm:f>'Ratio Analysis and Graphs'!E157:G157</xm:f>
              <xm:sqref>D157</xm:sqref>
            </x14:sparkline>
          </x14:sparklines>
        </x14:sparklineGroup>
        <x14:sparklineGroup displayEmptyCellsAs="gap" xr2:uid="{5125CF20-9FDF-478F-8062-088FC11C8813}">
          <x14:colorSeries rgb="FF376092"/>
          <x14:colorNegative rgb="FFD00000"/>
          <x14:colorAxis rgb="FF000000"/>
          <x14:colorMarkers rgb="FFD00000"/>
          <x14:colorFirst rgb="FFD00000"/>
          <x14:colorLast rgb="FFD00000"/>
          <x14:colorHigh rgb="FFD00000"/>
          <x14:colorLow rgb="FFD00000"/>
          <x14:sparklines>
            <x14:sparkline>
              <xm:f>'Ratio Analysis and Graphs'!E149:G149</xm:f>
              <xm:sqref>D149</xm:sqref>
            </x14:sparkline>
          </x14:sparklines>
        </x14:sparklineGroup>
        <x14:sparklineGroup displayEmptyCellsAs="gap" xr2:uid="{A16440D6-BD5A-4A83-8132-B1CA3B3DA517}">
          <x14:colorSeries rgb="FF376092"/>
          <x14:colorNegative rgb="FFD00000"/>
          <x14:colorAxis rgb="FF000000"/>
          <x14:colorMarkers rgb="FFD00000"/>
          <x14:colorFirst rgb="FFD00000"/>
          <x14:colorLast rgb="FFD00000"/>
          <x14:colorHigh rgb="FFD00000"/>
          <x14:colorLow rgb="FFD00000"/>
          <x14:sparklines>
            <x14:sparkline>
              <xm:f>'Ratio Analysis and Graphs'!E139:G139</xm:f>
              <xm:sqref>D147</xm:sqref>
            </x14:sparkline>
          </x14:sparklines>
        </x14:sparklineGroup>
        <x14:sparklineGroup displayEmptyCellsAs="gap" xr2:uid="{1B6EFE7C-2F9F-4CFC-A60D-A2A947AC3B02}">
          <x14:colorSeries rgb="FF376092"/>
          <x14:colorNegative rgb="FFD00000"/>
          <x14:colorAxis rgb="FF000000"/>
          <x14:colorMarkers rgb="FFD00000"/>
          <x14:colorFirst rgb="FFD00000"/>
          <x14:colorLast rgb="FFD00000"/>
          <x14:colorHigh rgb="FFD00000"/>
          <x14:colorLow rgb="FFD00000"/>
          <x14:sparklines>
            <x14:sparkline>
              <xm:f>'Ratio Analysis and Graphs'!E139:G139</xm:f>
              <xm:sqref>D139</xm:sqref>
            </x14:sparkline>
          </x14:sparklines>
        </x14:sparklineGroup>
        <x14:sparklineGroup displayEmptyCellsAs="gap" xr2:uid="{3DC0BAEE-8E75-4603-BF66-DED885A18050}">
          <x14:colorSeries rgb="FF376092"/>
          <x14:colorNegative rgb="FFD00000"/>
          <x14:colorAxis rgb="FF000000"/>
          <x14:colorMarkers rgb="FFD00000"/>
          <x14:colorFirst rgb="FFD00000"/>
          <x14:colorLast rgb="FFD00000"/>
          <x14:colorHigh rgb="FFD00000"/>
          <x14:colorLow rgb="FFD00000"/>
          <x14:sparklines>
            <x14:sparkline>
              <xm:f>'Ratio Analysis and Graphs'!E135:G135</xm:f>
              <xm:sqref>D135</xm:sqref>
            </x14:sparkline>
          </x14:sparklines>
        </x14:sparklineGroup>
        <x14:sparklineGroup displayEmptyCellsAs="gap" xr2:uid="{B0E044B5-BBA9-459F-9912-4C537B774EB4}">
          <x14:colorSeries rgb="FF376092"/>
          <x14:colorNegative rgb="FFD00000"/>
          <x14:colorAxis rgb="FF000000"/>
          <x14:colorMarkers rgb="FFD00000"/>
          <x14:colorFirst rgb="FFD00000"/>
          <x14:colorLast rgb="FFD00000"/>
          <x14:colorHigh rgb="FFD00000"/>
          <x14:colorLow rgb="FFD00000"/>
          <x14:sparklines>
            <x14:sparkline>
              <xm:f>'Ratio Analysis and Graphs'!E133:G133</xm:f>
              <xm:sqref>D133</xm:sqref>
            </x14:sparkline>
          </x14:sparklines>
        </x14:sparklineGroup>
        <x14:sparklineGroup displayEmptyCellsAs="gap" xr2:uid="{97DE8BFC-2E2E-46B5-A0F7-1D773D09018C}">
          <x14:colorSeries rgb="FF376092"/>
          <x14:colorNegative rgb="FFD00000"/>
          <x14:colorAxis rgb="FF000000"/>
          <x14:colorMarkers rgb="FFD00000"/>
          <x14:colorFirst rgb="FFD00000"/>
          <x14:colorLast rgb="FFD00000"/>
          <x14:colorHigh rgb="FFD00000"/>
          <x14:colorLow rgb="FFD00000"/>
          <x14:sparklines>
            <x14:sparkline>
              <xm:f>'Ratio Analysis and Graphs'!E131:G131</xm:f>
              <xm:sqref>D131</xm:sqref>
            </x14:sparkline>
          </x14:sparklines>
        </x14:sparklineGroup>
        <x14:sparklineGroup displayEmptyCellsAs="gap" xr2:uid="{DC4C900C-286A-4994-BAE5-7AE93F23511D}">
          <x14:colorSeries rgb="FF376092"/>
          <x14:colorNegative rgb="FFD00000"/>
          <x14:colorAxis rgb="FF000000"/>
          <x14:colorMarkers rgb="FFD00000"/>
          <x14:colorFirst rgb="FFD00000"/>
          <x14:colorLast rgb="FFD00000"/>
          <x14:colorHigh rgb="FFD00000"/>
          <x14:colorLow rgb="FFD00000"/>
          <x14:sparklines>
            <x14:sparkline>
              <xm:f>'Ratio Analysis and Graphs'!E129:G129</xm:f>
              <xm:sqref>D129</xm:sqref>
            </x14:sparkline>
          </x14:sparklines>
        </x14:sparklineGroup>
      </x14:sparklineGroup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81F0FF"/>
  </sheetPr>
  <dimension ref="A1:I6"/>
  <sheetViews>
    <sheetView showGridLines="0" topLeftCell="A49" zoomScale="89" zoomScaleNormal="85" zoomScalePageLayoutView="125" workbookViewId="0">
      <selection activeCell="AB42" sqref="AB42"/>
    </sheetView>
  </sheetViews>
  <sheetFormatPr defaultColWidth="10.796875" defaultRowHeight="15.6"/>
  <cols>
    <col min="1" max="16384" width="10.796875" style="6"/>
  </cols>
  <sheetData>
    <row r="1" spans="1:9" s="261" customFormat="1" ht="27" customHeight="1">
      <c r="A1" s="260" t="str">
        <f>"v"&amp;'COPYRIGHT PROTECTION'!C14&amp;" "&amp;'COPYRIGHT PROTECTION'!C6</f>
        <v xml:space="preserve">v2023.2 © Simon Hulme and Chris Drew, 2011-2023     IF PART OF AN ACADEMIC ASSIGNMENT, PLEASE DO NOT DELETE THIS SINGLE LINE.  DELETING IT MAY INVALIDATE YOUR SUBMISSION. </v>
      </c>
    </row>
    <row r="2" spans="1:9" s="50" customFormat="1" ht="28.95" customHeight="1">
      <c r="B2" s="15" t="s">
        <v>225</v>
      </c>
      <c r="C2" s="238"/>
      <c r="D2" s="238"/>
      <c r="E2" s="238"/>
      <c r="F2" s="239"/>
      <c r="H2" s="17"/>
      <c r="I2" s="26"/>
    </row>
    <row r="3" spans="1:9" ht="13.95" customHeight="1">
      <c r="B3" s="240"/>
      <c r="C3" s="240"/>
      <c r="D3" s="240"/>
      <c r="E3" s="240"/>
      <c r="F3" s="241"/>
    </row>
    <row r="4" spans="1:9" ht="13.05" customHeight="1"/>
    <row r="5" spans="1:9" s="242" customFormat="1" ht="22.95" customHeight="1">
      <c r="B5" s="238" t="s">
        <v>8</v>
      </c>
      <c r="C5" s="243"/>
      <c r="D5" s="244"/>
      <c r="E5" s="245"/>
      <c r="F5" s="244"/>
    </row>
    <row r="6" spans="1:9" s="190" customFormat="1"/>
  </sheetData>
  <sheetProtection formatCells="0" formatColumns="0" formatRows="0" insertColumns="0" insertRows="0" insertHyperlinks="0" deleteColumns="0" deleteRows="0" sort="0" autoFilter="0" pivotTables="0"/>
  <phoneticPr fontId="22" type="noConversion"/>
  <pageMargins left="0.75" right="0.75" top="1" bottom="1" header="0.5" footer="0.5"/>
  <pageSetup paperSize="9" orientation="portrait" horizontalDpi="4294967292" verticalDpi="4294967292"/>
  <rowBreaks count="1" manualBreakCount="1">
    <brk id="100" max="12" man="1"/>
  </rowBreaks>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42967-76A3-431B-8F6F-42A536BAE9A0}">
  <sheetPr codeName="Sheet13">
    <tabColor theme="4" tint="-0.249977111117893"/>
  </sheetPr>
  <dimension ref="A1:BR1050"/>
  <sheetViews>
    <sheetView topLeftCell="A41" zoomScale="62" zoomScaleNormal="70" zoomScalePageLayoutView="120" workbookViewId="0">
      <selection activeCell="L54" sqref="L54"/>
    </sheetView>
  </sheetViews>
  <sheetFormatPr defaultColWidth="10" defaultRowHeight="15.6" outlineLevelRow="1"/>
  <cols>
    <col min="1" max="1" width="8.796875" style="19" customWidth="1"/>
    <col min="2" max="2" width="30.69921875" style="18" customWidth="1"/>
    <col min="3" max="3" width="12.296875" style="19" customWidth="1"/>
    <col min="4" max="4" width="11.296875" style="19" customWidth="1"/>
    <col min="5" max="5" width="10.69921875" style="19" customWidth="1"/>
    <col min="6" max="6" width="12.796875" style="19" customWidth="1"/>
    <col min="7" max="7" width="15.796875" style="19" customWidth="1"/>
    <col min="8" max="8" width="13" style="19" customWidth="1"/>
    <col min="9" max="9" width="14.69921875" style="19" customWidth="1"/>
    <col min="10" max="10" width="18" style="19" customWidth="1"/>
    <col min="11" max="11" width="20.296875" style="19" customWidth="1"/>
    <col min="12" max="12" width="15.296875" style="19" customWidth="1"/>
    <col min="13" max="13" width="11.69921875" style="19" customWidth="1"/>
    <col min="14" max="14" width="12.296875" style="19" customWidth="1"/>
    <col min="15" max="15" width="13.19921875" style="30" customWidth="1"/>
    <col min="16" max="16" width="11.69921875" style="19" customWidth="1"/>
    <col min="17" max="17" width="22.296875" style="19" customWidth="1"/>
    <col min="18" max="18" width="11.69921875" style="19" customWidth="1"/>
    <col min="19" max="19" width="14.5" style="19" customWidth="1"/>
    <col min="20" max="20" width="13.296875" style="19" customWidth="1"/>
    <col min="21" max="21" width="12.796875" style="19" customWidth="1"/>
    <col min="22" max="22" width="11" style="19" customWidth="1"/>
    <col min="23" max="23" width="13" style="19" customWidth="1"/>
    <col min="24" max="24" width="14.19921875" style="19" customWidth="1"/>
    <col min="25" max="26" width="11.796875" style="19" bestFit="1" customWidth="1"/>
    <col min="27" max="27" width="11.796875" style="30" bestFit="1" customWidth="1"/>
    <col min="28" max="28" width="11.296875" style="19" bestFit="1" customWidth="1"/>
    <col min="29" max="29" width="11.796875" style="19" bestFit="1" customWidth="1"/>
    <col min="30" max="34" width="12.19921875" style="19" bestFit="1" customWidth="1"/>
    <col min="35" max="35" width="11.796875" style="19" bestFit="1" customWidth="1"/>
    <col min="36" max="39" width="12.19921875" style="19" bestFit="1" customWidth="1"/>
    <col min="40" max="16384" width="10" style="19"/>
  </cols>
  <sheetData>
    <row r="1" spans="1:28" s="261" customFormat="1" ht="27" customHeight="1">
      <c r="A1" s="260" t="str">
        <f>"v"&amp;'COPYRIGHT PROTECTION'!C14&amp;" "&amp;'COPYRIGHT PROTECTION'!C6</f>
        <v xml:space="preserve">v2023.2 © Simon Hulme and Chris Drew, 2011-2023     IF PART OF AN ACADEMIC ASSIGNMENT, PLEASE DO NOT DELETE THIS SINGLE LINE.  DELETING IT MAY INVALIDATE YOUR SUBMISSION. </v>
      </c>
      <c r="O1" s="282"/>
      <c r="AA1" s="282"/>
    </row>
    <row r="2" spans="1:28" s="16" customFormat="1" ht="28.8">
      <c r="B2" s="15" t="s">
        <v>225</v>
      </c>
      <c r="F2" s="17"/>
      <c r="G2" s="26"/>
      <c r="O2" s="29"/>
      <c r="AA2" s="29"/>
    </row>
    <row r="4" spans="1:28" s="16" customFormat="1" ht="25.8">
      <c r="B4" s="20" t="s">
        <v>85</v>
      </c>
      <c r="C4" s="21"/>
      <c r="O4" s="29"/>
      <c r="AA4" s="29"/>
    </row>
    <row r="6" spans="1:28">
      <c r="D6" s="16"/>
    </row>
    <row r="7" spans="1:28" s="16" customFormat="1" ht="18">
      <c r="B7" s="56" t="s">
        <v>294</v>
      </c>
      <c r="D7" s="16" t="s">
        <v>9</v>
      </c>
      <c r="O7" s="29"/>
      <c r="AA7" s="29"/>
    </row>
    <row r="8" spans="1:28">
      <c r="B8" s="57" t="s">
        <v>418</v>
      </c>
    </row>
    <row r="9" spans="1:28" s="58" customFormat="1">
      <c r="B9" s="1322" t="s">
        <v>366</v>
      </c>
      <c r="C9" s="1322"/>
      <c r="D9" s="1322"/>
      <c r="E9" s="1322"/>
      <c r="F9" s="1322"/>
      <c r="G9" s="331"/>
      <c r="H9" s="19"/>
      <c r="I9" s="19"/>
      <c r="O9" s="64"/>
      <c r="P9" s="65"/>
      <c r="AA9" s="66"/>
      <c r="AB9" s="65"/>
    </row>
    <row r="10" spans="1:28" s="67" customFormat="1">
      <c r="B10" s="320" t="s">
        <v>331</v>
      </c>
      <c r="C10" s="330" t="s">
        <v>356</v>
      </c>
      <c r="D10" s="338" t="s">
        <v>357</v>
      </c>
      <c r="E10" s="338" t="s">
        <v>358</v>
      </c>
      <c r="F10" s="338" t="s">
        <v>359</v>
      </c>
      <c r="G10" s="332">
        <v>2024</v>
      </c>
      <c r="H10" s="332">
        <v>2025</v>
      </c>
      <c r="I10" s="330">
        <v>2026</v>
      </c>
      <c r="K10" s="344" t="s">
        <v>363</v>
      </c>
      <c r="L10" s="340">
        <v>2024</v>
      </c>
      <c r="M10" s="340">
        <v>2025</v>
      </c>
      <c r="N10" s="340">
        <v>2026</v>
      </c>
      <c r="O10" s="70"/>
      <c r="P10" s="71"/>
      <c r="Y10" s="72"/>
      <c r="AA10" s="73"/>
      <c r="AB10" s="71"/>
    </row>
    <row r="11" spans="1:28" s="67" customFormat="1">
      <c r="B11" s="322" t="s">
        <v>332</v>
      </c>
      <c r="C11" s="156">
        <v>19000</v>
      </c>
      <c r="D11" s="334">
        <v>1</v>
      </c>
      <c r="E11" s="334">
        <v>1</v>
      </c>
      <c r="F11" s="334">
        <v>1</v>
      </c>
      <c r="G11" s="67">
        <f t="shared" ref="G11:G21" si="0">D11*C11+C11*($L$11)+$L$12+$L$13+($L$14*C11)</f>
        <v>19970</v>
      </c>
      <c r="H11" s="67">
        <f t="shared" ref="H11:H21" si="1">E11*C11+C11*($M$11)+$M$12+$M$13+($M$14*C11)</f>
        <v>20450</v>
      </c>
      <c r="I11" s="67">
        <f t="shared" ref="I11:I21" si="2">F11*C11+C11*($N$11)+$N$12+$N$13+($N$14*C11)</f>
        <v>20740</v>
      </c>
      <c r="J11" s="71"/>
      <c r="K11" s="339" t="s">
        <v>361</v>
      </c>
      <c r="L11" s="342">
        <v>0</v>
      </c>
      <c r="M11" s="342">
        <v>0.02</v>
      </c>
      <c r="N11" s="342">
        <v>0.03</v>
      </c>
      <c r="O11" s="70"/>
      <c r="P11" s="71"/>
      <c r="Y11" s="72"/>
      <c r="Z11" s="72"/>
      <c r="AA11" s="73"/>
      <c r="AB11" s="71"/>
    </row>
    <row r="12" spans="1:28" s="67" customFormat="1" ht="15" customHeight="1">
      <c r="B12" s="322" t="s">
        <v>333</v>
      </c>
      <c r="C12" s="156">
        <v>20000</v>
      </c>
      <c r="D12" s="334">
        <v>1</v>
      </c>
      <c r="E12" s="334">
        <v>1</v>
      </c>
      <c r="F12" s="334">
        <v>2</v>
      </c>
      <c r="G12" s="67">
        <f t="shared" si="0"/>
        <v>21000</v>
      </c>
      <c r="H12" s="67">
        <f t="shared" si="1"/>
        <v>21500</v>
      </c>
      <c r="I12" s="67">
        <f t="shared" si="2"/>
        <v>41800</v>
      </c>
      <c r="J12" s="280"/>
      <c r="K12" s="321" t="s">
        <v>352</v>
      </c>
      <c r="L12" s="343">
        <v>200</v>
      </c>
      <c r="M12" s="343">
        <v>300</v>
      </c>
      <c r="N12" s="343">
        <v>400</v>
      </c>
      <c r="O12" s="70"/>
      <c r="P12" s="71"/>
      <c r="Y12" s="72"/>
      <c r="Z12" s="72"/>
      <c r="AA12" s="73"/>
      <c r="AB12" s="71"/>
    </row>
    <row r="13" spans="1:28" s="67" customFormat="1" ht="15" customHeight="1">
      <c r="A13" s="74"/>
      <c r="B13" s="322" t="s">
        <v>334</v>
      </c>
      <c r="C13" s="156">
        <v>25000</v>
      </c>
      <c r="D13" s="334">
        <v>1</v>
      </c>
      <c r="E13" s="334">
        <v>1</v>
      </c>
      <c r="F13" s="334">
        <v>1</v>
      </c>
      <c r="G13" s="67">
        <f t="shared" si="0"/>
        <v>26150</v>
      </c>
      <c r="H13" s="67">
        <f t="shared" si="1"/>
        <v>26750</v>
      </c>
      <c r="I13" s="67">
        <f t="shared" si="2"/>
        <v>27100</v>
      </c>
      <c r="J13" s="280"/>
      <c r="K13" s="321" t="s">
        <v>362</v>
      </c>
      <c r="L13" s="343">
        <v>200</v>
      </c>
      <c r="M13" s="343">
        <v>200</v>
      </c>
      <c r="N13" s="343">
        <v>200</v>
      </c>
      <c r="O13" s="70"/>
      <c r="P13" s="71"/>
      <c r="Y13" s="72"/>
      <c r="Z13" s="72"/>
      <c r="AA13" s="73"/>
      <c r="AB13" s="71"/>
    </row>
    <row r="14" spans="1:28" s="67" customFormat="1" ht="15" customHeight="1">
      <c r="A14" s="74"/>
      <c r="B14" s="322" t="s">
        <v>335</v>
      </c>
      <c r="C14" s="156">
        <v>27000</v>
      </c>
      <c r="D14" s="334">
        <v>1</v>
      </c>
      <c r="E14" s="334">
        <v>1</v>
      </c>
      <c r="F14" s="334">
        <v>2</v>
      </c>
      <c r="G14" s="67">
        <f t="shared" si="0"/>
        <v>28210</v>
      </c>
      <c r="H14" s="67">
        <f t="shared" si="1"/>
        <v>28850</v>
      </c>
      <c r="I14" s="67">
        <f t="shared" si="2"/>
        <v>56220</v>
      </c>
      <c r="J14" s="280"/>
      <c r="K14" s="321" t="s">
        <v>364</v>
      </c>
      <c r="L14" s="342">
        <v>0.03</v>
      </c>
      <c r="M14" s="342">
        <v>0.03</v>
      </c>
      <c r="N14" s="342">
        <v>0.03</v>
      </c>
      <c r="O14" s="70"/>
      <c r="P14" s="71"/>
      <c r="Y14" s="72"/>
      <c r="Z14" s="72"/>
      <c r="AA14" s="73"/>
      <c r="AB14" s="71"/>
    </row>
    <row r="15" spans="1:28" s="67" customFormat="1">
      <c r="A15" s="74"/>
      <c r="B15" s="322" t="s">
        <v>347</v>
      </c>
      <c r="C15" s="156">
        <v>28000</v>
      </c>
      <c r="D15" s="334">
        <v>1</v>
      </c>
      <c r="E15" s="334">
        <v>1</v>
      </c>
      <c r="F15" s="334">
        <v>2</v>
      </c>
      <c r="G15" s="67">
        <f t="shared" si="0"/>
        <v>29240</v>
      </c>
      <c r="H15" s="67">
        <f t="shared" si="1"/>
        <v>29900</v>
      </c>
      <c r="I15" s="67">
        <f t="shared" si="2"/>
        <v>58280</v>
      </c>
      <c r="J15" s="71"/>
      <c r="K15" s="71"/>
      <c r="L15" s="71"/>
      <c r="O15" s="70"/>
      <c r="P15" s="71"/>
      <c r="Y15" s="72"/>
      <c r="Z15" s="72"/>
      <c r="AA15" s="73"/>
      <c r="AB15" s="71"/>
    </row>
    <row r="16" spans="1:28" s="67" customFormat="1">
      <c r="A16" s="74"/>
      <c r="B16" s="322" t="s">
        <v>348</v>
      </c>
      <c r="C16" s="156">
        <v>24000</v>
      </c>
      <c r="D16" s="334">
        <v>1</v>
      </c>
      <c r="E16" s="334">
        <v>1</v>
      </c>
      <c r="F16" s="334">
        <v>1</v>
      </c>
      <c r="G16" s="67">
        <f t="shared" si="0"/>
        <v>25120</v>
      </c>
      <c r="H16" s="67">
        <f t="shared" si="1"/>
        <v>25700</v>
      </c>
      <c r="I16" s="67">
        <f t="shared" si="2"/>
        <v>26040</v>
      </c>
      <c r="O16" s="70"/>
      <c r="P16" s="71"/>
      <c r="Y16" s="72"/>
      <c r="Z16" s="72"/>
      <c r="AA16" s="73"/>
      <c r="AB16" s="71"/>
    </row>
    <row r="17" spans="1:28" s="67" customFormat="1">
      <c r="A17" s="74"/>
      <c r="B17" s="323" t="s">
        <v>349</v>
      </c>
      <c r="C17" s="156">
        <v>27000</v>
      </c>
      <c r="D17" s="334">
        <v>1</v>
      </c>
      <c r="E17" s="334">
        <v>1</v>
      </c>
      <c r="F17" s="334">
        <v>2</v>
      </c>
      <c r="G17" s="67">
        <f t="shared" si="0"/>
        <v>28210</v>
      </c>
      <c r="H17" s="67">
        <f t="shared" si="1"/>
        <v>28850</v>
      </c>
      <c r="I17" s="67">
        <f t="shared" si="2"/>
        <v>56220</v>
      </c>
      <c r="O17" s="70"/>
      <c r="P17" s="71"/>
      <c r="Y17" s="72"/>
      <c r="Z17" s="72"/>
      <c r="AA17" s="73"/>
      <c r="AB17" s="71"/>
    </row>
    <row r="18" spans="1:28" s="67" customFormat="1">
      <c r="A18" s="74"/>
      <c r="B18" s="333" t="s">
        <v>351</v>
      </c>
      <c r="C18" s="156">
        <v>28000</v>
      </c>
      <c r="D18" s="334">
        <v>1</v>
      </c>
      <c r="E18" s="334">
        <v>1</v>
      </c>
      <c r="F18" s="334">
        <v>2</v>
      </c>
      <c r="G18" s="67">
        <f t="shared" si="0"/>
        <v>29240</v>
      </c>
      <c r="H18" s="67">
        <f t="shared" si="1"/>
        <v>29900</v>
      </c>
      <c r="I18" s="67">
        <f t="shared" si="2"/>
        <v>58280</v>
      </c>
      <c r="O18" s="70"/>
      <c r="P18" s="71"/>
      <c r="Y18" s="72"/>
      <c r="Z18" s="72"/>
      <c r="AA18" s="73"/>
      <c r="AB18" s="71"/>
    </row>
    <row r="19" spans="1:28" s="67" customFormat="1">
      <c r="A19" s="74"/>
      <c r="B19" s="333" t="s">
        <v>353</v>
      </c>
      <c r="C19" s="156">
        <f>32000</f>
        <v>32000</v>
      </c>
      <c r="D19" s="334">
        <v>2</v>
      </c>
      <c r="E19" s="334">
        <v>2</v>
      </c>
      <c r="F19" s="334">
        <v>4</v>
      </c>
      <c r="G19" s="67">
        <f t="shared" si="0"/>
        <v>65360</v>
      </c>
      <c r="H19" s="67">
        <f t="shared" si="1"/>
        <v>66100</v>
      </c>
      <c r="I19" s="67">
        <f t="shared" si="2"/>
        <v>130520</v>
      </c>
      <c r="O19" s="70"/>
      <c r="P19" s="71"/>
      <c r="Y19" s="72"/>
      <c r="Z19" s="72"/>
      <c r="AA19" s="73"/>
      <c r="AB19" s="71"/>
    </row>
    <row r="20" spans="1:28" s="72" customFormat="1">
      <c r="A20" s="80"/>
      <c r="B20" s="333" t="s">
        <v>360</v>
      </c>
      <c r="C20" s="156">
        <v>30000</v>
      </c>
      <c r="D20" s="334">
        <v>1</v>
      </c>
      <c r="E20" s="334">
        <v>2</v>
      </c>
      <c r="F20" s="334">
        <v>3</v>
      </c>
      <c r="G20" s="67">
        <f t="shared" si="0"/>
        <v>31300</v>
      </c>
      <c r="H20" s="67">
        <f t="shared" si="1"/>
        <v>62000</v>
      </c>
      <c r="I20" s="67">
        <f t="shared" si="2"/>
        <v>92400</v>
      </c>
      <c r="J20" s="81"/>
      <c r="O20" s="73"/>
      <c r="P20" s="71"/>
      <c r="AA20" s="73"/>
      <c r="AB20" s="71"/>
    </row>
    <row r="21" spans="1:28" s="72" customFormat="1">
      <c r="A21" s="80"/>
      <c r="B21" s="333" t="s">
        <v>354</v>
      </c>
      <c r="C21" s="156">
        <f>33000</f>
        <v>33000</v>
      </c>
      <c r="D21" s="334">
        <v>1</v>
      </c>
      <c r="E21" s="334">
        <v>1</v>
      </c>
      <c r="F21" s="334">
        <v>2</v>
      </c>
      <c r="G21" s="67">
        <f t="shared" si="0"/>
        <v>34390</v>
      </c>
      <c r="H21" s="67">
        <f t="shared" si="1"/>
        <v>35150</v>
      </c>
      <c r="I21" s="67">
        <f t="shared" si="2"/>
        <v>68580</v>
      </c>
      <c r="J21" s="81"/>
      <c r="O21" s="73"/>
      <c r="P21" s="71"/>
      <c r="AA21" s="73"/>
      <c r="AB21" s="71"/>
    </row>
    <row r="22" spans="1:28" s="72" customFormat="1">
      <c r="A22" s="80"/>
      <c r="B22" s="320" t="s">
        <v>365</v>
      </c>
      <c r="C22" s="335"/>
      <c r="G22" s="361">
        <f>SUM(G10:G18)</f>
        <v>209164</v>
      </c>
      <c r="H22" s="361">
        <f>SUM(H10:H21)</f>
        <v>377175</v>
      </c>
      <c r="I22" s="361">
        <f>SUM(I10:I21)</f>
        <v>638206</v>
      </c>
      <c r="O22" s="73"/>
      <c r="P22" s="71"/>
      <c r="AA22" s="73"/>
      <c r="AB22" s="71"/>
    </row>
    <row r="23" spans="1:28" s="67" customFormat="1" ht="15" customHeight="1">
      <c r="A23" s="74"/>
      <c r="B23" s="323"/>
      <c r="C23" s="335"/>
      <c r="D23" s="72"/>
      <c r="E23" s="72"/>
      <c r="F23" s="72"/>
      <c r="G23" s="72"/>
      <c r="H23" s="72"/>
      <c r="I23" s="72"/>
      <c r="O23" s="70"/>
      <c r="P23" s="71"/>
      <c r="Y23" s="72"/>
      <c r="Z23" s="72"/>
      <c r="AA23" s="73"/>
      <c r="AB23" s="71"/>
    </row>
    <row r="24" spans="1:28" s="91" customFormat="1" ht="15" customHeight="1">
      <c r="A24" s="87"/>
      <c r="B24" s="323"/>
      <c r="C24" s="335"/>
      <c r="D24" s="72"/>
      <c r="E24" s="72"/>
      <c r="F24" s="72"/>
      <c r="G24" s="72"/>
      <c r="H24" s="72"/>
      <c r="I24" s="72"/>
      <c r="O24" s="92"/>
      <c r="P24" s="93"/>
      <c r="Y24" s="94"/>
      <c r="Z24" s="94"/>
      <c r="AA24" s="95"/>
      <c r="AB24" s="93"/>
    </row>
    <row r="25" spans="1:28" s="67" customFormat="1" ht="15" customHeight="1">
      <c r="F25" s="336"/>
      <c r="G25" s="94"/>
      <c r="H25" s="94"/>
      <c r="I25" s="94"/>
      <c r="O25" s="70"/>
      <c r="P25" s="71"/>
      <c r="Y25" s="72"/>
      <c r="Z25" s="72"/>
      <c r="AA25" s="73"/>
      <c r="AB25" s="71"/>
    </row>
    <row r="26" spans="1:28" s="72" customFormat="1" outlineLevel="1">
      <c r="B26" s="67" t="s">
        <v>240</v>
      </c>
      <c r="G26" s="350" t="s">
        <v>371</v>
      </c>
      <c r="H26" s="341"/>
      <c r="I26" s="341"/>
      <c r="J26" s="341"/>
      <c r="O26" s="73"/>
      <c r="P26" s="71"/>
      <c r="AA26" s="73"/>
      <c r="AB26" s="71"/>
    </row>
    <row r="27" spans="1:28" s="72" customFormat="1" outlineLevel="1">
      <c r="B27" s="345" t="s">
        <v>367</v>
      </c>
      <c r="C27" s="346">
        <v>2024</v>
      </c>
      <c r="D27" s="346">
        <v>2025</v>
      </c>
      <c r="E27" s="346">
        <v>2026</v>
      </c>
      <c r="G27" s="345" t="s">
        <v>326</v>
      </c>
      <c r="H27" s="354">
        <f>C27</f>
        <v>2024</v>
      </c>
      <c r="I27" s="354">
        <f>D27</f>
        <v>2025</v>
      </c>
      <c r="J27" s="354">
        <f>E27</f>
        <v>2026</v>
      </c>
      <c r="O27" s="73"/>
      <c r="P27" s="71"/>
      <c r="AA27" s="73"/>
      <c r="AB27" s="71"/>
    </row>
    <row r="28" spans="1:28" s="72" customFormat="1" outlineLevel="1">
      <c r="B28" s="323" t="s">
        <v>368</v>
      </c>
      <c r="C28" s="347">
        <v>2000</v>
      </c>
      <c r="D28" s="323">
        <f t="shared" ref="D28:E30" si="3">C28</f>
        <v>2000</v>
      </c>
      <c r="E28" s="323">
        <f t="shared" si="3"/>
        <v>2000</v>
      </c>
      <c r="G28" s="323" t="s">
        <v>372</v>
      </c>
      <c r="H28" s="351">
        <v>15000</v>
      </c>
      <c r="I28" s="352">
        <f t="shared" ref="I28:J30" si="4">H28*1.2</f>
        <v>18000</v>
      </c>
      <c r="J28" s="352">
        <f t="shared" si="4"/>
        <v>21600</v>
      </c>
      <c r="O28" s="73"/>
      <c r="P28" s="71"/>
      <c r="AA28" s="73"/>
      <c r="AB28" s="71"/>
    </row>
    <row r="29" spans="1:28" s="72" customFormat="1" ht="31.8" outlineLevel="1" thickBot="1">
      <c r="B29" s="322" t="s">
        <v>369</v>
      </c>
      <c r="C29" s="347">
        <v>100</v>
      </c>
      <c r="D29" s="323">
        <f t="shared" si="3"/>
        <v>100</v>
      </c>
      <c r="E29" s="323">
        <f t="shared" si="3"/>
        <v>100</v>
      </c>
      <c r="G29" s="323" t="s">
        <v>373</v>
      </c>
      <c r="H29" s="351">
        <v>2000</v>
      </c>
      <c r="I29" s="352">
        <f t="shared" si="4"/>
        <v>2400</v>
      </c>
      <c r="J29" s="352">
        <f t="shared" si="4"/>
        <v>2880</v>
      </c>
      <c r="O29" s="73"/>
      <c r="P29" s="71"/>
      <c r="AA29" s="73"/>
      <c r="AB29" s="71"/>
    </row>
    <row r="30" spans="1:28" s="72" customFormat="1" outlineLevel="1">
      <c r="B30" s="323" t="s">
        <v>370</v>
      </c>
      <c r="C30" s="348">
        <v>200</v>
      </c>
      <c r="D30" s="349">
        <f t="shared" si="3"/>
        <v>200</v>
      </c>
      <c r="E30" s="349">
        <f t="shared" si="3"/>
        <v>200</v>
      </c>
      <c r="G30" s="323" t="s">
        <v>374</v>
      </c>
      <c r="H30" s="351">
        <v>1000</v>
      </c>
      <c r="I30" s="352">
        <f t="shared" si="4"/>
        <v>1200</v>
      </c>
      <c r="J30" s="352">
        <f t="shared" si="4"/>
        <v>1440</v>
      </c>
      <c r="O30" s="73"/>
      <c r="P30" s="59"/>
      <c r="Q30" s="60"/>
      <c r="R30" s="61"/>
      <c r="S30" s="62"/>
      <c r="T30" s="63"/>
      <c r="AA30" s="73"/>
      <c r="AB30" s="71"/>
    </row>
    <row r="31" spans="1:28" s="72" customFormat="1" outlineLevel="1">
      <c r="B31" s="323"/>
      <c r="C31" s="348"/>
      <c r="D31" s="349"/>
      <c r="E31" s="349"/>
      <c r="G31" s="323" t="s">
        <v>397</v>
      </c>
      <c r="H31" s="351">
        <v>100</v>
      </c>
      <c r="I31" s="352">
        <f>H31</f>
        <v>100</v>
      </c>
      <c r="J31" s="352">
        <f>I31</f>
        <v>100</v>
      </c>
      <c r="O31" s="73"/>
      <c r="P31" s="366"/>
      <c r="Q31" s="367"/>
      <c r="R31" s="368"/>
      <c r="S31" s="369"/>
      <c r="T31" s="369"/>
      <c r="AA31" s="73"/>
      <c r="AB31" s="71"/>
    </row>
    <row r="32" spans="1:28" s="72" customFormat="1" outlineLevel="1">
      <c r="B32" s="362" t="s">
        <v>395</v>
      </c>
      <c r="C32" s="363">
        <f>SUM(C28:C30)</f>
        <v>2300</v>
      </c>
      <c r="D32" s="363">
        <f t="shared" ref="D32:E32" si="5">SUM(D28:D30)</f>
        <v>2300</v>
      </c>
      <c r="E32" s="363">
        <f t="shared" si="5"/>
        <v>2300</v>
      </c>
      <c r="G32" s="362" t="s">
        <v>395</v>
      </c>
      <c r="H32" s="363">
        <f>SUM(H28:H31)</f>
        <v>18100</v>
      </c>
      <c r="I32" s="363">
        <f>SUM(I28:I31)</f>
        <v>21700</v>
      </c>
      <c r="J32" s="363">
        <f>SUM(J28:J31)</f>
        <v>26020</v>
      </c>
      <c r="O32" s="73"/>
      <c r="P32" s="325"/>
      <c r="Q32" s="68"/>
      <c r="R32" s="337"/>
      <c r="S32" s="337"/>
      <c r="T32" s="337"/>
      <c r="AA32" s="73"/>
      <c r="AB32" s="71"/>
    </row>
    <row r="33" spans="2:28" s="72" customFormat="1" outlineLevel="1">
      <c r="B33" s="74"/>
      <c r="C33" s="341"/>
      <c r="D33" s="341"/>
      <c r="E33" s="341"/>
      <c r="O33" s="73"/>
      <c r="P33" s="325"/>
      <c r="Q33" s="68"/>
      <c r="R33" s="337"/>
      <c r="S33" s="337"/>
      <c r="T33" s="337"/>
      <c r="AA33" s="73"/>
      <c r="AB33" s="71"/>
    </row>
    <row r="34" spans="2:28" s="72" customFormat="1" outlineLevel="1">
      <c r="O34" s="73"/>
      <c r="P34" s="325"/>
      <c r="Q34" s="68"/>
      <c r="R34" s="52"/>
      <c r="S34" s="52"/>
      <c r="T34" s="69"/>
      <c r="AA34" s="73"/>
      <c r="AB34" s="71"/>
    </row>
    <row r="35" spans="2:28" s="72" customFormat="1" outlineLevel="1">
      <c r="B35" s="372" t="s">
        <v>305</v>
      </c>
      <c r="C35" s="373"/>
      <c r="D35" s="373"/>
      <c r="E35" s="373"/>
      <c r="G35" s="360" t="s">
        <v>391</v>
      </c>
      <c r="H35" s="355"/>
      <c r="I35" s="355"/>
      <c r="J35" s="355"/>
      <c r="O35" s="73"/>
      <c r="P35" s="325"/>
      <c r="Q35" s="68"/>
      <c r="R35" s="52"/>
      <c r="S35" s="52"/>
      <c r="T35" s="69"/>
      <c r="AA35" s="73"/>
      <c r="AB35" s="71"/>
    </row>
    <row r="36" spans="2:28" s="72" customFormat="1" outlineLevel="1">
      <c r="B36" s="374" t="s">
        <v>326</v>
      </c>
      <c r="C36" s="375">
        <f>H27</f>
        <v>2024</v>
      </c>
      <c r="D36" s="375">
        <f>I27</f>
        <v>2025</v>
      </c>
      <c r="E36" s="375">
        <f>J27</f>
        <v>2026</v>
      </c>
      <c r="G36" s="345" t="s">
        <v>326</v>
      </c>
      <c r="H36" s="346">
        <f>C36</f>
        <v>2024</v>
      </c>
      <c r="I36" s="346">
        <f>D36</f>
        <v>2025</v>
      </c>
      <c r="J36" s="346">
        <f>E36</f>
        <v>2026</v>
      </c>
      <c r="O36" s="73"/>
      <c r="P36" s="326"/>
      <c r="Q36" s="68"/>
      <c r="R36" s="52"/>
      <c r="S36" s="52"/>
      <c r="T36" s="69"/>
      <c r="AA36" s="73"/>
      <c r="AB36" s="71"/>
    </row>
    <row r="37" spans="2:28" s="72" customFormat="1" ht="31.2" outlineLevel="1">
      <c r="B37" s="376" t="s">
        <v>375</v>
      </c>
      <c r="C37" s="377"/>
      <c r="D37" s="377"/>
      <c r="E37" s="377"/>
      <c r="G37" s="322" t="s">
        <v>376</v>
      </c>
      <c r="H37" s="351">
        <v>20000</v>
      </c>
      <c r="I37" s="352">
        <v>20000</v>
      </c>
      <c r="J37" s="352">
        <v>20000</v>
      </c>
      <c r="O37" s="73"/>
      <c r="P37" s="327"/>
      <c r="Q37" s="68"/>
      <c r="R37" s="52"/>
      <c r="S37" s="52"/>
      <c r="T37" s="69"/>
      <c r="V37" s="72" t="s">
        <v>419</v>
      </c>
      <c r="AA37" s="73"/>
      <c r="AB37" s="71"/>
    </row>
    <row r="38" spans="2:28" s="72" customFormat="1" outlineLevel="1">
      <c r="B38" s="378" t="s">
        <v>395</v>
      </c>
      <c r="C38" s="377"/>
      <c r="D38" s="377"/>
      <c r="E38" s="377"/>
      <c r="G38" s="322" t="s">
        <v>388</v>
      </c>
      <c r="H38" s="351">
        <v>10000</v>
      </c>
      <c r="I38" s="352">
        <f>H38</f>
        <v>10000</v>
      </c>
      <c r="J38" s="352">
        <f>I38</f>
        <v>10000</v>
      </c>
      <c r="O38" s="73"/>
      <c r="P38" s="326"/>
      <c r="Q38" s="68"/>
      <c r="R38" s="52"/>
      <c r="S38" s="52"/>
      <c r="T38" s="69"/>
      <c r="AA38" s="73"/>
      <c r="AB38" s="71"/>
    </row>
    <row r="39" spans="2:28" s="72" customFormat="1" outlineLevel="1">
      <c r="G39" s="362" t="s">
        <v>395</v>
      </c>
      <c r="H39" s="361">
        <f>SUM(H37:H38)</f>
        <v>30000</v>
      </c>
      <c r="I39" s="361">
        <f>SUM(I37:I38)</f>
        <v>30000</v>
      </c>
      <c r="J39" s="361">
        <f>SUM(J37:J38)</f>
        <v>30000</v>
      </c>
      <c r="O39" s="73"/>
      <c r="P39" s="328"/>
      <c r="Q39" s="68"/>
      <c r="R39" s="75"/>
      <c r="S39" s="75"/>
      <c r="T39" s="75"/>
      <c r="AA39" s="73"/>
      <c r="AB39" s="71"/>
    </row>
    <row r="40" spans="2:28" s="72" customFormat="1" outlineLevel="1">
      <c r="G40" s="362"/>
      <c r="H40" s="361"/>
      <c r="I40" s="361"/>
      <c r="J40" s="361"/>
      <c r="O40" s="73"/>
      <c r="P40" s="328"/>
      <c r="Q40" s="68"/>
      <c r="R40" s="75"/>
      <c r="S40" s="75"/>
      <c r="T40" s="75"/>
      <c r="AA40" s="73"/>
      <c r="AB40" s="71"/>
    </row>
    <row r="41" spans="2:28" s="72" customFormat="1" outlineLevel="1">
      <c r="B41" s="74"/>
      <c r="C41" s="341"/>
      <c r="D41" s="341"/>
      <c r="E41" s="341"/>
      <c r="O41" s="73"/>
      <c r="P41" s="328"/>
      <c r="Q41" s="68"/>
      <c r="R41" s="75"/>
      <c r="S41" s="75"/>
      <c r="T41" s="75"/>
      <c r="AA41" s="73"/>
      <c r="AB41" s="71"/>
    </row>
    <row r="42" spans="2:28" s="72" customFormat="1" ht="31.2" outlineLevel="1">
      <c r="B42" s="358" t="s">
        <v>384</v>
      </c>
      <c r="C42" s="352"/>
      <c r="D42" s="352"/>
      <c r="E42" s="352"/>
      <c r="G42" s="358" t="s">
        <v>385</v>
      </c>
      <c r="H42" s="352"/>
      <c r="I42" s="352"/>
      <c r="J42" s="352"/>
      <c r="O42" s="73"/>
      <c r="P42" s="328"/>
      <c r="Q42" s="68"/>
      <c r="R42" s="75"/>
      <c r="S42" s="75"/>
      <c r="T42" s="75"/>
      <c r="AA42" s="73"/>
      <c r="AB42" s="71"/>
    </row>
    <row r="43" spans="2:28" s="72" customFormat="1" ht="16.2" outlineLevel="1" thickBot="1">
      <c r="B43" s="345" t="s">
        <v>326</v>
      </c>
      <c r="C43" s="346">
        <f>H36</f>
        <v>2024</v>
      </c>
      <c r="D43" s="346">
        <f>I36</f>
        <v>2025</v>
      </c>
      <c r="E43" s="346">
        <f>J36</f>
        <v>2026</v>
      </c>
      <c r="G43" s="345" t="s">
        <v>326</v>
      </c>
      <c r="H43" s="346">
        <f>C43</f>
        <v>2024</v>
      </c>
      <c r="I43" s="346">
        <f>D43</f>
        <v>2025</v>
      </c>
      <c r="J43" s="346">
        <f>E43</f>
        <v>2026</v>
      </c>
      <c r="O43" s="73"/>
      <c r="P43" s="329"/>
      <c r="Q43" s="77"/>
      <c r="R43" s="78"/>
      <c r="S43" s="78"/>
      <c r="T43" s="79"/>
      <c r="AA43" s="73"/>
      <c r="AB43" s="71"/>
    </row>
    <row r="44" spans="2:28" s="72" customFormat="1" outlineLevel="1">
      <c r="B44" s="322" t="s">
        <v>377</v>
      </c>
      <c r="C44" s="347">
        <v>500</v>
      </c>
      <c r="D44" s="323">
        <f>C44</f>
        <v>500</v>
      </c>
      <c r="E44" s="323">
        <f>D44</f>
        <v>500</v>
      </c>
      <c r="G44" s="357" t="s">
        <v>336</v>
      </c>
      <c r="H44" s="347">
        <v>5000</v>
      </c>
      <c r="I44" s="347">
        <v>0</v>
      </c>
      <c r="J44" s="347">
        <v>0</v>
      </c>
      <c r="O44" s="73"/>
      <c r="P44" s="71"/>
      <c r="AA44" s="73"/>
      <c r="AB44" s="71"/>
    </row>
    <row r="45" spans="2:28" s="72" customFormat="1" ht="31.2" outlineLevel="1">
      <c r="B45" s="322" t="s">
        <v>378</v>
      </c>
      <c r="C45" s="347">
        <v>1000</v>
      </c>
      <c r="D45" s="323">
        <f t="shared" ref="D45:E52" si="6">C45</f>
        <v>1000</v>
      </c>
      <c r="E45" s="323">
        <f t="shared" si="6"/>
        <v>1000</v>
      </c>
      <c r="G45" s="357" t="s">
        <v>386</v>
      </c>
      <c r="H45" s="347">
        <v>800</v>
      </c>
      <c r="I45" s="333">
        <f t="shared" ref="I45:J47" si="7">H45</f>
        <v>800</v>
      </c>
      <c r="J45" s="333">
        <f t="shared" si="7"/>
        <v>800</v>
      </c>
      <c r="O45" s="73"/>
      <c r="P45" s="71"/>
      <c r="AA45" s="73"/>
      <c r="AB45" s="71"/>
    </row>
    <row r="46" spans="2:28" s="72" customFormat="1" outlineLevel="1">
      <c r="B46" s="357" t="s">
        <v>379</v>
      </c>
      <c r="C46" s="347">
        <v>400</v>
      </c>
      <c r="D46" s="323">
        <f t="shared" si="6"/>
        <v>400</v>
      </c>
      <c r="E46" s="323">
        <f t="shared" si="6"/>
        <v>400</v>
      </c>
      <c r="G46" s="357" t="s">
        <v>390</v>
      </c>
      <c r="H46" s="347">
        <v>300</v>
      </c>
      <c r="I46" s="333">
        <f t="shared" si="7"/>
        <v>300</v>
      </c>
      <c r="J46" s="333">
        <f t="shared" si="7"/>
        <v>300</v>
      </c>
      <c r="O46" s="73"/>
      <c r="P46" s="71"/>
      <c r="AA46" s="73"/>
      <c r="AB46" s="71"/>
    </row>
    <row r="47" spans="2:28" s="170" customFormat="1" outlineLevel="1">
      <c r="B47" s="357" t="s">
        <v>380</v>
      </c>
      <c r="C47" s="347">
        <v>200</v>
      </c>
      <c r="D47" s="323">
        <f t="shared" si="6"/>
        <v>200</v>
      </c>
      <c r="E47" s="323">
        <f t="shared" si="6"/>
        <v>200</v>
      </c>
      <c r="G47" s="357" t="s">
        <v>387</v>
      </c>
      <c r="H47" s="347">
        <v>500</v>
      </c>
      <c r="I47" s="333">
        <f t="shared" si="7"/>
        <v>500</v>
      </c>
      <c r="J47" s="333">
        <f t="shared" si="7"/>
        <v>500</v>
      </c>
      <c r="O47" s="178"/>
      <c r="P47" s="177"/>
      <c r="AA47" s="178"/>
      <c r="AB47" s="177"/>
    </row>
    <row r="48" spans="2:28" s="72" customFormat="1" outlineLevel="1">
      <c r="B48" s="357" t="s">
        <v>341</v>
      </c>
      <c r="C48" s="347">
        <v>200</v>
      </c>
      <c r="D48" s="323">
        <f t="shared" si="6"/>
        <v>200</v>
      </c>
      <c r="E48" s="323">
        <f t="shared" si="6"/>
        <v>200</v>
      </c>
      <c r="G48" s="357" t="s">
        <v>389</v>
      </c>
      <c r="H48" s="347">
        <v>2000</v>
      </c>
      <c r="I48" s="323">
        <v>2000</v>
      </c>
      <c r="J48" s="323">
        <v>2000</v>
      </c>
      <c r="O48" s="73"/>
      <c r="P48" s="71"/>
      <c r="AA48" s="73"/>
      <c r="AB48" s="71"/>
    </row>
    <row r="49" spans="1:28" s="72" customFormat="1" outlineLevel="1">
      <c r="B49" s="357" t="s">
        <v>340</v>
      </c>
      <c r="C49" s="347">
        <v>300</v>
      </c>
      <c r="D49" s="323">
        <f t="shared" si="6"/>
        <v>300</v>
      </c>
      <c r="E49" s="323">
        <f t="shared" si="6"/>
        <v>300</v>
      </c>
      <c r="F49" s="353"/>
      <c r="G49" s="362" t="s">
        <v>395</v>
      </c>
      <c r="H49" s="364">
        <f>SUM(H44:H48)</f>
        <v>8600</v>
      </c>
      <c r="I49" s="364">
        <f t="shared" ref="I49:J49" si="8">SUM(I44:I48)</f>
        <v>3600</v>
      </c>
      <c r="J49" s="364">
        <f t="shared" si="8"/>
        <v>3600</v>
      </c>
      <c r="O49" s="73"/>
      <c r="P49" s="71"/>
      <c r="AA49" s="73"/>
      <c r="AB49" s="71"/>
    </row>
    <row r="50" spans="1:28" s="72" customFormat="1" outlineLevel="1">
      <c r="B50" s="357" t="s">
        <v>381</v>
      </c>
      <c r="C50" s="347">
        <v>250</v>
      </c>
      <c r="D50" s="323">
        <f t="shared" si="6"/>
        <v>250</v>
      </c>
      <c r="E50" s="323">
        <f t="shared" si="6"/>
        <v>250</v>
      </c>
      <c r="F50" s="353"/>
      <c r="O50" s="71"/>
      <c r="P50" s="71"/>
      <c r="AA50" s="71"/>
      <c r="AB50" s="71"/>
    </row>
    <row r="51" spans="1:28" s="211" customFormat="1" outlineLevel="1">
      <c r="B51" s="357" t="s">
        <v>383</v>
      </c>
      <c r="C51" s="347">
        <v>200</v>
      </c>
      <c r="D51" s="323">
        <f t="shared" si="6"/>
        <v>200</v>
      </c>
      <c r="E51" s="323">
        <f t="shared" si="6"/>
        <v>200</v>
      </c>
    </row>
    <row r="52" spans="1:28" s="211" customFormat="1" outlineLevel="1">
      <c r="B52" s="357" t="s">
        <v>382</v>
      </c>
      <c r="C52" s="347">
        <v>100</v>
      </c>
      <c r="D52" s="333">
        <f t="shared" si="6"/>
        <v>100</v>
      </c>
      <c r="E52" s="333">
        <f t="shared" si="6"/>
        <v>100</v>
      </c>
    </row>
    <row r="53" spans="1:28" s="72" customFormat="1" outlineLevel="1">
      <c r="B53" s="362" t="s">
        <v>395</v>
      </c>
      <c r="C53" s="364">
        <f>SUM(C44:C52)</f>
        <v>3150</v>
      </c>
      <c r="D53" s="364">
        <f t="shared" ref="D53:E53" si="9">SUM(D44:D52)</f>
        <v>3150</v>
      </c>
      <c r="E53" s="364">
        <f t="shared" si="9"/>
        <v>3150</v>
      </c>
      <c r="F53" s="353"/>
      <c r="O53" s="73"/>
      <c r="P53" s="71"/>
      <c r="AA53" s="73"/>
      <c r="AB53" s="71"/>
    </row>
    <row r="54" spans="1:28" s="72" customFormat="1">
      <c r="O54" s="73"/>
      <c r="P54" s="71"/>
      <c r="AA54" s="73"/>
      <c r="AB54" s="71"/>
    </row>
    <row r="55" spans="1:28" s="72" customFormat="1">
      <c r="A55" s="107"/>
      <c r="O55" s="73"/>
      <c r="AA55" s="73"/>
      <c r="AB55" s="71"/>
    </row>
    <row r="56" spans="1:28" s="67" customFormat="1">
      <c r="A56" s="74"/>
      <c r="B56" s="67" t="s">
        <v>392</v>
      </c>
      <c r="C56" s="323"/>
      <c r="D56" s="333"/>
      <c r="E56" s="333"/>
      <c r="G56" s="67" t="s">
        <v>398</v>
      </c>
      <c r="O56" s="70"/>
      <c r="U56" s="72"/>
      <c r="V56" s="72"/>
      <c r="W56" s="72"/>
      <c r="X56" s="72"/>
      <c r="Y56" s="72"/>
      <c r="Z56" s="72"/>
      <c r="AA56" s="73"/>
      <c r="AB56" s="71"/>
    </row>
    <row r="57" spans="1:28" s="67" customFormat="1">
      <c r="A57" s="74"/>
      <c r="B57" s="345" t="s">
        <v>326</v>
      </c>
      <c r="C57" s="346">
        <f>H43</f>
        <v>2024</v>
      </c>
      <c r="D57" s="346">
        <f>I43</f>
        <v>2025</v>
      </c>
      <c r="E57" s="346">
        <f>J43</f>
        <v>2026</v>
      </c>
      <c r="G57" s="345" t="s">
        <v>326</v>
      </c>
      <c r="H57" s="346">
        <f>C57</f>
        <v>2024</v>
      </c>
      <c r="I57" s="346">
        <f t="shared" ref="I57:J57" si="10">D57</f>
        <v>2025</v>
      </c>
      <c r="J57" s="346">
        <f t="shared" si="10"/>
        <v>2026</v>
      </c>
      <c r="O57" s="70"/>
      <c r="U57" s="72"/>
      <c r="V57" s="72"/>
      <c r="W57" s="72"/>
      <c r="X57" s="72"/>
      <c r="Y57" s="72"/>
      <c r="Z57" s="72"/>
      <c r="AA57" s="73"/>
      <c r="AB57" s="71"/>
    </row>
    <row r="58" spans="1:28" s="67" customFormat="1">
      <c r="A58" s="74"/>
      <c r="B58" s="74" t="s">
        <v>394</v>
      </c>
      <c r="C58" s="359">
        <v>5000</v>
      </c>
      <c r="D58" s="74">
        <f>C58</f>
        <v>5000</v>
      </c>
      <c r="E58" s="74">
        <f>D58</f>
        <v>5000</v>
      </c>
      <c r="G58" s="333" t="s">
        <v>399</v>
      </c>
      <c r="H58" s="156">
        <v>50</v>
      </c>
      <c r="I58" s="67">
        <f t="shared" ref="I58:J60" si="11">H58</f>
        <v>50</v>
      </c>
      <c r="J58" s="67">
        <f t="shared" si="11"/>
        <v>50</v>
      </c>
      <c r="O58" s="70"/>
      <c r="U58" s="72"/>
      <c r="V58" s="72"/>
      <c r="W58" s="72"/>
      <c r="X58" s="72"/>
      <c r="Y58" s="72"/>
      <c r="Z58" s="72"/>
      <c r="AA58" s="73"/>
      <c r="AB58" s="71"/>
    </row>
    <row r="59" spans="1:28" s="67" customFormat="1" ht="31.2">
      <c r="A59" s="74"/>
      <c r="B59" s="74" t="s">
        <v>393</v>
      </c>
      <c r="C59" s="359">
        <v>4000</v>
      </c>
      <c r="D59" s="74">
        <f>C59</f>
        <v>4000</v>
      </c>
      <c r="E59" s="74">
        <f>D59</f>
        <v>4000</v>
      </c>
      <c r="G59" s="357" t="s">
        <v>400</v>
      </c>
      <c r="H59" s="156">
        <v>200</v>
      </c>
      <c r="I59" s="67">
        <f t="shared" si="11"/>
        <v>200</v>
      </c>
      <c r="J59" s="67">
        <f t="shared" si="11"/>
        <v>200</v>
      </c>
      <c r="O59" s="70"/>
      <c r="U59" s="72"/>
      <c r="V59" s="72"/>
      <c r="W59" s="72"/>
      <c r="X59" s="72"/>
      <c r="Y59" s="72"/>
      <c r="Z59" s="72"/>
      <c r="AA59" s="73"/>
      <c r="AB59" s="71"/>
    </row>
    <row r="60" spans="1:28" s="67" customFormat="1">
      <c r="A60" s="74"/>
      <c r="B60" s="362" t="s">
        <v>395</v>
      </c>
      <c r="C60" s="365">
        <f>SUM(C58:C59)</f>
        <v>9000</v>
      </c>
      <c r="D60" s="365">
        <f>SUM(D58:D59)</f>
        <v>9000</v>
      </c>
      <c r="E60" s="365">
        <f>SUM(E58:E59)</f>
        <v>9000</v>
      </c>
      <c r="G60" s="357" t="s">
        <v>401</v>
      </c>
      <c r="H60" s="156">
        <v>200</v>
      </c>
      <c r="I60" s="67">
        <f t="shared" si="11"/>
        <v>200</v>
      </c>
      <c r="J60" s="67">
        <f t="shared" si="11"/>
        <v>200</v>
      </c>
      <c r="O60" s="70"/>
      <c r="U60" s="72"/>
      <c r="V60" s="72"/>
      <c r="W60" s="72"/>
      <c r="X60" s="72"/>
      <c r="Y60" s="72"/>
      <c r="Z60" s="72"/>
      <c r="AA60" s="73"/>
      <c r="AB60" s="71"/>
    </row>
    <row r="61" spans="1:28" s="67" customFormat="1">
      <c r="A61" s="74"/>
      <c r="G61" s="362" t="s">
        <v>395</v>
      </c>
      <c r="H61" s="365">
        <f>SUM(H58:H59)</f>
        <v>250</v>
      </c>
      <c r="I61" s="365">
        <f t="shared" ref="I61:J61" si="12">SUM(I58:I59)</f>
        <v>250</v>
      </c>
      <c r="J61" s="365">
        <f t="shared" si="12"/>
        <v>250</v>
      </c>
      <c r="O61" s="70"/>
      <c r="U61" s="72"/>
      <c r="V61" s="72"/>
      <c r="W61" s="72"/>
      <c r="X61" s="72"/>
      <c r="Y61" s="72"/>
      <c r="Z61" s="72"/>
      <c r="AA61" s="73"/>
      <c r="AB61" s="71"/>
    </row>
    <row r="62" spans="1:28" s="67" customFormat="1">
      <c r="A62" s="74"/>
      <c r="O62" s="70"/>
      <c r="U62" s="72"/>
      <c r="V62" s="72"/>
      <c r="W62" s="72"/>
      <c r="X62" s="72"/>
      <c r="Y62" s="72"/>
      <c r="Z62" s="72"/>
      <c r="AA62" s="73"/>
      <c r="AB62" s="71"/>
    </row>
    <row r="63" spans="1:28" s="67" customFormat="1">
      <c r="A63" s="74"/>
      <c r="O63" s="70"/>
      <c r="U63" s="72"/>
      <c r="V63" s="72"/>
      <c r="W63" s="72"/>
      <c r="X63" s="72"/>
      <c r="Y63" s="72"/>
      <c r="Z63" s="72"/>
      <c r="AA63" s="73"/>
      <c r="AB63" s="71"/>
    </row>
    <row r="64" spans="1:28" s="67" customFormat="1">
      <c r="A64" s="74"/>
      <c r="B64" s="67" t="s">
        <v>396</v>
      </c>
      <c r="O64" s="70"/>
      <c r="U64" s="72"/>
      <c r="V64" s="72"/>
      <c r="W64" s="72"/>
      <c r="X64" s="72"/>
      <c r="Y64" s="72"/>
      <c r="Z64" s="72"/>
      <c r="AA64" s="73"/>
      <c r="AB64" s="71"/>
    </row>
    <row r="65" spans="1:28" s="67" customFormat="1">
      <c r="A65" s="74"/>
      <c r="B65" s="345" t="s">
        <v>326</v>
      </c>
      <c r="C65" s="67" t="s">
        <v>403</v>
      </c>
      <c r="D65" s="346" t="s">
        <v>357</v>
      </c>
      <c r="E65" s="346" t="s">
        <v>358</v>
      </c>
      <c r="F65" s="346" t="s">
        <v>359</v>
      </c>
      <c r="G65" s="371">
        <v>2024</v>
      </c>
      <c r="H65" s="371">
        <v>2025</v>
      </c>
      <c r="I65" s="371">
        <v>2026</v>
      </c>
      <c r="J65" s="67" t="s">
        <v>413</v>
      </c>
      <c r="K65" s="67" t="s">
        <v>414</v>
      </c>
      <c r="L65" s="67" t="s">
        <v>417</v>
      </c>
      <c r="O65" s="70"/>
      <c r="U65" s="72"/>
      <c r="V65" s="72"/>
      <c r="W65" s="72"/>
      <c r="X65" s="72"/>
      <c r="Y65" s="72"/>
      <c r="Z65" s="72"/>
      <c r="AA65" s="73"/>
      <c r="AB65" s="71"/>
    </row>
    <row r="66" spans="1:28" s="67" customFormat="1">
      <c r="A66" s="74"/>
      <c r="B66" s="357" t="s">
        <v>402</v>
      </c>
      <c r="C66" s="347">
        <v>800</v>
      </c>
      <c r="D66" s="356">
        <v>12</v>
      </c>
      <c r="E66" s="356">
        <v>13</v>
      </c>
      <c r="F66" s="356">
        <v>22</v>
      </c>
      <c r="G66" s="333">
        <f t="shared" ref="G66:I75" si="13">$C66*D66</f>
        <v>9600</v>
      </c>
      <c r="H66" s="333">
        <f t="shared" si="13"/>
        <v>10400</v>
      </c>
      <c r="I66" s="333">
        <f t="shared" si="13"/>
        <v>17600</v>
      </c>
      <c r="J66" s="356">
        <v>4</v>
      </c>
      <c r="K66" s="333" t="s">
        <v>416</v>
      </c>
      <c r="L66" s="379" t="s">
        <v>350</v>
      </c>
      <c r="O66" s="70"/>
      <c r="U66" s="72"/>
      <c r="V66" s="72"/>
      <c r="W66" s="72"/>
      <c r="X66" s="72"/>
      <c r="Y66" s="72"/>
      <c r="Z66" s="72"/>
      <c r="AA66" s="73"/>
      <c r="AB66" s="71"/>
    </row>
    <row r="67" spans="1:28" s="67" customFormat="1">
      <c r="A67" s="74"/>
      <c r="B67" s="333" t="s">
        <v>404</v>
      </c>
      <c r="C67" s="347">
        <v>1200</v>
      </c>
      <c r="D67" s="356">
        <v>1</v>
      </c>
      <c r="E67" s="356">
        <v>0</v>
      </c>
      <c r="F67" s="356">
        <v>0</v>
      </c>
      <c r="G67" s="333">
        <f t="shared" si="13"/>
        <v>1200</v>
      </c>
      <c r="H67" s="333">
        <f t="shared" si="13"/>
        <v>0</v>
      </c>
      <c r="I67" s="333">
        <f t="shared" si="13"/>
        <v>0</v>
      </c>
      <c r="J67" s="356">
        <v>5</v>
      </c>
      <c r="K67" s="333" t="s">
        <v>416</v>
      </c>
      <c r="L67" s="379" t="s">
        <v>350</v>
      </c>
      <c r="O67" s="70"/>
      <c r="U67" s="72"/>
      <c r="V67" s="72"/>
      <c r="W67" s="72"/>
      <c r="X67" s="72"/>
      <c r="Y67" s="72"/>
      <c r="Z67" s="72"/>
      <c r="AA67" s="73"/>
      <c r="AB67" s="71"/>
    </row>
    <row r="68" spans="1:28" s="67" customFormat="1">
      <c r="A68" s="74"/>
      <c r="B68" s="333" t="s">
        <v>405</v>
      </c>
      <c r="C68" s="347">
        <v>80</v>
      </c>
      <c r="D68" s="356">
        <v>3</v>
      </c>
      <c r="E68" s="356">
        <v>0</v>
      </c>
      <c r="F68" s="356">
        <v>1</v>
      </c>
      <c r="G68" s="333">
        <f t="shared" si="13"/>
        <v>240</v>
      </c>
      <c r="H68" s="333">
        <f t="shared" si="13"/>
        <v>0</v>
      </c>
      <c r="I68" s="333">
        <f>$C68*F68</f>
        <v>80</v>
      </c>
      <c r="J68" s="356">
        <v>5</v>
      </c>
      <c r="K68" s="333" t="s">
        <v>416</v>
      </c>
      <c r="L68" s="379" t="s">
        <v>350</v>
      </c>
      <c r="O68" s="70"/>
      <c r="U68" s="72"/>
      <c r="V68" s="72"/>
      <c r="W68" s="72"/>
      <c r="X68" s="72"/>
      <c r="Y68" s="72"/>
      <c r="Z68" s="72"/>
      <c r="AA68" s="73"/>
      <c r="AB68" s="71"/>
    </row>
    <row r="69" spans="1:28" s="67" customFormat="1">
      <c r="A69" s="74"/>
      <c r="B69" s="333" t="s">
        <v>406</v>
      </c>
      <c r="C69" s="347">
        <v>300</v>
      </c>
      <c r="D69" s="356">
        <v>2</v>
      </c>
      <c r="E69" s="356">
        <v>6</v>
      </c>
      <c r="F69" s="356">
        <v>10</v>
      </c>
      <c r="G69" s="333">
        <f t="shared" si="13"/>
        <v>600</v>
      </c>
      <c r="H69" s="333">
        <f t="shared" si="13"/>
        <v>1800</v>
      </c>
      <c r="I69" s="333">
        <f t="shared" si="13"/>
        <v>3000</v>
      </c>
      <c r="J69" s="356">
        <v>4</v>
      </c>
      <c r="K69" s="333" t="s">
        <v>416</v>
      </c>
      <c r="L69" s="379" t="s">
        <v>350</v>
      </c>
      <c r="O69" s="70"/>
      <c r="U69" s="72"/>
      <c r="V69" s="72"/>
      <c r="W69" s="72"/>
      <c r="X69" s="72"/>
      <c r="Y69" s="72"/>
      <c r="Z69" s="72"/>
      <c r="AA69" s="73"/>
      <c r="AB69" s="71"/>
    </row>
    <row r="70" spans="1:28" s="67" customFormat="1">
      <c r="A70" s="74"/>
      <c r="B70" s="333" t="s">
        <v>407</v>
      </c>
      <c r="C70" s="347">
        <v>30000</v>
      </c>
      <c r="D70" s="356">
        <v>1</v>
      </c>
      <c r="E70" s="356">
        <v>1</v>
      </c>
      <c r="F70" s="356">
        <v>2</v>
      </c>
      <c r="G70" s="333">
        <f t="shared" si="13"/>
        <v>30000</v>
      </c>
      <c r="H70" s="333">
        <f t="shared" si="13"/>
        <v>30000</v>
      </c>
      <c r="I70" s="333">
        <f t="shared" si="13"/>
        <v>60000</v>
      </c>
      <c r="J70" s="356"/>
      <c r="K70" s="333" t="s">
        <v>415</v>
      </c>
      <c r="L70" s="381">
        <v>0.4</v>
      </c>
      <c r="O70" s="70"/>
      <c r="U70" s="72"/>
      <c r="V70" s="72"/>
      <c r="W70" s="72"/>
      <c r="X70" s="72"/>
      <c r="Y70" s="72"/>
      <c r="Z70" s="72"/>
      <c r="AA70" s="73"/>
      <c r="AB70" s="71"/>
    </row>
    <row r="71" spans="1:28" s="67" customFormat="1">
      <c r="A71" s="74"/>
      <c r="B71" s="333" t="s">
        <v>408</v>
      </c>
      <c r="C71" s="347">
        <v>100</v>
      </c>
      <c r="D71" s="356">
        <v>12</v>
      </c>
      <c r="E71" s="356">
        <v>1</v>
      </c>
      <c r="F71" s="356">
        <v>10</v>
      </c>
      <c r="G71" s="333">
        <f t="shared" si="13"/>
        <v>1200</v>
      </c>
      <c r="H71" s="333">
        <f t="shared" si="13"/>
        <v>100</v>
      </c>
      <c r="I71" s="333">
        <f t="shared" si="13"/>
        <v>1000</v>
      </c>
      <c r="J71" s="356">
        <v>4</v>
      </c>
      <c r="K71" s="333" t="s">
        <v>416</v>
      </c>
      <c r="L71" s="380" t="s">
        <v>350</v>
      </c>
      <c r="O71" s="70"/>
      <c r="U71" s="72"/>
      <c r="V71" s="72"/>
      <c r="W71" s="72"/>
      <c r="X71" s="72"/>
      <c r="Y71" s="72"/>
      <c r="Z71" s="72"/>
      <c r="AA71" s="73"/>
      <c r="AB71" s="71"/>
    </row>
    <row r="72" spans="1:28" s="67" customFormat="1">
      <c r="A72" s="74"/>
      <c r="B72" s="333" t="s">
        <v>409</v>
      </c>
      <c r="C72" s="347">
        <v>80</v>
      </c>
      <c r="D72" s="356">
        <v>12</v>
      </c>
      <c r="E72" s="356">
        <v>1</v>
      </c>
      <c r="F72" s="356">
        <v>10</v>
      </c>
      <c r="G72" s="333">
        <f t="shared" si="13"/>
        <v>960</v>
      </c>
      <c r="H72" s="333">
        <f t="shared" si="13"/>
        <v>80</v>
      </c>
      <c r="I72" s="333">
        <f t="shared" si="13"/>
        <v>800</v>
      </c>
      <c r="J72" s="356">
        <v>7</v>
      </c>
      <c r="K72" s="333" t="s">
        <v>416</v>
      </c>
      <c r="L72" s="380" t="s">
        <v>350</v>
      </c>
      <c r="O72" s="70"/>
      <c r="U72" s="72"/>
      <c r="V72" s="72"/>
      <c r="W72" s="72"/>
      <c r="X72" s="72"/>
      <c r="Y72" s="72"/>
      <c r="Z72" s="72"/>
      <c r="AA72" s="73"/>
      <c r="AB72" s="71"/>
    </row>
    <row r="73" spans="1:28" s="67" customFormat="1">
      <c r="A73" s="74"/>
      <c r="B73" s="333" t="s">
        <v>410</v>
      </c>
      <c r="C73" s="347">
        <v>2000</v>
      </c>
      <c r="D73" s="356">
        <v>1</v>
      </c>
      <c r="E73" s="356">
        <v>1</v>
      </c>
      <c r="F73" s="356">
        <v>0</v>
      </c>
      <c r="G73" s="333">
        <f t="shared" si="13"/>
        <v>2000</v>
      </c>
      <c r="H73" s="333">
        <f t="shared" si="13"/>
        <v>2000</v>
      </c>
      <c r="I73" s="333">
        <f t="shared" si="13"/>
        <v>0</v>
      </c>
      <c r="J73" s="356"/>
      <c r="K73" s="333" t="s">
        <v>415</v>
      </c>
      <c r="L73" s="381">
        <v>0.1</v>
      </c>
      <c r="O73" s="70"/>
      <c r="U73" s="72"/>
      <c r="V73" s="72"/>
      <c r="W73" s="72"/>
      <c r="X73" s="72"/>
      <c r="Y73" s="72"/>
      <c r="Z73" s="72"/>
      <c r="AA73" s="73"/>
      <c r="AB73" s="71"/>
    </row>
    <row r="74" spans="1:28" s="67" customFormat="1">
      <c r="A74" s="74"/>
      <c r="B74" s="333" t="s">
        <v>411</v>
      </c>
      <c r="C74" s="347">
        <v>900</v>
      </c>
      <c r="D74" s="356">
        <v>4</v>
      </c>
      <c r="E74" s="356">
        <v>0</v>
      </c>
      <c r="F74" s="356">
        <v>0</v>
      </c>
      <c r="G74" s="333">
        <f t="shared" si="13"/>
        <v>3600</v>
      </c>
      <c r="H74" s="333">
        <f t="shared" si="13"/>
        <v>0</v>
      </c>
      <c r="I74" s="333">
        <f t="shared" si="13"/>
        <v>0</v>
      </c>
      <c r="J74" s="356">
        <v>5</v>
      </c>
      <c r="K74" s="333" t="s">
        <v>416</v>
      </c>
      <c r="L74" s="380" t="s">
        <v>350</v>
      </c>
      <c r="O74" s="70"/>
      <c r="U74" s="72"/>
      <c r="V74" s="72"/>
      <c r="W74" s="72"/>
      <c r="X74" s="72"/>
      <c r="Y74" s="72"/>
      <c r="Z74" s="72"/>
      <c r="AA74" s="73"/>
      <c r="AB74" s="71"/>
    </row>
    <row r="75" spans="1:28" s="67" customFormat="1">
      <c r="A75" s="74"/>
      <c r="B75" s="370" t="s">
        <v>412</v>
      </c>
      <c r="C75" s="347">
        <v>40</v>
      </c>
      <c r="D75" s="356">
        <v>10</v>
      </c>
      <c r="E75" s="356">
        <v>0</v>
      </c>
      <c r="F75" s="356">
        <v>0</v>
      </c>
      <c r="G75" s="333">
        <f t="shared" si="13"/>
        <v>400</v>
      </c>
      <c r="H75" s="333">
        <f t="shared" si="13"/>
        <v>0</v>
      </c>
      <c r="I75" s="333">
        <f t="shared" si="13"/>
        <v>0</v>
      </c>
      <c r="J75" s="356">
        <v>8</v>
      </c>
      <c r="K75" s="333" t="s">
        <v>416</v>
      </c>
      <c r="L75" s="379" t="s">
        <v>350</v>
      </c>
      <c r="O75" s="68"/>
      <c r="U75" s="72"/>
      <c r="V75" s="72"/>
      <c r="W75" s="72"/>
      <c r="X75" s="72"/>
      <c r="Y75" s="72"/>
      <c r="Z75" s="72"/>
      <c r="AA75" s="71"/>
      <c r="AB75" s="71"/>
    </row>
    <row r="76" spans="1:28" s="67" customFormat="1">
      <c r="A76" s="74"/>
      <c r="B76" s="333" t="s">
        <v>230</v>
      </c>
      <c r="C76" s="333"/>
      <c r="D76" s="333"/>
      <c r="E76" s="333"/>
      <c r="F76" s="333"/>
      <c r="G76" s="382">
        <f>SUM(G66:G75)</f>
        <v>49800</v>
      </c>
      <c r="H76" s="382">
        <f t="shared" ref="H76" si="14">SUM(H66:H75)</f>
        <v>44380</v>
      </c>
      <c r="I76" s="382">
        <f>SUM(I66:I75)</f>
        <v>82480</v>
      </c>
      <c r="O76" s="68"/>
      <c r="U76" s="72"/>
      <c r="V76" s="72"/>
      <c r="W76" s="72"/>
      <c r="X76" s="72"/>
      <c r="Y76" s="72"/>
      <c r="Z76" s="72"/>
      <c r="AA76" s="71"/>
      <c r="AB76" s="71"/>
    </row>
    <row r="77" spans="1:28" s="67" customFormat="1">
      <c r="A77" s="74"/>
      <c r="O77" s="68"/>
      <c r="U77" s="72"/>
      <c r="V77" s="72"/>
      <c r="W77" s="72"/>
      <c r="X77" s="72"/>
      <c r="Y77" s="72"/>
      <c r="Z77" s="72"/>
      <c r="AA77" s="71"/>
      <c r="AB77" s="71"/>
    </row>
    <row r="78" spans="1:28" s="74" customFormat="1"/>
    <row r="79" spans="1:28" s="74" customFormat="1"/>
    <row r="80" spans="1:28" s="74" customFormat="1"/>
    <row r="81" spans="1:28" s="74" customFormat="1"/>
    <row r="82" spans="1:28" s="74" customFormat="1"/>
    <row r="83" spans="1:28" s="67" customFormat="1" ht="16.2" thickBot="1">
      <c r="A83" s="74"/>
      <c r="O83" s="70"/>
      <c r="U83" s="72"/>
      <c r="V83" s="72"/>
      <c r="W83" s="72"/>
      <c r="X83" s="72"/>
      <c r="Y83" s="72"/>
      <c r="Z83" s="72"/>
      <c r="AA83" s="73"/>
      <c r="AB83" s="71"/>
    </row>
    <row r="84" spans="1:28" s="67" customFormat="1">
      <c r="A84" s="74"/>
      <c r="B84" s="82" t="s">
        <v>6</v>
      </c>
      <c r="C84" s="83"/>
      <c r="D84" s="84"/>
      <c r="E84" s="85"/>
      <c r="F84" s="85"/>
      <c r="G84" s="72"/>
      <c r="H84" s="72"/>
      <c r="I84" s="72"/>
      <c r="J84" s="72"/>
      <c r="K84" s="72"/>
      <c r="L84" s="72"/>
      <c r="M84" s="72"/>
      <c r="O84" s="70"/>
      <c r="U84" s="72"/>
      <c r="V84" s="72"/>
      <c r="W84" s="72"/>
      <c r="X84" s="72"/>
      <c r="Y84" s="72"/>
      <c r="Z84" s="72"/>
      <c r="AA84" s="73"/>
      <c r="AB84" s="71"/>
    </row>
    <row r="85" spans="1:28" s="67" customFormat="1">
      <c r="A85" s="74"/>
      <c r="B85" s="86" t="s">
        <v>32</v>
      </c>
      <c r="C85" s="68"/>
      <c r="D85" s="76">
        <v>250000</v>
      </c>
      <c r="E85" s="71"/>
      <c r="F85" s="71"/>
      <c r="O85" s="70"/>
      <c r="U85" s="72"/>
      <c r="V85" s="72"/>
      <c r="W85" s="72"/>
      <c r="X85" s="72"/>
      <c r="Y85" s="72"/>
      <c r="Z85" s="72"/>
      <c r="AA85" s="73"/>
      <c r="AB85" s="71"/>
    </row>
    <row r="86" spans="1:28" s="67" customFormat="1">
      <c r="A86" s="74"/>
      <c r="B86" s="88" t="s">
        <v>29</v>
      </c>
      <c r="C86" s="89"/>
      <c r="D86" s="90">
        <v>0.05</v>
      </c>
      <c r="E86" s="71"/>
      <c r="F86" s="71"/>
      <c r="G86" s="91"/>
      <c r="H86" s="91"/>
      <c r="I86" s="91"/>
      <c r="J86" s="91"/>
      <c r="K86" s="91"/>
      <c r="L86" s="91"/>
      <c r="M86" s="91"/>
      <c r="O86" s="70"/>
      <c r="U86" s="72"/>
      <c r="V86" s="72"/>
      <c r="W86" s="72"/>
      <c r="X86" s="72"/>
      <c r="Y86" s="72"/>
      <c r="Z86" s="72"/>
      <c r="AA86" s="73"/>
      <c r="AB86" s="71"/>
    </row>
    <row r="87" spans="1:28" s="67" customFormat="1" ht="16.2" thickBot="1">
      <c r="A87" s="74"/>
      <c r="B87" s="96" t="s">
        <v>59</v>
      </c>
      <c r="C87" s="77"/>
      <c r="D87" s="97">
        <v>60</v>
      </c>
      <c r="E87" s="71"/>
      <c r="F87" s="71"/>
      <c r="O87" s="70"/>
      <c r="U87" s="72"/>
      <c r="V87" s="72"/>
      <c r="W87" s="72"/>
      <c r="X87" s="72"/>
      <c r="Y87" s="72"/>
      <c r="Z87" s="72"/>
      <c r="AA87" s="73"/>
      <c r="AB87" s="71"/>
    </row>
    <row r="88" spans="1:28" s="67" customFormat="1">
      <c r="A88" s="74"/>
      <c r="B88" s="98"/>
      <c r="C88" s="83"/>
      <c r="D88" s="99">
        <f>R30</f>
        <v>0</v>
      </c>
      <c r="E88" s="99">
        <f>S30</f>
        <v>0</v>
      </c>
      <c r="F88" s="100">
        <f>T30</f>
        <v>0</v>
      </c>
      <c r="G88" s="72"/>
      <c r="H88" s="72"/>
      <c r="I88" s="72"/>
      <c r="J88" s="72"/>
      <c r="K88" s="72"/>
      <c r="L88" s="72"/>
      <c r="M88" s="72"/>
      <c r="O88" s="70"/>
      <c r="U88" s="72"/>
      <c r="V88" s="72"/>
      <c r="W88" s="72"/>
      <c r="X88" s="72"/>
      <c r="Y88" s="72"/>
      <c r="Z88" s="72"/>
      <c r="AA88" s="73"/>
      <c r="AB88" s="71"/>
    </row>
    <row r="89" spans="1:28" s="67" customFormat="1">
      <c r="A89" s="74"/>
      <c r="B89" s="101" t="s">
        <v>0</v>
      </c>
      <c r="C89" s="71"/>
      <c r="D89" s="102">
        <f>D90+D91</f>
        <v>101752.5141774324</v>
      </c>
      <c r="E89" s="102">
        <f t="shared" ref="E89:F89" si="15">E90+E91</f>
        <v>106183.21049643742</v>
      </c>
      <c r="F89" s="103">
        <f t="shared" si="15"/>
        <v>110849.42843541552</v>
      </c>
      <c r="G89" s="72"/>
      <c r="H89" s="72"/>
      <c r="I89" s="72"/>
      <c r="J89" s="72"/>
      <c r="K89" s="72"/>
      <c r="L89" s="72"/>
      <c r="M89" s="72"/>
      <c r="O89" s="70"/>
      <c r="U89" s="72"/>
      <c r="V89" s="72"/>
      <c r="W89" s="72"/>
      <c r="X89" s="72"/>
      <c r="Y89" s="72"/>
      <c r="Z89" s="72"/>
      <c r="AA89" s="73"/>
      <c r="AB89" s="71"/>
    </row>
    <row r="90" spans="1:28" s="67" customFormat="1">
      <c r="A90" s="74"/>
      <c r="B90" s="101" t="s">
        <v>1</v>
      </c>
      <c r="C90" s="71"/>
      <c r="D90" s="102">
        <f>-SUM(D136:O136)</f>
        <v>11474.887686633192</v>
      </c>
      <c r="E90" s="102">
        <f>-SUM(E136:P136)</f>
        <v>11286.809298110693</v>
      </c>
      <c r="F90" s="102">
        <f>-SUM(F136:Q136)</f>
        <v>11097.947249636018</v>
      </c>
      <c r="G90" s="72"/>
      <c r="H90" s="72"/>
      <c r="I90" s="72"/>
      <c r="J90" s="72"/>
      <c r="K90" s="72"/>
      <c r="L90" s="72"/>
      <c r="M90" s="72"/>
      <c r="O90" s="70"/>
      <c r="U90" s="72"/>
      <c r="V90" s="72"/>
      <c r="W90" s="72"/>
      <c r="X90" s="72"/>
      <c r="Y90" s="72"/>
      <c r="Z90" s="72"/>
      <c r="AA90" s="73"/>
      <c r="AB90" s="71"/>
    </row>
    <row r="91" spans="1:28" s="67" customFormat="1" ht="16.2" thickBot="1">
      <c r="A91" s="74"/>
      <c r="B91" s="96" t="s">
        <v>2</v>
      </c>
      <c r="C91" s="104"/>
      <c r="D91" s="105">
        <f>SUM('Cash Flow'!D147:O147)</f>
        <v>90277.626490799215</v>
      </c>
      <c r="E91" s="105">
        <f>SUM('Cash Flow'!P147:AA147)</f>
        <v>94896.401198326726</v>
      </c>
      <c r="F91" s="106">
        <f>SUM('Cash Flow'!AB147:AM147)</f>
        <v>99751.481185779499</v>
      </c>
      <c r="G91" s="72"/>
      <c r="H91" s="72"/>
      <c r="I91" s="72"/>
      <c r="J91" s="72"/>
      <c r="K91" s="72"/>
      <c r="L91" s="72"/>
      <c r="M91" s="72"/>
      <c r="O91" s="70"/>
      <c r="P91" s="71"/>
      <c r="Q91" s="72"/>
      <c r="R91" s="72"/>
      <c r="S91" s="72"/>
      <c r="T91" s="72"/>
      <c r="U91" s="72"/>
      <c r="V91" s="72"/>
      <c r="W91" s="72"/>
      <c r="X91" s="72"/>
      <c r="Y91" s="72"/>
      <c r="Z91" s="72"/>
      <c r="AA91" s="73"/>
      <c r="AB91" s="71"/>
    </row>
    <row r="92" spans="1:28" s="67" customFormat="1">
      <c r="A92" s="74"/>
      <c r="B92" s="107" t="s">
        <v>60</v>
      </c>
      <c r="C92" s="72"/>
      <c r="D92" s="108"/>
      <c r="E92" s="108"/>
      <c r="F92" s="108"/>
      <c r="G92" s="72"/>
      <c r="H92" s="72"/>
      <c r="I92" s="72"/>
      <c r="J92" s="72"/>
      <c r="K92" s="72"/>
      <c r="L92" s="72"/>
      <c r="M92" s="72"/>
      <c r="O92" s="70"/>
      <c r="P92" s="71"/>
      <c r="Q92" s="72"/>
      <c r="R92" s="72"/>
      <c r="S92" s="72"/>
      <c r="T92" s="72"/>
      <c r="U92" s="72"/>
      <c r="V92" s="72"/>
      <c r="W92" s="72"/>
      <c r="X92" s="72"/>
      <c r="Y92" s="72"/>
      <c r="Z92" s="72"/>
      <c r="AA92" s="73"/>
      <c r="AB92" s="71"/>
    </row>
    <row r="93" spans="1:28" s="67" customFormat="1" ht="16.2" thickBot="1">
      <c r="A93" s="74"/>
      <c r="B93" s="18"/>
      <c r="C93" s="72"/>
      <c r="D93" s="108"/>
      <c r="E93" s="108"/>
      <c r="F93" s="108"/>
      <c r="G93" s="72"/>
      <c r="H93" s="72"/>
      <c r="I93" s="72"/>
      <c r="J93" s="72"/>
      <c r="K93" s="72"/>
      <c r="L93" s="72"/>
      <c r="M93" s="72"/>
      <c r="O93" s="70"/>
      <c r="P93" s="71"/>
      <c r="Q93" s="72"/>
      <c r="R93" s="72"/>
      <c r="S93" s="72"/>
      <c r="T93" s="72"/>
      <c r="U93" s="72"/>
      <c r="V93" s="72"/>
      <c r="W93" s="72"/>
      <c r="X93" s="72"/>
      <c r="Y93" s="72"/>
      <c r="Z93" s="72"/>
      <c r="AA93" s="73"/>
      <c r="AB93" s="71"/>
    </row>
    <row r="94" spans="1:28" s="67" customFormat="1">
      <c r="A94" s="74"/>
      <c r="B94" s="109" t="s">
        <v>103</v>
      </c>
      <c r="C94" s="83"/>
      <c r="D94" s="110"/>
      <c r="E94" s="1323" t="s">
        <v>31</v>
      </c>
      <c r="F94" s="1324"/>
      <c r="K94" s="109" t="s">
        <v>104</v>
      </c>
      <c r="L94" s="111"/>
      <c r="M94" s="112"/>
      <c r="O94" s="70"/>
      <c r="P94" s="71"/>
      <c r="Q94" s="72"/>
      <c r="R94" s="72"/>
      <c r="S94" s="72"/>
      <c r="T94" s="72"/>
      <c r="U94" s="72"/>
      <c r="V94" s="72"/>
      <c r="W94" s="72"/>
      <c r="X94" s="72"/>
      <c r="Y94" s="72"/>
      <c r="Z94" s="72"/>
      <c r="AA94" s="73"/>
      <c r="AB94" s="71"/>
    </row>
    <row r="95" spans="1:28" s="67" customFormat="1">
      <c r="A95" s="74"/>
      <c r="B95" s="113"/>
      <c r="C95" s="68"/>
      <c r="D95" s="68"/>
      <c r="E95" s="114" t="s">
        <v>250</v>
      </c>
      <c r="F95" s="115" t="s">
        <v>251</v>
      </c>
      <c r="K95" s="101" t="s">
        <v>242</v>
      </c>
      <c r="L95" s="19"/>
      <c r="M95" s="116">
        <v>0</v>
      </c>
      <c r="O95" s="70"/>
      <c r="P95" s="71"/>
      <c r="Q95" s="72"/>
      <c r="R95" s="72"/>
      <c r="S95" s="72"/>
      <c r="T95" s="72"/>
      <c r="U95" s="72"/>
      <c r="V95" s="72"/>
      <c r="W95" s="72"/>
      <c r="X95" s="72"/>
      <c r="Y95" s="72"/>
      <c r="Z95" s="72"/>
      <c r="AA95" s="73"/>
      <c r="AB95" s="71"/>
    </row>
    <row r="96" spans="1:28" s="134" customFormat="1">
      <c r="B96" s="101" t="s">
        <v>243</v>
      </c>
      <c r="C96" s="68"/>
      <c r="D96" s="75">
        <v>80000</v>
      </c>
      <c r="E96" s="117">
        <v>7</v>
      </c>
      <c r="F96" s="118" t="s">
        <v>252</v>
      </c>
      <c r="G96" s="67"/>
      <c r="H96" s="67"/>
      <c r="I96" s="67"/>
      <c r="J96" s="67"/>
      <c r="K96" s="101" t="s">
        <v>27</v>
      </c>
      <c r="L96" s="19"/>
      <c r="M96" s="119">
        <f>M102-M95</f>
        <v>0</v>
      </c>
      <c r="O96" s="135"/>
      <c r="P96" s="102"/>
      <c r="Q96" s="81"/>
      <c r="R96" s="81"/>
      <c r="S96" s="81"/>
      <c r="T96" s="81"/>
      <c r="U96" s="81"/>
      <c r="V96" s="81"/>
      <c r="W96" s="81"/>
      <c r="X96" s="81"/>
      <c r="Y96" s="81"/>
      <c r="Z96" s="81"/>
      <c r="AA96" s="136"/>
      <c r="AB96" s="102"/>
    </row>
    <row r="97" spans="2:39" s="134" customFormat="1">
      <c r="B97" s="101" t="s">
        <v>337</v>
      </c>
      <c r="C97" s="68"/>
      <c r="D97" s="75">
        <v>2000</v>
      </c>
      <c r="E97" s="117"/>
      <c r="F97" s="118"/>
      <c r="G97" s="67" t="s">
        <v>338</v>
      </c>
      <c r="H97" s="67"/>
      <c r="I97" s="67"/>
      <c r="J97" s="67"/>
      <c r="K97" s="101"/>
      <c r="L97" s="19"/>
      <c r="M97" s="119"/>
      <c r="O97" s="135"/>
      <c r="P97" s="102"/>
      <c r="Q97" s="81"/>
      <c r="R97" s="81"/>
      <c r="S97" s="81"/>
      <c r="T97" s="81"/>
      <c r="U97" s="81"/>
      <c r="V97" s="81"/>
      <c r="W97" s="81"/>
      <c r="X97" s="81"/>
      <c r="Y97" s="81"/>
      <c r="Z97" s="81"/>
      <c r="AA97" s="136"/>
      <c r="AB97" s="102"/>
    </row>
    <row r="98" spans="2:39" s="134" customFormat="1">
      <c r="B98" s="101" t="s">
        <v>339</v>
      </c>
      <c r="C98" s="68"/>
      <c r="D98" s="75">
        <v>5000</v>
      </c>
      <c r="E98" s="117"/>
      <c r="F98" s="118"/>
      <c r="G98" s="67"/>
      <c r="H98" s="67"/>
      <c r="I98" s="67"/>
      <c r="J98" s="67"/>
      <c r="K98" s="101"/>
      <c r="L98" s="19"/>
      <c r="M98" s="119"/>
      <c r="O98" s="135"/>
      <c r="P98" s="102"/>
      <c r="Q98" s="81"/>
      <c r="R98" s="81"/>
      <c r="S98" s="81"/>
      <c r="T98" s="81"/>
      <c r="U98" s="81"/>
      <c r="V98" s="81"/>
      <c r="W98" s="81"/>
      <c r="X98" s="81"/>
      <c r="Y98" s="81"/>
      <c r="Z98" s="81"/>
      <c r="AA98" s="136"/>
      <c r="AB98" s="102"/>
    </row>
    <row r="99" spans="2:39" s="134" customFormat="1">
      <c r="B99" s="101" t="s">
        <v>340</v>
      </c>
      <c r="C99" s="68"/>
      <c r="D99" s="75">
        <v>1000</v>
      </c>
      <c r="E99" s="117"/>
      <c r="F99" s="118"/>
      <c r="G99" s="67"/>
      <c r="H99" s="67"/>
      <c r="I99" s="67"/>
      <c r="J99" s="67"/>
      <c r="K99" s="101"/>
      <c r="L99" s="19"/>
      <c r="M99" s="119"/>
      <c r="O99" s="135"/>
      <c r="P99" s="102"/>
      <c r="Q99" s="81"/>
      <c r="R99" s="81"/>
      <c r="S99" s="81"/>
      <c r="T99" s="81"/>
      <c r="U99" s="81"/>
      <c r="V99" s="81"/>
      <c r="W99" s="81"/>
      <c r="X99" s="81"/>
      <c r="Y99" s="81"/>
      <c r="Z99" s="81"/>
      <c r="AA99" s="136"/>
      <c r="AB99" s="102"/>
    </row>
    <row r="100" spans="2:39" s="134" customFormat="1">
      <c r="B100" s="101" t="s">
        <v>341</v>
      </c>
      <c r="C100" s="68"/>
      <c r="D100" s="75">
        <v>2000</v>
      </c>
      <c r="E100" s="117"/>
      <c r="F100" s="118"/>
      <c r="G100" s="67"/>
      <c r="H100" s="67"/>
      <c r="I100" s="67"/>
      <c r="J100" s="67"/>
      <c r="K100" s="101"/>
      <c r="L100" s="19"/>
      <c r="M100" s="119"/>
      <c r="O100" s="135"/>
      <c r="P100" s="102"/>
      <c r="Q100" s="81"/>
      <c r="R100" s="81"/>
      <c r="S100" s="81"/>
      <c r="T100" s="81"/>
      <c r="U100" s="81"/>
      <c r="V100" s="81"/>
      <c r="W100" s="81"/>
      <c r="X100" s="81"/>
      <c r="Y100" s="81"/>
      <c r="Z100" s="81"/>
      <c r="AA100" s="136"/>
      <c r="AB100" s="102"/>
    </row>
    <row r="101" spans="2:39" s="134" customFormat="1">
      <c r="B101" s="101"/>
      <c r="C101" s="68"/>
      <c r="D101" s="75"/>
      <c r="E101" s="117"/>
      <c r="F101" s="118"/>
      <c r="G101" s="67"/>
      <c r="H101" s="67"/>
      <c r="I101" s="67"/>
      <c r="J101" s="67"/>
      <c r="K101" s="101"/>
      <c r="L101" s="19"/>
      <c r="M101" s="119"/>
      <c r="O101" s="135"/>
      <c r="P101" s="102"/>
      <c r="Q101" s="81"/>
      <c r="R101" s="81"/>
      <c r="S101" s="81"/>
      <c r="T101" s="81"/>
      <c r="U101" s="81"/>
      <c r="V101" s="81"/>
      <c r="W101" s="81"/>
      <c r="X101" s="81"/>
      <c r="Y101" s="81"/>
      <c r="Z101" s="81"/>
      <c r="AA101" s="136"/>
      <c r="AB101" s="102"/>
    </row>
    <row r="102" spans="2:39" s="134" customFormat="1" ht="16.2" thickBot="1">
      <c r="B102" s="96" t="s">
        <v>241</v>
      </c>
      <c r="C102" s="77"/>
      <c r="D102" s="78"/>
      <c r="E102" s="120">
        <v>3</v>
      </c>
      <c r="F102" s="121" t="s">
        <v>252</v>
      </c>
      <c r="G102" s="67"/>
      <c r="H102" s="67"/>
      <c r="I102" s="67"/>
      <c r="J102" s="67"/>
      <c r="K102" s="96" t="s">
        <v>28</v>
      </c>
      <c r="L102" s="122"/>
      <c r="M102" s="123">
        <v>0</v>
      </c>
      <c r="O102" s="135"/>
      <c r="P102" s="102"/>
      <c r="Q102" s="81"/>
      <c r="R102" s="81"/>
      <c r="S102" s="81"/>
      <c r="T102" s="81"/>
      <c r="U102" s="81"/>
      <c r="V102" s="81"/>
      <c r="W102" s="81"/>
      <c r="X102" s="81"/>
      <c r="Y102" s="81"/>
      <c r="Z102" s="81"/>
      <c r="AA102" s="136"/>
      <c r="AB102" s="102"/>
    </row>
    <row r="103" spans="2:39" s="134" customFormat="1" ht="16.2" thickBot="1">
      <c r="B103" s="72"/>
      <c r="C103" s="72"/>
      <c r="D103" s="72"/>
      <c r="E103" s="124"/>
      <c r="F103" s="67"/>
      <c r="G103" s="67"/>
      <c r="H103" s="67"/>
      <c r="I103" s="67"/>
      <c r="J103" s="67"/>
      <c r="K103" s="124"/>
      <c r="L103" s="67"/>
      <c r="M103" s="18"/>
      <c r="O103" s="135"/>
      <c r="P103" s="102"/>
      <c r="Q103" s="81"/>
      <c r="R103" s="81"/>
      <c r="S103" s="81"/>
      <c r="T103" s="81"/>
      <c r="U103" s="81"/>
      <c r="V103" s="81"/>
      <c r="W103" s="81"/>
      <c r="X103" s="81"/>
      <c r="Y103" s="81"/>
      <c r="Z103" s="81"/>
      <c r="AA103" s="136"/>
      <c r="AB103" s="102"/>
    </row>
    <row r="104" spans="2:39" s="134" customFormat="1" ht="16.2" thickBot="1">
      <c r="B104" s="125" t="s">
        <v>102</v>
      </c>
      <c r="C104" s="126"/>
      <c r="D104" s="127"/>
      <c r="E104" s="124" t="s">
        <v>355</v>
      </c>
      <c r="F104" s="67"/>
      <c r="G104" s="67"/>
      <c r="H104" s="67"/>
      <c r="I104" s="67"/>
      <c r="J104" s="67"/>
      <c r="K104" s="128" t="s">
        <v>3</v>
      </c>
      <c r="L104" s="129"/>
      <c r="M104" s="130">
        <v>0.2</v>
      </c>
      <c r="O104" s="135"/>
      <c r="P104" s="102"/>
      <c r="Q104" s="81"/>
      <c r="R104" s="81"/>
      <c r="S104" s="81"/>
      <c r="T104" s="81"/>
      <c r="U104" s="81"/>
      <c r="V104" s="81"/>
      <c r="W104" s="81"/>
      <c r="X104" s="81"/>
      <c r="Y104" s="81"/>
      <c r="Z104" s="81"/>
      <c r="AA104" s="136"/>
      <c r="AB104" s="102"/>
    </row>
    <row r="105" spans="2:39" s="134" customFormat="1" ht="16.2" thickBot="1">
      <c r="B105" s="86" t="s">
        <v>64</v>
      </c>
      <c r="C105" s="68"/>
      <c r="D105" s="131">
        <v>120000</v>
      </c>
      <c r="E105" s="124"/>
      <c r="F105" s="67"/>
      <c r="G105" s="67"/>
      <c r="H105" s="67"/>
      <c r="I105" s="67"/>
      <c r="J105" s="67"/>
      <c r="K105" s="67"/>
      <c r="L105" s="67"/>
      <c r="M105" s="67"/>
      <c r="O105" s="135"/>
      <c r="P105" s="102"/>
      <c r="Q105" s="81"/>
      <c r="R105" s="81"/>
      <c r="S105" s="81"/>
      <c r="T105" s="81"/>
      <c r="U105" s="81"/>
      <c r="V105" s="81"/>
      <c r="W105" s="81"/>
      <c r="X105" s="81"/>
      <c r="Y105" s="81"/>
      <c r="Z105" s="81"/>
      <c r="AA105" s="136"/>
      <c r="AB105" s="102"/>
    </row>
    <row r="106" spans="2:39" s="134" customFormat="1" ht="16.2" thickBot="1">
      <c r="B106" s="132" t="s">
        <v>65</v>
      </c>
      <c r="C106" s="77"/>
      <c r="D106" s="133">
        <v>40000</v>
      </c>
      <c r="E106" s="124"/>
      <c r="F106" s="67"/>
      <c r="G106" s="67"/>
      <c r="H106" s="67"/>
      <c r="I106" s="67"/>
      <c r="J106" s="67"/>
      <c r="K106" s="128" t="s">
        <v>25</v>
      </c>
      <c r="L106" s="129"/>
      <c r="M106" s="130">
        <v>0.25</v>
      </c>
      <c r="O106" s="135"/>
      <c r="P106" s="102"/>
      <c r="Q106" s="81"/>
      <c r="R106" s="81"/>
      <c r="S106" s="81"/>
      <c r="T106" s="81"/>
      <c r="U106" s="81"/>
      <c r="V106" s="81"/>
      <c r="W106" s="81"/>
      <c r="X106" s="81"/>
      <c r="Y106" s="81"/>
      <c r="Z106" s="81"/>
      <c r="AA106" s="136"/>
      <c r="AB106" s="102"/>
    </row>
    <row r="107" spans="2:39" s="134" customFormat="1">
      <c r="O107" s="135"/>
      <c r="P107" s="102"/>
      <c r="Q107" s="81"/>
      <c r="R107" s="81"/>
      <c r="S107" s="81"/>
      <c r="T107" s="81"/>
      <c r="U107" s="81"/>
      <c r="V107" s="81"/>
      <c r="W107" s="81"/>
      <c r="X107" s="81"/>
      <c r="Y107" s="81"/>
      <c r="Z107" s="81"/>
      <c r="AA107" s="136"/>
      <c r="AB107" s="102"/>
    </row>
    <row r="108" spans="2:39" s="67" customFormat="1">
      <c r="O108" s="70"/>
      <c r="P108" s="71"/>
      <c r="Q108" s="72"/>
      <c r="R108" s="72"/>
      <c r="S108" s="72"/>
      <c r="T108" s="72"/>
      <c r="U108" s="72"/>
      <c r="V108" s="72"/>
      <c r="W108" s="72"/>
      <c r="X108" s="72"/>
      <c r="Y108" s="72"/>
      <c r="Z108" s="72"/>
      <c r="AA108" s="73"/>
      <c r="AB108" s="71"/>
    </row>
    <row r="109" spans="2:39" s="137" customFormat="1" ht="25.8">
      <c r="B109" s="20" t="s">
        <v>86</v>
      </c>
      <c r="C109" s="138"/>
      <c r="O109" s="139"/>
      <c r="P109" s="140"/>
      <c r="AA109" s="139"/>
      <c r="AB109" s="140"/>
    </row>
    <row r="110" spans="2:39" s="67" customFormat="1" ht="21">
      <c r="B110" s="141"/>
      <c r="O110" s="70"/>
      <c r="P110" s="71"/>
      <c r="Q110" s="72"/>
      <c r="R110" s="72"/>
      <c r="S110" s="72"/>
      <c r="T110" s="72"/>
      <c r="U110" s="72"/>
      <c r="V110" s="72"/>
      <c r="W110" s="72"/>
      <c r="X110" s="72"/>
      <c r="Y110" s="72"/>
      <c r="Z110" s="72"/>
      <c r="AA110" s="73"/>
      <c r="AB110" s="71"/>
    </row>
    <row r="111" spans="2:39" s="24" customFormat="1">
      <c r="B111" s="23"/>
      <c r="C111" s="47" t="s">
        <v>33</v>
      </c>
      <c r="D111" s="142">
        <f>'Sales Forecast'!E22</f>
        <v>45292</v>
      </c>
      <c r="E111" s="34">
        <f>DATE(YEAR(D111),MONTH(D111),DAY(EOMONTH(D111,0)))+1</f>
        <v>45323</v>
      </c>
      <c r="F111" s="34">
        <f t="shared" ref="F111:AL111" si="16">DATE(YEAR(E111),MONTH(E111),DAY(EOMONTH(E111,0)))+1</f>
        <v>45352</v>
      </c>
      <c r="G111" s="34">
        <f t="shared" si="16"/>
        <v>45383</v>
      </c>
      <c r="H111" s="34">
        <f t="shared" si="16"/>
        <v>45413</v>
      </c>
      <c r="I111" s="34">
        <f t="shared" si="16"/>
        <v>45444</v>
      </c>
      <c r="J111" s="34">
        <f t="shared" si="16"/>
        <v>45474</v>
      </c>
      <c r="K111" s="34">
        <f t="shared" si="16"/>
        <v>45505</v>
      </c>
      <c r="L111" s="34">
        <f t="shared" si="16"/>
        <v>45536</v>
      </c>
      <c r="M111" s="34">
        <f t="shared" si="16"/>
        <v>45566</v>
      </c>
      <c r="N111" s="34">
        <f t="shared" si="16"/>
        <v>45597</v>
      </c>
      <c r="O111" s="35">
        <f t="shared" si="16"/>
        <v>45627</v>
      </c>
      <c r="P111" s="34">
        <f t="shared" si="16"/>
        <v>45658</v>
      </c>
      <c r="Q111" s="34">
        <f t="shared" si="16"/>
        <v>45689</v>
      </c>
      <c r="R111" s="34">
        <f t="shared" si="16"/>
        <v>45717</v>
      </c>
      <c r="S111" s="34">
        <f t="shared" si="16"/>
        <v>45748</v>
      </c>
      <c r="T111" s="34">
        <f t="shared" si="16"/>
        <v>45778</v>
      </c>
      <c r="U111" s="34">
        <f t="shared" si="16"/>
        <v>45809</v>
      </c>
      <c r="V111" s="34">
        <f t="shared" si="16"/>
        <v>45839</v>
      </c>
      <c r="W111" s="34">
        <f t="shared" si="16"/>
        <v>45870</v>
      </c>
      <c r="X111" s="34">
        <f t="shared" si="16"/>
        <v>45901</v>
      </c>
      <c r="Y111" s="34">
        <f t="shared" si="16"/>
        <v>45931</v>
      </c>
      <c r="Z111" s="34">
        <f t="shared" si="16"/>
        <v>45962</v>
      </c>
      <c r="AA111" s="35">
        <f t="shared" si="16"/>
        <v>45992</v>
      </c>
      <c r="AB111" s="34">
        <f t="shared" si="16"/>
        <v>46023</v>
      </c>
      <c r="AC111" s="34">
        <f t="shared" si="16"/>
        <v>46054</v>
      </c>
      <c r="AD111" s="34">
        <f t="shared" si="16"/>
        <v>46082</v>
      </c>
      <c r="AE111" s="34">
        <f t="shared" si="16"/>
        <v>46113</v>
      </c>
      <c r="AF111" s="34">
        <f t="shared" si="16"/>
        <v>46143</v>
      </c>
      <c r="AG111" s="34">
        <f t="shared" si="16"/>
        <v>46174</v>
      </c>
      <c r="AH111" s="34">
        <f t="shared" si="16"/>
        <v>46204</v>
      </c>
      <c r="AI111" s="34">
        <f t="shared" si="16"/>
        <v>46235</v>
      </c>
      <c r="AJ111" s="34">
        <f t="shared" si="16"/>
        <v>46266</v>
      </c>
      <c r="AK111" s="34">
        <f t="shared" si="16"/>
        <v>46296</v>
      </c>
      <c r="AL111" s="34">
        <f t="shared" si="16"/>
        <v>46327</v>
      </c>
      <c r="AM111" s="34">
        <f>DATE(YEAR(AL111),MONTH(AL111),DAY(EOMONTH(AL111,0)))+1+2023.2-2023.2</f>
        <v>46357</v>
      </c>
    </row>
    <row r="112" spans="2:39" s="143" customFormat="1" outlineLevel="1">
      <c r="B112" s="144" t="s">
        <v>58</v>
      </c>
      <c r="D112" s="145">
        <v>1</v>
      </c>
      <c r="E112" s="145">
        <v>2</v>
      </c>
      <c r="F112" s="145">
        <v>3</v>
      </c>
      <c r="G112" s="145">
        <v>4</v>
      </c>
      <c r="H112" s="145">
        <v>5</v>
      </c>
      <c r="I112" s="145">
        <v>6</v>
      </c>
      <c r="J112" s="145">
        <v>7</v>
      </c>
      <c r="K112" s="145">
        <v>8</v>
      </c>
      <c r="L112" s="145">
        <v>9</v>
      </c>
      <c r="M112" s="145">
        <v>10</v>
      </c>
      <c r="N112" s="145">
        <v>11</v>
      </c>
      <c r="O112" s="146">
        <v>12</v>
      </c>
      <c r="P112" s="145">
        <v>13</v>
      </c>
      <c r="Q112" s="145">
        <v>14</v>
      </c>
      <c r="R112" s="145">
        <v>15</v>
      </c>
      <c r="S112" s="145">
        <v>16</v>
      </c>
      <c r="T112" s="145">
        <v>17</v>
      </c>
      <c r="U112" s="145">
        <v>18</v>
      </c>
      <c r="V112" s="145">
        <v>19</v>
      </c>
      <c r="W112" s="145">
        <v>20</v>
      </c>
      <c r="X112" s="145">
        <v>21</v>
      </c>
      <c r="Y112" s="145">
        <v>22</v>
      </c>
      <c r="Z112" s="145">
        <v>23</v>
      </c>
      <c r="AA112" s="146">
        <v>24</v>
      </c>
      <c r="AB112" s="145">
        <v>25</v>
      </c>
      <c r="AC112" s="145">
        <v>26</v>
      </c>
      <c r="AD112" s="145">
        <v>27</v>
      </c>
      <c r="AE112" s="145">
        <v>28</v>
      </c>
      <c r="AF112" s="145">
        <v>29</v>
      </c>
      <c r="AG112" s="145">
        <v>30</v>
      </c>
      <c r="AH112" s="145">
        <v>31</v>
      </c>
      <c r="AI112" s="145">
        <v>32</v>
      </c>
      <c r="AJ112" s="145">
        <v>33</v>
      </c>
      <c r="AK112" s="145">
        <v>34</v>
      </c>
      <c r="AL112" s="145">
        <v>35</v>
      </c>
      <c r="AM112" s="145">
        <v>36</v>
      </c>
    </row>
    <row r="113" spans="1:39" s="143" customFormat="1" outlineLevel="1">
      <c r="B113" s="144"/>
      <c r="C113" s="143" t="s">
        <v>84</v>
      </c>
      <c r="D113" s="147">
        <f>YEAR(D111)</f>
        <v>2024</v>
      </c>
      <c r="E113" s="147">
        <f t="shared" ref="E113:AM113" si="17">YEAR(E111)</f>
        <v>2024</v>
      </c>
      <c r="F113" s="147">
        <f t="shared" si="17"/>
        <v>2024</v>
      </c>
      <c r="G113" s="147">
        <f t="shared" si="17"/>
        <v>2024</v>
      </c>
      <c r="H113" s="147">
        <f t="shared" si="17"/>
        <v>2024</v>
      </c>
      <c r="I113" s="147">
        <f t="shared" si="17"/>
        <v>2024</v>
      </c>
      <c r="J113" s="147">
        <f t="shared" si="17"/>
        <v>2024</v>
      </c>
      <c r="K113" s="147">
        <f t="shared" si="17"/>
        <v>2024</v>
      </c>
      <c r="L113" s="147">
        <f t="shared" si="17"/>
        <v>2024</v>
      </c>
      <c r="M113" s="147">
        <f t="shared" si="17"/>
        <v>2024</v>
      </c>
      <c r="N113" s="147">
        <f t="shared" si="17"/>
        <v>2024</v>
      </c>
      <c r="O113" s="148">
        <f t="shared" si="17"/>
        <v>2024</v>
      </c>
      <c r="P113" s="147">
        <f t="shared" si="17"/>
        <v>2025</v>
      </c>
      <c r="Q113" s="147">
        <f t="shared" si="17"/>
        <v>2025</v>
      </c>
      <c r="R113" s="147">
        <f t="shared" si="17"/>
        <v>2025</v>
      </c>
      <c r="S113" s="147">
        <f t="shared" si="17"/>
        <v>2025</v>
      </c>
      <c r="T113" s="147">
        <f t="shared" si="17"/>
        <v>2025</v>
      </c>
      <c r="U113" s="147">
        <f t="shared" si="17"/>
        <v>2025</v>
      </c>
      <c r="V113" s="147">
        <f t="shared" si="17"/>
        <v>2025</v>
      </c>
      <c r="W113" s="147">
        <f t="shared" si="17"/>
        <v>2025</v>
      </c>
      <c r="X113" s="147">
        <f t="shared" si="17"/>
        <v>2025</v>
      </c>
      <c r="Y113" s="147">
        <f t="shared" si="17"/>
        <v>2025</v>
      </c>
      <c r="Z113" s="147">
        <f t="shared" si="17"/>
        <v>2025</v>
      </c>
      <c r="AA113" s="148">
        <f t="shared" si="17"/>
        <v>2025</v>
      </c>
      <c r="AB113" s="147">
        <f t="shared" si="17"/>
        <v>2026</v>
      </c>
      <c r="AC113" s="147">
        <f t="shared" si="17"/>
        <v>2026</v>
      </c>
      <c r="AD113" s="147">
        <f t="shared" si="17"/>
        <v>2026</v>
      </c>
      <c r="AE113" s="147">
        <f t="shared" si="17"/>
        <v>2026</v>
      </c>
      <c r="AF113" s="147">
        <f t="shared" si="17"/>
        <v>2026</v>
      </c>
      <c r="AG113" s="147">
        <f t="shared" si="17"/>
        <v>2026</v>
      </c>
      <c r="AH113" s="147">
        <f t="shared" si="17"/>
        <v>2026</v>
      </c>
      <c r="AI113" s="147">
        <f t="shared" si="17"/>
        <v>2026</v>
      </c>
      <c r="AJ113" s="147">
        <f t="shared" si="17"/>
        <v>2026</v>
      </c>
      <c r="AK113" s="147">
        <f t="shared" si="17"/>
        <v>2026</v>
      </c>
      <c r="AL113" s="147">
        <f t="shared" si="17"/>
        <v>2026</v>
      </c>
      <c r="AM113" s="147">
        <f t="shared" si="17"/>
        <v>2026</v>
      </c>
    </row>
    <row r="114" spans="1:39" s="143" customFormat="1">
      <c r="B114" s="144"/>
      <c r="D114" s="147"/>
      <c r="E114" s="147"/>
      <c r="F114" s="147"/>
      <c r="G114" s="147"/>
      <c r="H114" s="147"/>
      <c r="I114" s="147"/>
      <c r="J114" s="147"/>
      <c r="K114" s="147"/>
      <c r="L114" s="147"/>
      <c r="M114" s="147"/>
      <c r="N114" s="147"/>
      <c r="O114" s="148"/>
      <c r="P114" s="147"/>
      <c r="Q114" s="147"/>
      <c r="R114" s="147"/>
      <c r="S114" s="147"/>
      <c r="T114" s="147"/>
      <c r="U114" s="147"/>
      <c r="V114" s="147"/>
      <c r="W114" s="147"/>
      <c r="X114" s="147"/>
      <c r="Y114" s="147"/>
      <c r="Z114" s="147"/>
      <c r="AA114" s="148"/>
      <c r="AB114" s="147"/>
      <c r="AC114" s="147"/>
      <c r="AD114" s="147"/>
      <c r="AE114" s="147"/>
      <c r="AF114" s="147"/>
      <c r="AG114" s="147"/>
      <c r="AH114" s="147"/>
      <c r="AI114" s="147"/>
      <c r="AJ114" s="147"/>
      <c r="AK114" s="147"/>
      <c r="AL114" s="147"/>
      <c r="AM114" s="147"/>
    </row>
    <row r="115" spans="1:39" s="149" customFormat="1">
      <c r="B115" s="150" t="s">
        <v>88</v>
      </c>
      <c r="D115" s="149">
        <f>'Sales Forecast'!E111</f>
        <v>25772</v>
      </c>
      <c r="E115" s="149">
        <f>'Sales Forecast'!F111</f>
        <v>29558</v>
      </c>
      <c r="F115" s="149">
        <f>'Sales Forecast'!G111</f>
        <v>36270</v>
      </c>
      <c r="G115" s="149">
        <f>'Sales Forecast'!H111</f>
        <v>38164</v>
      </c>
      <c r="H115" s="149">
        <f>'Sales Forecast'!I111</f>
        <v>44750</v>
      </c>
      <c r="I115" s="149">
        <f>'Sales Forecast'!J111</f>
        <v>49478</v>
      </c>
      <c r="J115" s="149">
        <f>'Sales Forecast'!K111</f>
        <v>55242</v>
      </c>
      <c r="K115" s="149">
        <f>'Sales Forecast'!L111</f>
        <v>56729.5</v>
      </c>
      <c r="L115" s="149">
        <f>'Sales Forecast'!M111</f>
        <v>59838</v>
      </c>
      <c r="M115" s="149">
        <f>'Sales Forecast'!N111</f>
        <v>64550</v>
      </c>
      <c r="N115" s="149">
        <f>'Sales Forecast'!O111</f>
        <v>70110.600000000006</v>
      </c>
      <c r="O115" s="151">
        <f>'Sales Forecast'!P111</f>
        <v>76762</v>
      </c>
      <c r="P115" s="149">
        <f>'Sales Forecast'!Q111</f>
        <v>103556.8</v>
      </c>
      <c r="Q115" s="149">
        <f>'Sales Forecast'!R111</f>
        <v>130173.9</v>
      </c>
      <c r="R115" s="149">
        <f>'Sales Forecast'!S111</f>
        <v>166319</v>
      </c>
      <c r="S115" s="149">
        <f>'Sales Forecast'!T111</f>
        <v>198640.1</v>
      </c>
      <c r="T115" s="149">
        <f>'Sales Forecast'!U111</f>
        <v>214395.2</v>
      </c>
      <c r="U115" s="149">
        <f>'Sales Forecast'!V111</f>
        <v>231713.3</v>
      </c>
      <c r="V115" s="149">
        <f>'Sales Forecast'!W111</f>
        <v>248305.4</v>
      </c>
      <c r="W115" s="149">
        <f>'Sales Forecast'!X111</f>
        <v>249238.39999999999</v>
      </c>
      <c r="X115" s="149">
        <f>'Sales Forecast'!Y111</f>
        <v>277291.40000000002</v>
      </c>
      <c r="Y115" s="149">
        <f>'Sales Forecast'!Z111</f>
        <v>298631.5</v>
      </c>
      <c r="Z115" s="149">
        <f>'Sales Forecast'!AA111</f>
        <v>321593.59999999998</v>
      </c>
      <c r="AA115" s="151">
        <f>'Sales Forecast'!AB111</f>
        <v>319906.3</v>
      </c>
      <c r="AB115" s="149">
        <f>'Sales Forecast'!AC111</f>
        <v>371883.06000000006</v>
      </c>
      <c r="AC115" s="149">
        <f>'Sales Forecast'!AD111</f>
        <v>408846.47200000001</v>
      </c>
      <c r="AD115" s="149">
        <f>'Sales Forecast'!AE111</f>
        <v>470213.03200000001</v>
      </c>
      <c r="AE115" s="149">
        <f>'Sales Forecast'!AF111</f>
        <v>491213.56000000006</v>
      </c>
      <c r="AF115" s="149">
        <f>'Sales Forecast'!AG111</f>
        <v>541685.05800000008</v>
      </c>
      <c r="AG115" s="149">
        <f>'Sales Forecast'!AH111</f>
        <v>620685.64599999995</v>
      </c>
      <c r="AH115" s="149">
        <f>'Sales Forecast'!AI111</f>
        <v>676897.45640000002</v>
      </c>
      <c r="AI115" s="149">
        <f>'Sales Forecast'!AJ111</f>
        <v>703046.02399999998</v>
      </c>
      <c r="AJ115" s="149">
        <f>'Sales Forecast'!AK111</f>
        <v>723274.90599999996</v>
      </c>
      <c r="AK115" s="149">
        <f>'Sales Forecast'!AL111</f>
        <v>796548.652</v>
      </c>
      <c r="AL115" s="149">
        <f>'Sales Forecast'!AM111</f>
        <v>848725.21363999997</v>
      </c>
      <c r="AM115" s="149">
        <f>'Sales Forecast'!AN111</f>
        <v>900255.60379999992</v>
      </c>
    </row>
    <row r="116" spans="1:39" s="67" customFormat="1">
      <c r="B116" s="152" t="s">
        <v>10</v>
      </c>
      <c r="D116" s="67">
        <f>-(D115-D117)</f>
        <v>-8974</v>
      </c>
      <c r="E116" s="67">
        <f t="shared" ref="E116:AM116" si="18">-(E115-E117)</f>
        <v>-10856</v>
      </c>
      <c r="F116" s="67">
        <f t="shared" si="18"/>
        <v>-14111.800000000003</v>
      </c>
      <c r="G116" s="67">
        <f t="shared" si="18"/>
        <v>-14323.599999999999</v>
      </c>
      <c r="H116" s="67">
        <f t="shared" si="18"/>
        <v>-17406</v>
      </c>
      <c r="I116" s="67">
        <f t="shared" si="18"/>
        <v>-19303.900000000001</v>
      </c>
      <c r="J116" s="67">
        <f t="shared" si="18"/>
        <v>-21603</v>
      </c>
      <c r="K116" s="67">
        <f t="shared" si="18"/>
        <v>-23154.684999999998</v>
      </c>
      <c r="L116" s="67">
        <f t="shared" si="18"/>
        <v>-24485.5</v>
      </c>
      <c r="M116" s="67">
        <f t="shared" si="18"/>
        <v>-26121.100000000006</v>
      </c>
      <c r="N116" s="67">
        <f t="shared" si="18"/>
        <v>-28993.068000000007</v>
      </c>
      <c r="O116" s="70">
        <f t="shared" si="18"/>
        <v>-32181.205000000002</v>
      </c>
      <c r="P116" s="67">
        <f t="shared" si="18"/>
        <v>-47151.532000000007</v>
      </c>
      <c r="Q116" s="67">
        <f t="shared" si="18"/>
        <v>-61975.778999999995</v>
      </c>
      <c r="R116" s="67">
        <f t="shared" si="18"/>
        <v>-82491.154999999999</v>
      </c>
      <c r="S116" s="67">
        <f t="shared" si="18"/>
        <v>-100392.16</v>
      </c>
      <c r="T116" s="67">
        <f t="shared" si="18"/>
        <v>-107673.33700000001</v>
      </c>
      <c r="U116" s="67">
        <f t="shared" si="18"/>
        <v>-115424.53899999999</v>
      </c>
      <c r="V116" s="67">
        <f t="shared" si="18"/>
        <v>-122249.499</v>
      </c>
      <c r="W116" s="67">
        <f t="shared" si="18"/>
        <v>-125354.7907</v>
      </c>
      <c r="X116" s="67">
        <f t="shared" si="18"/>
        <v>-135602.07900000003</v>
      </c>
      <c r="Y116" s="67">
        <f t="shared" si="18"/>
        <v>-144159.22700000001</v>
      </c>
      <c r="Z116" s="67">
        <f t="shared" si="18"/>
        <v>-152987.26199999999</v>
      </c>
      <c r="AA116" s="70">
        <f t="shared" si="18"/>
        <v>-152197.72979999997</v>
      </c>
      <c r="AB116" s="67">
        <f t="shared" si="18"/>
        <v>-175170.83766000005</v>
      </c>
      <c r="AC116" s="67">
        <f t="shared" si="18"/>
        <v>-189839.54232000001</v>
      </c>
      <c r="AD116" s="67">
        <f t="shared" si="18"/>
        <v>-210696.28576000003</v>
      </c>
      <c r="AE116" s="67">
        <f t="shared" si="18"/>
        <v>-221072.73832</v>
      </c>
      <c r="AF116" s="67">
        <f t="shared" si="18"/>
        <v>-239342.04926000012</v>
      </c>
      <c r="AG116" s="67">
        <f t="shared" si="18"/>
        <v>-264774.78629999992</v>
      </c>
      <c r="AH116" s="67">
        <f t="shared" si="18"/>
        <v>-283440.55002000002</v>
      </c>
      <c r="AI116" s="67">
        <f t="shared" si="18"/>
        <v>-292945.48466699995</v>
      </c>
      <c r="AJ116" s="67">
        <f t="shared" si="18"/>
        <v>-305379.39685999998</v>
      </c>
      <c r="AK116" s="67">
        <f t="shared" si="18"/>
        <v>-329252.43871999998</v>
      </c>
      <c r="AL116" s="67">
        <f t="shared" si="18"/>
        <v>-347878.79150239995</v>
      </c>
      <c r="AM116" s="67">
        <f t="shared" si="18"/>
        <v>-368519.60478299984</v>
      </c>
    </row>
    <row r="117" spans="1:39" s="149" customFormat="1">
      <c r="B117" s="150" t="s">
        <v>11</v>
      </c>
      <c r="D117" s="149">
        <f>'Sales Forecast'!E112</f>
        <v>16798</v>
      </c>
      <c r="E117" s="149">
        <f>'Sales Forecast'!F112</f>
        <v>18702</v>
      </c>
      <c r="F117" s="149">
        <f>'Sales Forecast'!G112</f>
        <v>22158.199999999997</v>
      </c>
      <c r="G117" s="149">
        <f>'Sales Forecast'!H112</f>
        <v>23840.400000000001</v>
      </c>
      <c r="H117" s="149">
        <f>'Sales Forecast'!I112</f>
        <v>27344</v>
      </c>
      <c r="I117" s="149">
        <f>'Sales Forecast'!J112</f>
        <v>30174.1</v>
      </c>
      <c r="J117" s="149">
        <f>'Sales Forecast'!K112</f>
        <v>33639</v>
      </c>
      <c r="K117" s="149">
        <f>'Sales Forecast'!L112</f>
        <v>33574.815000000002</v>
      </c>
      <c r="L117" s="149">
        <f>'Sales Forecast'!M112</f>
        <v>35352.5</v>
      </c>
      <c r="M117" s="149">
        <f>'Sales Forecast'!N112</f>
        <v>38428.899999999994</v>
      </c>
      <c r="N117" s="149">
        <f>'Sales Forecast'!O112</f>
        <v>41117.531999999999</v>
      </c>
      <c r="O117" s="151">
        <f>'Sales Forecast'!P112</f>
        <v>44580.794999999998</v>
      </c>
      <c r="P117" s="149">
        <f>'Sales Forecast'!Q112</f>
        <v>56405.267999999996</v>
      </c>
      <c r="Q117" s="149">
        <f>'Sales Forecast'!R112</f>
        <v>68198.120999999999</v>
      </c>
      <c r="R117" s="149">
        <f>'Sales Forecast'!S112</f>
        <v>83827.845000000001</v>
      </c>
      <c r="S117" s="149">
        <f>'Sales Forecast'!T112</f>
        <v>98247.94</v>
      </c>
      <c r="T117" s="149">
        <f>'Sales Forecast'!U112</f>
        <v>106721.863</v>
      </c>
      <c r="U117" s="149">
        <f>'Sales Forecast'!V112</f>
        <v>116288.761</v>
      </c>
      <c r="V117" s="149">
        <f>'Sales Forecast'!W112</f>
        <v>126055.901</v>
      </c>
      <c r="W117" s="149">
        <f>'Sales Forecast'!X112</f>
        <v>123883.6093</v>
      </c>
      <c r="X117" s="149">
        <f>'Sales Forecast'!Y112</f>
        <v>141689.321</v>
      </c>
      <c r="Y117" s="149">
        <f>'Sales Forecast'!Z112</f>
        <v>154472.27299999999</v>
      </c>
      <c r="Z117" s="149">
        <f>'Sales Forecast'!AA112</f>
        <v>168606.33799999999</v>
      </c>
      <c r="AA117" s="151">
        <f>'Sales Forecast'!AB112</f>
        <v>167708.57020000002</v>
      </c>
      <c r="AB117" s="149">
        <f>'Sales Forecast'!AC112</f>
        <v>196712.22234000001</v>
      </c>
      <c r="AC117" s="149">
        <f>'Sales Forecast'!AD112</f>
        <v>219006.92968</v>
      </c>
      <c r="AD117" s="149">
        <f>'Sales Forecast'!AE112</f>
        <v>259516.74623999998</v>
      </c>
      <c r="AE117" s="149">
        <f>'Sales Forecast'!AF112</f>
        <v>270140.82168000005</v>
      </c>
      <c r="AF117" s="149">
        <f>'Sales Forecast'!AG112</f>
        <v>302343.00873999996</v>
      </c>
      <c r="AG117" s="149">
        <f>'Sales Forecast'!AH112</f>
        <v>355910.85970000003</v>
      </c>
      <c r="AH117" s="149">
        <f>'Sales Forecast'!AI112</f>
        <v>393456.90638</v>
      </c>
      <c r="AI117" s="149">
        <f>'Sales Forecast'!AJ112</f>
        <v>410100.53933300002</v>
      </c>
      <c r="AJ117" s="149">
        <f>'Sales Forecast'!AK112</f>
        <v>417895.50913999998</v>
      </c>
      <c r="AK117" s="149">
        <f>'Sales Forecast'!AL112</f>
        <v>467296.21328000003</v>
      </c>
      <c r="AL117" s="149">
        <f>'Sales Forecast'!AM112</f>
        <v>500846.42213760002</v>
      </c>
      <c r="AM117" s="149">
        <f>'Sales Forecast'!AN112</f>
        <v>531735.99901700008</v>
      </c>
    </row>
    <row r="118" spans="1:39" s="44" customFormat="1">
      <c r="B118" s="153"/>
      <c r="D118" s="44">
        <f>D117/D115</f>
        <v>0.65179264317864349</v>
      </c>
      <c r="E118" s="44">
        <f t="shared" ref="E118:AM118" si="19">E117/E115</f>
        <v>0.6327221056905068</v>
      </c>
      <c r="F118" s="44">
        <f t="shared" si="19"/>
        <v>0.61092362834298308</v>
      </c>
      <c r="G118" s="44">
        <f t="shared" si="19"/>
        <v>0.62468294728015938</v>
      </c>
      <c r="H118" s="44">
        <f t="shared" si="19"/>
        <v>0.61103910614525137</v>
      </c>
      <c r="I118" s="44">
        <f t="shared" si="19"/>
        <v>0.60984882169853261</v>
      </c>
      <c r="J118" s="44">
        <f t="shared" si="19"/>
        <v>0.60893885087433475</v>
      </c>
      <c r="K118" s="44">
        <f t="shared" si="19"/>
        <v>0.59184048863466099</v>
      </c>
      <c r="L118" s="44">
        <f t="shared" si="19"/>
        <v>0.59080350279086868</v>
      </c>
      <c r="M118" s="44">
        <f t="shared" si="19"/>
        <v>0.59533539891556919</v>
      </c>
      <c r="N118" s="44">
        <f t="shared" si="19"/>
        <v>0.58646669690460496</v>
      </c>
      <c r="O118" s="45">
        <f t="shared" si="19"/>
        <v>0.58076645996717124</v>
      </c>
      <c r="P118" s="44">
        <f t="shared" si="19"/>
        <v>0.54467951887273458</v>
      </c>
      <c r="Q118" s="44">
        <f t="shared" si="19"/>
        <v>0.52390011361724587</v>
      </c>
      <c r="R118" s="44">
        <f t="shared" si="19"/>
        <v>0.50401845249189814</v>
      </c>
      <c r="S118" s="44">
        <f t="shared" si="19"/>
        <v>0.49460275140820004</v>
      </c>
      <c r="T118" s="44">
        <f t="shared" si="19"/>
        <v>0.49778102774688981</v>
      </c>
      <c r="U118" s="44">
        <f t="shared" si="19"/>
        <v>0.50186485195282271</v>
      </c>
      <c r="V118" s="44">
        <f t="shared" si="19"/>
        <v>0.5076647588010571</v>
      </c>
      <c r="W118" s="44">
        <f t="shared" si="19"/>
        <v>0.49704864619577077</v>
      </c>
      <c r="X118" s="44">
        <f t="shared" si="19"/>
        <v>0.51097625458272411</v>
      </c>
      <c r="Y118" s="44">
        <f t="shared" si="19"/>
        <v>0.51726717710623293</v>
      </c>
      <c r="Z118" s="44">
        <f t="shared" si="19"/>
        <v>0.52428387256462816</v>
      </c>
      <c r="AA118" s="45">
        <f t="shared" si="19"/>
        <v>0.52424278671598534</v>
      </c>
      <c r="AB118" s="44">
        <f t="shared" si="19"/>
        <v>0.52896257855896955</v>
      </c>
      <c r="AC118" s="44">
        <f t="shared" si="19"/>
        <v>0.53567034248494139</v>
      </c>
      <c r="AD118" s="44">
        <f t="shared" si="19"/>
        <v>0.55191312996191044</v>
      </c>
      <c r="AE118" s="44">
        <f t="shared" si="19"/>
        <v>0.54994577446111226</v>
      </c>
      <c r="AF118" s="44">
        <f t="shared" si="19"/>
        <v>0.55815275735370184</v>
      </c>
      <c r="AG118" s="44">
        <f t="shared" si="19"/>
        <v>0.573415644446851</v>
      </c>
      <c r="AH118" s="44">
        <f t="shared" si="19"/>
        <v>0.58126515716657368</v>
      </c>
      <c r="AI118" s="44">
        <f t="shared" si="19"/>
        <v>0.58331961967400303</v>
      </c>
      <c r="AJ118" s="44">
        <f t="shared" si="19"/>
        <v>0.5777823973613706</v>
      </c>
      <c r="AK118" s="44">
        <f t="shared" si="19"/>
        <v>0.58665118835704211</v>
      </c>
      <c r="AL118" s="44">
        <f t="shared" si="19"/>
        <v>0.59011611071335723</v>
      </c>
      <c r="AM118" s="44">
        <f t="shared" si="19"/>
        <v>0.59065002958329837</v>
      </c>
    </row>
    <row r="119" spans="1:39" s="67" customFormat="1">
      <c r="B119" s="154" t="s">
        <v>248</v>
      </c>
      <c r="O119" s="70"/>
      <c r="P119" s="71"/>
      <c r="Q119" s="72"/>
      <c r="R119" s="72"/>
      <c r="S119" s="72"/>
      <c r="T119" s="72"/>
      <c r="U119" s="72"/>
      <c r="V119" s="72"/>
      <c r="W119" s="72"/>
      <c r="X119" s="72"/>
      <c r="Y119" s="72"/>
      <c r="Z119" s="72"/>
      <c r="AA119" s="73"/>
      <c r="AB119" s="71"/>
    </row>
    <row r="120" spans="1:39" s="67" customFormat="1">
      <c r="B120" s="152" t="str">
        <f>B8</f>
        <v>Salaries</v>
      </c>
      <c r="D120" s="67">
        <f>-$G22/12</f>
        <v>-17430.333333333332</v>
      </c>
      <c r="E120" s="67">
        <f t="shared" ref="E120:O120" si="20">-$G22/12</f>
        <v>-17430.333333333332</v>
      </c>
      <c r="F120" s="67">
        <f t="shared" si="20"/>
        <v>-17430.333333333332</v>
      </c>
      <c r="G120" s="67">
        <f t="shared" si="20"/>
        <v>-17430.333333333332</v>
      </c>
      <c r="H120" s="67">
        <f t="shared" si="20"/>
        <v>-17430.333333333332</v>
      </c>
      <c r="I120" s="67">
        <f t="shared" si="20"/>
        <v>-17430.333333333332</v>
      </c>
      <c r="J120" s="67">
        <f t="shared" si="20"/>
        <v>-17430.333333333332</v>
      </c>
      <c r="K120" s="67">
        <f t="shared" si="20"/>
        <v>-17430.333333333332</v>
      </c>
      <c r="L120" s="67">
        <f t="shared" si="20"/>
        <v>-17430.333333333332</v>
      </c>
      <c r="M120" s="67">
        <f t="shared" si="20"/>
        <v>-17430.333333333332</v>
      </c>
      <c r="N120" s="67">
        <f t="shared" si="20"/>
        <v>-17430.333333333332</v>
      </c>
      <c r="O120" s="67">
        <f t="shared" si="20"/>
        <v>-17430.333333333332</v>
      </c>
      <c r="P120" s="67">
        <f>-$H22/12</f>
        <v>-31431.25</v>
      </c>
      <c r="Q120" s="67">
        <f t="shared" ref="Q120:AA120" si="21">-$H22/12</f>
        <v>-31431.25</v>
      </c>
      <c r="R120" s="67">
        <f t="shared" si="21"/>
        <v>-31431.25</v>
      </c>
      <c r="S120" s="67">
        <f t="shared" si="21"/>
        <v>-31431.25</v>
      </c>
      <c r="T120" s="67">
        <f t="shared" si="21"/>
        <v>-31431.25</v>
      </c>
      <c r="U120" s="67">
        <f t="shared" si="21"/>
        <v>-31431.25</v>
      </c>
      <c r="V120" s="67">
        <f t="shared" si="21"/>
        <v>-31431.25</v>
      </c>
      <c r="W120" s="67">
        <f t="shared" si="21"/>
        <v>-31431.25</v>
      </c>
      <c r="X120" s="67">
        <f t="shared" si="21"/>
        <v>-31431.25</v>
      </c>
      <c r="Y120" s="67">
        <f t="shared" si="21"/>
        <v>-31431.25</v>
      </c>
      <c r="Z120" s="67">
        <f t="shared" si="21"/>
        <v>-31431.25</v>
      </c>
      <c r="AA120" s="67">
        <f t="shared" si="21"/>
        <v>-31431.25</v>
      </c>
      <c r="AB120" s="67">
        <f>-$I22/12</f>
        <v>-53183.833333333336</v>
      </c>
      <c r="AC120" s="67">
        <f t="shared" ref="AC120:AM120" si="22">-$I22/12</f>
        <v>-53183.833333333336</v>
      </c>
      <c r="AD120" s="67">
        <f t="shared" si="22"/>
        <v>-53183.833333333336</v>
      </c>
      <c r="AE120" s="67">
        <f t="shared" si="22"/>
        <v>-53183.833333333336</v>
      </c>
      <c r="AF120" s="67">
        <f t="shared" si="22"/>
        <v>-53183.833333333336</v>
      </c>
      <c r="AG120" s="67">
        <f t="shared" si="22"/>
        <v>-53183.833333333336</v>
      </c>
      <c r="AH120" s="67">
        <f t="shared" si="22"/>
        <v>-53183.833333333336</v>
      </c>
      <c r="AI120" s="67">
        <f t="shared" si="22"/>
        <v>-53183.833333333336</v>
      </c>
      <c r="AJ120" s="67">
        <f t="shared" si="22"/>
        <v>-53183.833333333336</v>
      </c>
      <c r="AK120" s="67">
        <f t="shared" si="22"/>
        <v>-53183.833333333336</v>
      </c>
      <c r="AL120" s="67">
        <f t="shared" si="22"/>
        <v>-53183.833333333336</v>
      </c>
      <c r="AM120" s="67">
        <f t="shared" si="22"/>
        <v>-53183.833333333336</v>
      </c>
    </row>
    <row r="121" spans="1:39" s="67" customFormat="1">
      <c r="B121" s="152" t="str">
        <f>G35</f>
        <v>Work Space Rent</v>
      </c>
      <c r="D121" s="67">
        <f>-$H39/12</f>
        <v>-2500</v>
      </c>
      <c r="E121" s="67">
        <f t="shared" ref="E121:O121" si="23">-$H39/12</f>
        <v>-2500</v>
      </c>
      <c r="F121" s="67">
        <f t="shared" si="23"/>
        <v>-2500</v>
      </c>
      <c r="G121" s="67">
        <f t="shared" si="23"/>
        <v>-2500</v>
      </c>
      <c r="H121" s="67">
        <f t="shared" si="23"/>
        <v>-2500</v>
      </c>
      <c r="I121" s="67">
        <f t="shared" si="23"/>
        <v>-2500</v>
      </c>
      <c r="J121" s="67">
        <f t="shared" si="23"/>
        <v>-2500</v>
      </c>
      <c r="K121" s="67">
        <f t="shared" si="23"/>
        <v>-2500</v>
      </c>
      <c r="L121" s="67">
        <f t="shared" si="23"/>
        <v>-2500</v>
      </c>
      <c r="M121" s="67">
        <f t="shared" si="23"/>
        <v>-2500</v>
      </c>
      <c r="N121" s="67">
        <f t="shared" si="23"/>
        <v>-2500</v>
      </c>
      <c r="O121" s="67">
        <f t="shared" si="23"/>
        <v>-2500</v>
      </c>
      <c r="P121" s="67">
        <f>-$I39/12</f>
        <v>-2500</v>
      </c>
      <c r="Q121" s="67">
        <f t="shared" ref="Q121:AA121" si="24">-$I39/12</f>
        <v>-2500</v>
      </c>
      <c r="R121" s="67">
        <f t="shared" si="24"/>
        <v>-2500</v>
      </c>
      <c r="S121" s="67">
        <f t="shared" si="24"/>
        <v>-2500</v>
      </c>
      <c r="T121" s="67">
        <f t="shared" si="24"/>
        <v>-2500</v>
      </c>
      <c r="U121" s="67">
        <f t="shared" si="24"/>
        <v>-2500</v>
      </c>
      <c r="V121" s="67">
        <f t="shared" si="24"/>
        <v>-2500</v>
      </c>
      <c r="W121" s="67">
        <f t="shared" si="24"/>
        <v>-2500</v>
      </c>
      <c r="X121" s="67">
        <f t="shared" si="24"/>
        <v>-2500</v>
      </c>
      <c r="Y121" s="67">
        <f t="shared" si="24"/>
        <v>-2500</v>
      </c>
      <c r="Z121" s="67">
        <f t="shared" si="24"/>
        <v>-2500</v>
      </c>
      <c r="AA121" s="67">
        <f t="shared" si="24"/>
        <v>-2500</v>
      </c>
      <c r="AB121" s="67">
        <f>-$J39/12</f>
        <v>-2500</v>
      </c>
      <c r="AC121" s="67">
        <f t="shared" ref="AC121:AM121" si="25">-$J39/12</f>
        <v>-2500</v>
      </c>
      <c r="AD121" s="67">
        <f t="shared" si="25"/>
        <v>-2500</v>
      </c>
      <c r="AE121" s="67">
        <f t="shared" si="25"/>
        <v>-2500</v>
      </c>
      <c r="AF121" s="67">
        <f t="shared" si="25"/>
        <v>-2500</v>
      </c>
      <c r="AG121" s="67">
        <f t="shared" si="25"/>
        <v>-2500</v>
      </c>
      <c r="AH121" s="67">
        <f t="shared" si="25"/>
        <v>-2500</v>
      </c>
      <c r="AI121" s="67">
        <f t="shared" si="25"/>
        <v>-2500</v>
      </c>
      <c r="AJ121" s="67">
        <f t="shared" si="25"/>
        <v>-2500</v>
      </c>
      <c r="AK121" s="67">
        <f t="shared" si="25"/>
        <v>-2500</v>
      </c>
      <c r="AL121" s="67">
        <f t="shared" si="25"/>
        <v>-2500</v>
      </c>
      <c r="AM121" s="67">
        <f t="shared" si="25"/>
        <v>-2500</v>
      </c>
    </row>
    <row r="122" spans="1:39" s="67" customFormat="1">
      <c r="B122" s="152" t="str">
        <f>B26</f>
        <v>Marketing</v>
      </c>
      <c r="D122" s="67">
        <f t="shared" ref="D122:O122" si="26">-$C32/12</f>
        <v>-191.66666666666666</v>
      </c>
      <c r="E122" s="67">
        <f t="shared" si="26"/>
        <v>-191.66666666666666</v>
      </c>
      <c r="F122" s="67">
        <f t="shared" si="26"/>
        <v>-191.66666666666666</v>
      </c>
      <c r="G122" s="67">
        <f t="shared" si="26"/>
        <v>-191.66666666666666</v>
      </c>
      <c r="H122" s="67">
        <f t="shared" si="26"/>
        <v>-191.66666666666666</v>
      </c>
      <c r="I122" s="67">
        <f t="shared" si="26"/>
        <v>-191.66666666666666</v>
      </c>
      <c r="J122" s="67">
        <f t="shared" si="26"/>
        <v>-191.66666666666666</v>
      </c>
      <c r="K122" s="67">
        <f t="shared" si="26"/>
        <v>-191.66666666666666</v>
      </c>
      <c r="L122" s="67">
        <f t="shared" si="26"/>
        <v>-191.66666666666666</v>
      </c>
      <c r="M122" s="67">
        <f t="shared" si="26"/>
        <v>-191.66666666666666</v>
      </c>
      <c r="N122" s="67">
        <f t="shared" si="26"/>
        <v>-191.66666666666666</v>
      </c>
      <c r="O122" s="67">
        <f t="shared" si="26"/>
        <v>-191.66666666666666</v>
      </c>
      <c r="P122" s="67">
        <f t="shared" ref="P122:AA122" si="27">-$D32/12</f>
        <v>-191.66666666666666</v>
      </c>
      <c r="Q122" s="67">
        <f t="shared" si="27"/>
        <v>-191.66666666666666</v>
      </c>
      <c r="R122" s="67">
        <f t="shared" si="27"/>
        <v>-191.66666666666666</v>
      </c>
      <c r="S122" s="67">
        <f t="shared" si="27"/>
        <v>-191.66666666666666</v>
      </c>
      <c r="T122" s="67">
        <f t="shared" si="27"/>
        <v>-191.66666666666666</v>
      </c>
      <c r="U122" s="67">
        <f t="shared" si="27"/>
        <v>-191.66666666666666</v>
      </c>
      <c r="V122" s="67">
        <f t="shared" si="27"/>
        <v>-191.66666666666666</v>
      </c>
      <c r="W122" s="67">
        <f t="shared" si="27"/>
        <v>-191.66666666666666</v>
      </c>
      <c r="X122" s="67">
        <f t="shared" si="27"/>
        <v>-191.66666666666666</v>
      </c>
      <c r="Y122" s="67">
        <f t="shared" si="27"/>
        <v>-191.66666666666666</v>
      </c>
      <c r="Z122" s="67">
        <f t="shared" si="27"/>
        <v>-191.66666666666666</v>
      </c>
      <c r="AA122" s="67">
        <f t="shared" si="27"/>
        <v>-191.66666666666666</v>
      </c>
      <c r="AB122" s="67">
        <f t="shared" ref="AB122:AM122" si="28">-$E32/12</f>
        <v>-191.66666666666666</v>
      </c>
      <c r="AC122" s="67">
        <f t="shared" si="28"/>
        <v>-191.66666666666666</v>
      </c>
      <c r="AD122" s="67">
        <f t="shared" si="28"/>
        <v>-191.66666666666666</v>
      </c>
      <c r="AE122" s="67">
        <f t="shared" si="28"/>
        <v>-191.66666666666666</v>
      </c>
      <c r="AF122" s="67">
        <f t="shared" si="28"/>
        <v>-191.66666666666666</v>
      </c>
      <c r="AG122" s="67">
        <f t="shared" si="28"/>
        <v>-191.66666666666666</v>
      </c>
      <c r="AH122" s="67">
        <f t="shared" si="28"/>
        <v>-191.66666666666666</v>
      </c>
      <c r="AI122" s="67">
        <f t="shared" si="28"/>
        <v>-191.66666666666666</v>
      </c>
      <c r="AJ122" s="67">
        <f t="shared" si="28"/>
        <v>-191.66666666666666</v>
      </c>
      <c r="AK122" s="67">
        <f t="shared" si="28"/>
        <v>-191.66666666666666</v>
      </c>
      <c r="AL122" s="67">
        <f t="shared" si="28"/>
        <v>-191.66666666666666</v>
      </c>
      <c r="AM122" s="67">
        <f t="shared" si="28"/>
        <v>-191.66666666666666</v>
      </c>
    </row>
    <row r="123" spans="1:39" s="67" customFormat="1">
      <c r="B123" s="152" t="str">
        <f>G26</f>
        <v xml:space="preserve">Utilities </v>
      </c>
      <c r="C123" s="155"/>
      <c r="D123" s="67">
        <f>-$H$32/12</f>
        <v>-1508.3333333333333</v>
      </c>
      <c r="E123" s="67">
        <f t="shared" ref="E123:O123" si="29">-$H$32/12</f>
        <v>-1508.3333333333333</v>
      </c>
      <c r="F123" s="67">
        <f t="shared" si="29"/>
        <v>-1508.3333333333333</v>
      </c>
      <c r="G123" s="67">
        <f t="shared" si="29"/>
        <v>-1508.3333333333333</v>
      </c>
      <c r="H123" s="67">
        <f t="shared" si="29"/>
        <v>-1508.3333333333333</v>
      </c>
      <c r="I123" s="67">
        <f t="shared" si="29"/>
        <v>-1508.3333333333333</v>
      </c>
      <c r="J123" s="67">
        <f t="shared" si="29"/>
        <v>-1508.3333333333333</v>
      </c>
      <c r="K123" s="67">
        <f t="shared" si="29"/>
        <v>-1508.3333333333333</v>
      </c>
      <c r="L123" s="67">
        <f t="shared" si="29"/>
        <v>-1508.3333333333333</v>
      </c>
      <c r="M123" s="67">
        <f t="shared" si="29"/>
        <v>-1508.3333333333333</v>
      </c>
      <c r="N123" s="67">
        <f t="shared" si="29"/>
        <v>-1508.3333333333333</v>
      </c>
      <c r="O123" s="67">
        <f t="shared" si="29"/>
        <v>-1508.3333333333333</v>
      </c>
      <c r="P123" s="67">
        <f>-$I32/12</f>
        <v>-1808.3333333333333</v>
      </c>
      <c r="Q123" s="67">
        <f t="shared" ref="Q123:AA123" si="30">-$I32/12</f>
        <v>-1808.3333333333333</v>
      </c>
      <c r="R123" s="67">
        <f t="shared" si="30"/>
        <v>-1808.3333333333333</v>
      </c>
      <c r="S123" s="67">
        <f t="shared" si="30"/>
        <v>-1808.3333333333333</v>
      </c>
      <c r="T123" s="67">
        <f t="shared" si="30"/>
        <v>-1808.3333333333333</v>
      </c>
      <c r="U123" s="67">
        <f t="shared" si="30"/>
        <v>-1808.3333333333333</v>
      </c>
      <c r="V123" s="67">
        <f t="shared" si="30"/>
        <v>-1808.3333333333333</v>
      </c>
      <c r="W123" s="67">
        <f t="shared" si="30"/>
        <v>-1808.3333333333333</v>
      </c>
      <c r="X123" s="67">
        <f t="shared" si="30"/>
        <v>-1808.3333333333333</v>
      </c>
      <c r="Y123" s="67">
        <f t="shared" si="30"/>
        <v>-1808.3333333333333</v>
      </c>
      <c r="Z123" s="67">
        <f t="shared" si="30"/>
        <v>-1808.3333333333333</v>
      </c>
      <c r="AA123" s="67">
        <f t="shared" si="30"/>
        <v>-1808.3333333333333</v>
      </c>
      <c r="AB123" s="67">
        <f>-$J32/12</f>
        <v>-2168.3333333333335</v>
      </c>
      <c r="AC123" s="67">
        <f t="shared" ref="AC123:AM123" si="31">-$J32/12</f>
        <v>-2168.3333333333335</v>
      </c>
      <c r="AD123" s="67">
        <f t="shared" si="31"/>
        <v>-2168.3333333333335</v>
      </c>
      <c r="AE123" s="67">
        <f t="shared" si="31"/>
        <v>-2168.3333333333335</v>
      </c>
      <c r="AF123" s="67">
        <f t="shared" si="31"/>
        <v>-2168.3333333333335</v>
      </c>
      <c r="AG123" s="67">
        <f t="shared" si="31"/>
        <v>-2168.3333333333335</v>
      </c>
      <c r="AH123" s="67">
        <f t="shared" si="31"/>
        <v>-2168.3333333333335</v>
      </c>
      <c r="AI123" s="67">
        <f t="shared" si="31"/>
        <v>-2168.3333333333335</v>
      </c>
      <c r="AJ123" s="67">
        <f t="shared" si="31"/>
        <v>-2168.3333333333335</v>
      </c>
      <c r="AK123" s="67">
        <f t="shared" si="31"/>
        <v>-2168.3333333333335</v>
      </c>
      <c r="AL123" s="67">
        <f t="shared" si="31"/>
        <v>-2168.3333333333335</v>
      </c>
      <c r="AM123" s="67">
        <f t="shared" si="31"/>
        <v>-2168.3333333333335</v>
      </c>
    </row>
    <row r="124" spans="1:39" s="67" customFormat="1">
      <c r="B124" s="152" t="str">
        <f>B35</f>
        <v>Shipping</v>
      </c>
      <c r="D124" s="67" t="s">
        <v>422</v>
      </c>
      <c r="O124" s="70"/>
    </row>
    <row r="125" spans="1:39" s="67" customFormat="1">
      <c r="B125" s="152" t="str">
        <f>B42</f>
        <v>Software Subscriptions</v>
      </c>
      <c r="D125" s="67">
        <f>-$C53/12</f>
        <v>-262.5</v>
      </c>
      <c r="E125" s="67">
        <f t="shared" ref="E125:O125" si="32">-$C53/12</f>
        <v>-262.5</v>
      </c>
      <c r="F125" s="67">
        <f t="shared" si="32"/>
        <v>-262.5</v>
      </c>
      <c r="G125" s="67">
        <f t="shared" si="32"/>
        <v>-262.5</v>
      </c>
      <c r="H125" s="67">
        <f t="shared" si="32"/>
        <v>-262.5</v>
      </c>
      <c r="I125" s="67">
        <f t="shared" si="32"/>
        <v>-262.5</v>
      </c>
      <c r="J125" s="67">
        <f t="shared" si="32"/>
        <v>-262.5</v>
      </c>
      <c r="K125" s="67">
        <f t="shared" si="32"/>
        <v>-262.5</v>
      </c>
      <c r="L125" s="67">
        <f t="shared" si="32"/>
        <v>-262.5</v>
      </c>
      <c r="M125" s="67">
        <f t="shared" si="32"/>
        <v>-262.5</v>
      </c>
      <c r="N125" s="67">
        <f t="shared" si="32"/>
        <v>-262.5</v>
      </c>
      <c r="O125" s="67">
        <f t="shared" si="32"/>
        <v>-262.5</v>
      </c>
      <c r="P125" s="67">
        <f>-$D53/12</f>
        <v>-262.5</v>
      </c>
      <c r="Q125" s="67">
        <f t="shared" ref="Q125:AA125" si="33">-$D53/12</f>
        <v>-262.5</v>
      </c>
      <c r="R125" s="67">
        <f t="shared" si="33"/>
        <v>-262.5</v>
      </c>
      <c r="S125" s="67">
        <f t="shared" si="33"/>
        <v>-262.5</v>
      </c>
      <c r="T125" s="67">
        <f t="shared" si="33"/>
        <v>-262.5</v>
      </c>
      <c r="U125" s="67">
        <f t="shared" si="33"/>
        <v>-262.5</v>
      </c>
      <c r="V125" s="67">
        <f t="shared" si="33"/>
        <v>-262.5</v>
      </c>
      <c r="W125" s="67">
        <f t="shared" si="33"/>
        <v>-262.5</v>
      </c>
      <c r="X125" s="67">
        <f t="shared" si="33"/>
        <v>-262.5</v>
      </c>
      <c r="Y125" s="67">
        <f t="shared" si="33"/>
        <v>-262.5</v>
      </c>
      <c r="Z125" s="67">
        <f t="shared" si="33"/>
        <v>-262.5</v>
      </c>
      <c r="AA125" s="67">
        <f t="shared" si="33"/>
        <v>-262.5</v>
      </c>
      <c r="AB125" s="67">
        <f>-$E53/12</f>
        <v>-262.5</v>
      </c>
      <c r="AC125" s="67">
        <f t="shared" ref="AC125:AM125" si="34">-$E53/12</f>
        <v>-262.5</v>
      </c>
      <c r="AD125" s="67">
        <f t="shared" si="34"/>
        <v>-262.5</v>
      </c>
      <c r="AE125" s="67">
        <f t="shared" si="34"/>
        <v>-262.5</v>
      </c>
      <c r="AF125" s="67">
        <f t="shared" si="34"/>
        <v>-262.5</v>
      </c>
      <c r="AG125" s="67">
        <f t="shared" si="34"/>
        <v>-262.5</v>
      </c>
      <c r="AH125" s="67">
        <f t="shared" si="34"/>
        <v>-262.5</v>
      </c>
      <c r="AI125" s="67">
        <f t="shared" si="34"/>
        <v>-262.5</v>
      </c>
      <c r="AJ125" s="67">
        <f t="shared" si="34"/>
        <v>-262.5</v>
      </c>
      <c r="AK125" s="67">
        <f t="shared" si="34"/>
        <v>-262.5</v>
      </c>
      <c r="AL125" s="67">
        <f t="shared" si="34"/>
        <v>-262.5</v>
      </c>
      <c r="AM125" s="67">
        <f t="shared" si="34"/>
        <v>-262.5</v>
      </c>
    </row>
    <row r="126" spans="1:39" s="67" customFormat="1">
      <c r="B126" s="152" t="str">
        <f>G42</f>
        <v xml:space="preserve">Research and Development </v>
      </c>
      <c r="D126" s="67">
        <f>-$H49/12</f>
        <v>-716.66666666666663</v>
      </c>
      <c r="E126" s="67">
        <f t="shared" ref="E126:O126" si="35">-$H49/12</f>
        <v>-716.66666666666663</v>
      </c>
      <c r="F126" s="67">
        <f t="shared" si="35"/>
        <v>-716.66666666666663</v>
      </c>
      <c r="G126" s="67">
        <f t="shared" si="35"/>
        <v>-716.66666666666663</v>
      </c>
      <c r="H126" s="67">
        <f t="shared" si="35"/>
        <v>-716.66666666666663</v>
      </c>
      <c r="I126" s="67">
        <f t="shared" si="35"/>
        <v>-716.66666666666663</v>
      </c>
      <c r="J126" s="67">
        <f t="shared" si="35"/>
        <v>-716.66666666666663</v>
      </c>
      <c r="K126" s="67">
        <f t="shared" si="35"/>
        <v>-716.66666666666663</v>
      </c>
      <c r="L126" s="67">
        <f t="shared" si="35"/>
        <v>-716.66666666666663</v>
      </c>
      <c r="M126" s="67">
        <f t="shared" si="35"/>
        <v>-716.66666666666663</v>
      </c>
      <c r="N126" s="67">
        <f t="shared" si="35"/>
        <v>-716.66666666666663</v>
      </c>
      <c r="O126" s="67">
        <f t="shared" si="35"/>
        <v>-716.66666666666663</v>
      </c>
      <c r="P126" s="67">
        <f>-$I49/12</f>
        <v>-300</v>
      </c>
      <c r="Q126" s="67">
        <f t="shared" ref="Q126:AA126" si="36">-$I49/12</f>
        <v>-300</v>
      </c>
      <c r="R126" s="67">
        <f t="shared" si="36"/>
        <v>-300</v>
      </c>
      <c r="S126" s="67">
        <f t="shared" si="36"/>
        <v>-300</v>
      </c>
      <c r="T126" s="67">
        <f t="shared" si="36"/>
        <v>-300</v>
      </c>
      <c r="U126" s="67">
        <f t="shared" si="36"/>
        <v>-300</v>
      </c>
      <c r="V126" s="67">
        <f t="shared" si="36"/>
        <v>-300</v>
      </c>
      <c r="W126" s="67">
        <f t="shared" si="36"/>
        <v>-300</v>
      </c>
      <c r="X126" s="67">
        <f t="shared" si="36"/>
        <v>-300</v>
      </c>
      <c r="Y126" s="67">
        <f t="shared" si="36"/>
        <v>-300</v>
      </c>
      <c r="Z126" s="67">
        <f t="shared" si="36"/>
        <v>-300</v>
      </c>
      <c r="AA126" s="67">
        <f t="shared" si="36"/>
        <v>-300</v>
      </c>
      <c r="AB126" s="67">
        <f>-$J49/12</f>
        <v>-300</v>
      </c>
      <c r="AC126" s="67">
        <f t="shared" ref="AC126:AM126" si="37">-$J49/12</f>
        <v>-300</v>
      </c>
      <c r="AD126" s="67">
        <f t="shared" si="37"/>
        <v>-300</v>
      </c>
      <c r="AE126" s="67">
        <f t="shared" si="37"/>
        <v>-300</v>
      </c>
      <c r="AF126" s="67">
        <f t="shared" si="37"/>
        <v>-300</v>
      </c>
      <c r="AG126" s="67">
        <f t="shared" si="37"/>
        <v>-300</v>
      </c>
      <c r="AH126" s="67">
        <f t="shared" si="37"/>
        <v>-300</v>
      </c>
      <c r="AI126" s="67">
        <f t="shared" si="37"/>
        <v>-300</v>
      </c>
      <c r="AJ126" s="67">
        <f t="shared" si="37"/>
        <v>-300</v>
      </c>
      <c r="AK126" s="67">
        <f t="shared" si="37"/>
        <v>-300</v>
      </c>
      <c r="AL126" s="67">
        <f t="shared" si="37"/>
        <v>-300</v>
      </c>
      <c r="AM126" s="67">
        <f t="shared" si="37"/>
        <v>-300</v>
      </c>
    </row>
    <row r="127" spans="1:39" s="67" customFormat="1">
      <c r="B127" s="152" t="str">
        <f>B56</f>
        <v>Insurance</v>
      </c>
      <c r="D127" s="67">
        <f>-$C60/12</f>
        <v>-750</v>
      </c>
      <c r="E127" s="67">
        <f t="shared" ref="E127:O127" si="38">-$C60/12</f>
        <v>-750</v>
      </c>
      <c r="F127" s="67">
        <f t="shared" si="38"/>
        <v>-750</v>
      </c>
      <c r="G127" s="67">
        <f t="shared" si="38"/>
        <v>-750</v>
      </c>
      <c r="H127" s="67">
        <f t="shared" si="38"/>
        <v>-750</v>
      </c>
      <c r="I127" s="67">
        <f t="shared" si="38"/>
        <v>-750</v>
      </c>
      <c r="J127" s="67">
        <f t="shared" si="38"/>
        <v>-750</v>
      </c>
      <c r="K127" s="67">
        <f t="shared" si="38"/>
        <v>-750</v>
      </c>
      <c r="L127" s="67">
        <f t="shared" si="38"/>
        <v>-750</v>
      </c>
      <c r="M127" s="67">
        <f t="shared" si="38"/>
        <v>-750</v>
      </c>
      <c r="N127" s="67">
        <f t="shared" si="38"/>
        <v>-750</v>
      </c>
      <c r="O127" s="67">
        <f t="shared" si="38"/>
        <v>-750</v>
      </c>
      <c r="P127" s="67">
        <f>-$D60/12</f>
        <v>-750</v>
      </c>
      <c r="Q127" s="67">
        <f t="shared" ref="Q127:AA127" si="39">-$D60/12</f>
        <v>-750</v>
      </c>
      <c r="R127" s="67">
        <f t="shared" si="39"/>
        <v>-750</v>
      </c>
      <c r="S127" s="67">
        <f t="shared" si="39"/>
        <v>-750</v>
      </c>
      <c r="T127" s="67">
        <f t="shared" si="39"/>
        <v>-750</v>
      </c>
      <c r="U127" s="67">
        <f t="shared" si="39"/>
        <v>-750</v>
      </c>
      <c r="V127" s="67">
        <f t="shared" si="39"/>
        <v>-750</v>
      </c>
      <c r="W127" s="67">
        <f t="shared" si="39"/>
        <v>-750</v>
      </c>
      <c r="X127" s="67">
        <f t="shared" si="39"/>
        <v>-750</v>
      </c>
      <c r="Y127" s="67">
        <f t="shared" si="39"/>
        <v>-750</v>
      </c>
      <c r="Z127" s="67">
        <f t="shared" si="39"/>
        <v>-750</v>
      </c>
      <c r="AA127" s="67">
        <f t="shared" si="39"/>
        <v>-750</v>
      </c>
      <c r="AB127" s="67">
        <f>-$E60/12</f>
        <v>-750</v>
      </c>
      <c r="AC127" s="67">
        <f t="shared" ref="AC127:AM127" si="40">-$E60/12</f>
        <v>-750</v>
      </c>
      <c r="AD127" s="67">
        <f t="shared" si="40"/>
        <v>-750</v>
      </c>
      <c r="AE127" s="67">
        <f t="shared" si="40"/>
        <v>-750</v>
      </c>
      <c r="AF127" s="67">
        <f t="shared" si="40"/>
        <v>-750</v>
      </c>
      <c r="AG127" s="67">
        <f t="shared" si="40"/>
        <v>-750</v>
      </c>
      <c r="AH127" s="67">
        <f t="shared" si="40"/>
        <v>-750</v>
      </c>
      <c r="AI127" s="67">
        <f t="shared" si="40"/>
        <v>-750</v>
      </c>
      <c r="AJ127" s="67">
        <f t="shared" si="40"/>
        <v>-750</v>
      </c>
      <c r="AK127" s="67">
        <f t="shared" si="40"/>
        <v>-750</v>
      </c>
      <c r="AL127" s="67">
        <f t="shared" si="40"/>
        <v>-750</v>
      </c>
      <c r="AM127" s="67">
        <f t="shared" si="40"/>
        <v>-750</v>
      </c>
    </row>
    <row r="128" spans="1:39" s="72" customFormat="1">
      <c r="A128" s="107"/>
      <c r="B128" s="152" t="str">
        <f>G56</f>
        <v>eCommerce</v>
      </c>
      <c r="D128" s="72">
        <f>-$H$61/12</f>
        <v>-20.833333333333332</v>
      </c>
      <c r="E128" s="72">
        <f t="shared" ref="E128:O128" si="41">-$H$61/12</f>
        <v>-20.833333333333332</v>
      </c>
      <c r="F128" s="72">
        <f t="shared" si="41"/>
        <v>-20.833333333333332</v>
      </c>
      <c r="G128" s="72">
        <f t="shared" si="41"/>
        <v>-20.833333333333332</v>
      </c>
      <c r="H128" s="72">
        <f t="shared" si="41"/>
        <v>-20.833333333333332</v>
      </c>
      <c r="I128" s="72">
        <f t="shared" si="41"/>
        <v>-20.833333333333332</v>
      </c>
      <c r="J128" s="72">
        <f t="shared" si="41"/>
        <v>-20.833333333333332</v>
      </c>
      <c r="K128" s="72">
        <f t="shared" si="41"/>
        <v>-20.833333333333332</v>
      </c>
      <c r="L128" s="72">
        <f t="shared" si="41"/>
        <v>-20.833333333333332</v>
      </c>
      <c r="M128" s="72">
        <f t="shared" si="41"/>
        <v>-20.833333333333332</v>
      </c>
      <c r="N128" s="72">
        <f t="shared" si="41"/>
        <v>-20.833333333333332</v>
      </c>
      <c r="O128" s="72">
        <f t="shared" si="41"/>
        <v>-20.833333333333332</v>
      </c>
      <c r="P128" s="72">
        <f>-$I$61/12</f>
        <v>-20.833333333333332</v>
      </c>
      <c r="Q128" s="72">
        <f t="shared" ref="Q128:AA128" si="42">-$I$61/12</f>
        <v>-20.833333333333332</v>
      </c>
      <c r="R128" s="72">
        <f t="shared" si="42"/>
        <v>-20.833333333333332</v>
      </c>
      <c r="S128" s="72">
        <f t="shared" si="42"/>
        <v>-20.833333333333332</v>
      </c>
      <c r="T128" s="72">
        <f t="shared" si="42"/>
        <v>-20.833333333333332</v>
      </c>
      <c r="U128" s="72">
        <f t="shared" si="42"/>
        <v>-20.833333333333332</v>
      </c>
      <c r="V128" s="72">
        <f t="shared" si="42"/>
        <v>-20.833333333333332</v>
      </c>
      <c r="W128" s="72">
        <f t="shared" si="42"/>
        <v>-20.833333333333332</v>
      </c>
      <c r="X128" s="72">
        <f t="shared" si="42"/>
        <v>-20.833333333333332</v>
      </c>
      <c r="Y128" s="72">
        <f t="shared" si="42"/>
        <v>-20.833333333333332</v>
      </c>
      <c r="Z128" s="72">
        <f t="shared" si="42"/>
        <v>-20.833333333333332</v>
      </c>
      <c r="AA128" s="72">
        <f t="shared" si="42"/>
        <v>-20.833333333333332</v>
      </c>
      <c r="AB128" s="72">
        <f>-$J$61/12</f>
        <v>-20.833333333333332</v>
      </c>
      <c r="AC128" s="72">
        <f t="shared" ref="AC128:AM128" si="43">-$J$61/12</f>
        <v>-20.833333333333332</v>
      </c>
      <c r="AD128" s="72">
        <f t="shared" si="43"/>
        <v>-20.833333333333332</v>
      </c>
      <c r="AE128" s="72">
        <f t="shared" si="43"/>
        <v>-20.833333333333332</v>
      </c>
      <c r="AF128" s="72">
        <f t="shared" si="43"/>
        <v>-20.833333333333332</v>
      </c>
      <c r="AG128" s="72">
        <f t="shared" si="43"/>
        <v>-20.833333333333332</v>
      </c>
      <c r="AH128" s="72">
        <f t="shared" si="43"/>
        <v>-20.833333333333332</v>
      </c>
      <c r="AI128" s="72">
        <f t="shared" si="43"/>
        <v>-20.833333333333332</v>
      </c>
      <c r="AJ128" s="72">
        <f t="shared" si="43"/>
        <v>-20.833333333333332</v>
      </c>
      <c r="AK128" s="72">
        <f t="shared" si="43"/>
        <v>-20.833333333333332</v>
      </c>
      <c r="AL128" s="72">
        <f t="shared" si="43"/>
        <v>-20.833333333333332</v>
      </c>
      <c r="AM128" s="72">
        <f t="shared" si="43"/>
        <v>-20.833333333333332</v>
      </c>
    </row>
    <row r="129" spans="1:39" s="143" customFormat="1">
      <c r="A129" s="107"/>
      <c r="B129" s="154" t="s">
        <v>249</v>
      </c>
      <c r="D129" s="143">
        <f t="shared" ref="D129:AM129" si="44">SUM(D120:D128)</f>
        <v>-23380.333333333332</v>
      </c>
      <c r="E129" s="143">
        <f t="shared" si="44"/>
        <v>-23380.333333333332</v>
      </c>
      <c r="F129" s="143">
        <f t="shared" si="44"/>
        <v>-23380.333333333332</v>
      </c>
      <c r="G129" s="143">
        <f t="shared" si="44"/>
        <v>-23380.333333333332</v>
      </c>
      <c r="H129" s="143">
        <f t="shared" si="44"/>
        <v>-23380.333333333332</v>
      </c>
      <c r="I129" s="143">
        <f t="shared" si="44"/>
        <v>-23380.333333333332</v>
      </c>
      <c r="J129" s="143">
        <f t="shared" si="44"/>
        <v>-23380.333333333332</v>
      </c>
      <c r="K129" s="143">
        <f t="shared" si="44"/>
        <v>-23380.333333333332</v>
      </c>
      <c r="L129" s="143">
        <f t="shared" si="44"/>
        <v>-23380.333333333332</v>
      </c>
      <c r="M129" s="143">
        <f t="shared" si="44"/>
        <v>-23380.333333333332</v>
      </c>
      <c r="N129" s="143">
        <f t="shared" si="44"/>
        <v>-23380.333333333332</v>
      </c>
      <c r="O129" s="157">
        <f t="shared" si="44"/>
        <v>-23380.333333333332</v>
      </c>
      <c r="P129" s="143">
        <f t="shared" si="44"/>
        <v>-37264.583333333336</v>
      </c>
      <c r="Q129" s="143">
        <f t="shared" si="44"/>
        <v>-37264.583333333336</v>
      </c>
      <c r="R129" s="143">
        <f t="shared" si="44"/>
        <v>-37264.583333333336</v>
      </c>
      <c r="S129" s="143">
        <f t="shared" si="44"/>
        <v>-37264.583333333336</v>
      </c>
      <c r="T129" s="143">
        <f t="shared" si="44"/>
        <v>-37264.583333333336</v>
      </c>
      <c r="U129" s="143">
        <f t="shared" si="44"/>
        <v>-37264.583333333336</v>
      </c>
      <c r="V129" s="143">
        <f t="shared" si="44"/>
        <v>-37264.583333333336</v>
      </c>
      <c r="W129" s="143">
        <f t="shared" si="44"/>
        <v>-37264.583333333336</v>
      </c>
      <c r="X129" s="143">
        <f t="shared" si="44"/>
        <v>-37264.583333333336</v>
      </c>
      <c r="Y129" s="143">
        <f t="shared" si="44"/>
        <v>-37264.583333333336</v>
      </c>
      <c r="Z129" s="143">
        <f t="shared" si="44"/>
        <v>-37264.583333333336</v>
      </c>
      <c r="AA129" s="157">
        <f t="shared" si="44"/>
        <v>-37264.583333333336</v>
      </c>
      <c r="AB129" s="143">
        <f t="shared" si="44"/>
        <v>-59377.166666666672</v>
      </c>
      <c r="AC129" s="143">
        <f t="shared" si="44"/>
        <v>-59377.166666666672</v>
      </c>
      <c r="AD129" s="143">
        <f t="shared" si="44"/>
        <v>-59377.166666666672</v>
      </c>
      <c r="AE129" s="143">
        <f t="shared" si="44"/>
        <v>-59377.166666666672</v>
      </c>
      <c r="AF129" s="143">
        <f t="shared" si="44"/>
        <v>-59377.166666666672</v>
      </c>
      <c r="AG129" s="143">
        <f t="shared" si="44"/>
        <v>-59377.166666666672</v>
      </c>
      <c r="AH129" s="143">
        <f t="shared" si="44"/>
        <v>-59377.166666666672</v>
      </c>
      <c r="AI129" s="143">
        <f t="shared" si="44"/>
        <v>-59377.166666666672</v>
      </c>
      <c r="AJ129" s="143">
        <f t="shared" si="44"/>
        <v>-59377.166666666672</v>
      </c>
      <c r="AK129" s="143">
        <f t="shared" si="44"/>
        <v>-59377.166666666672</v>
      </c>
      <c r="AL129" s="143">
        <f t="shared" si="44"/>
        <v>-59377.166666666672</v>
      </c>
      <c r="AM129" s="143">
        <f t="shared" si="44"/>
        <v>-59377.166666666672</v>
      </c>
    </row>
    <row r="130" spans="1:39" s="67" customFormat="1">
      <c r="B130" s="152"/>
      <c r="O130" s="70"/>
      <c r="P130" s="71"/>
      <c r="Q130" s="72"/>
      <c r="R130" s="72"/>
      <c r="S130" s="72"/>
      <c r="T130" s="72"/>
      <c r="U130" s="72"/>
      <c r="V130" s="72"/>
      <c r="W130" s="72"/>
      <c r="X130" s="72"/>
      <c r="Y130" s="72"/>
      <c r="Z130" s="72"/>
      <c r="AA130" s="73"/>
      <c r="AB130" s="71"/>
    </row>
    <row r="131" spans="1:39" s="149" customFormat="1">
      <c r="B131" s="150" t="s">
        <v>66</v>
      </c>
      <c r="D131" s="149">
        <f t="shared" ref="D131:AM131" si="45">D117+D129</f>
        <v>-6582.3333333333321</v>
      </c>
      <c r="E131" s="149">
        <f t="shared" si="45"/>
        <v>-4678.3333333333321</v>
      </c>
      <c r="F131" s="149">
        <f t="shared" si="45"/>
        <v>-1222.133333333335</v>
      </c>
      <c r="G131" s="149">
        <f t="shared" si="45"/>
        <v>460.06666666666933</v>
      </c>
      <c r="H131" s="149">
        <f t="shared" si="45"/>
        <v>3963.6666666666679</v>
      </c>
      <c r="I131" s="149">
        <f t="shared" si="45"/>
        <v>6793.7666666666664</v>
      </c>
      <c r="J131" s="149">
        <f t="shared" si="45"/>
        <v>10258.666666666668</v>
      </c>
      <c r="K131" s="149">
        <f t="shared" si="45"/>
        <v>10194.48166666667</v>
      </c>
      <c r="L131" s="149">
        <f t="shared" si="45"/>
        <v>11972.166666666668</v>
      </c>
      <c r="M131" s="149">
        <f t="shared" si="45"/>
        <v>15048.566666666662</v>
      </c>
      <c r="N131" s="149">
        <f t="shared" si="45"/>
        <v>17737.198666666667</v>
      </c>
      <c r="O131" s="151">
        <f t="shared" si="45"/>
        <v>21200.461666666666</v>
      </c>
      <c r="P131" s="158">
        <f t="shared" si="45"/>
        <v>19140.684666666661</v>
      </c>
      <c r="Q131" s="149">
        <f t="shared" si="45"/>
        <v>30933.537666666663</v>
      </c>
      <c r="R131" s="149">
        <f t="shared" si="45"/>
        <v>46563.261666666665</v>
      </c>
      <c r="S131" s="149">
        <f t="shared" si="45"/>
        <v>60983.356666666667</v>
      </c>
      <c r="T131" s="149">
        <f t="shared" si="45"/>
        <v>69457.279666666669</v>
      </c>
      <c r="U131" s="149">
        <f t="shared" si="45"/>
        <v>79024.177666666656</v>
      </c>
      <c r="V131" s="149">
        <f t="shared" si="45"/>
        <v>88791.31766666667</v>
      </c>
      <c r="W131" s="149">
        <f t="shared" si="45"/>
        <v>86619.025966666668</v>
      </c>
      <c r="X131" s="149">
        <f t="shared" si="45"/>
        <v>104424.73766666665</v>
      </c>
      <c r="Y131" s="149">
        <f t="shared" si="45"/>
        <v>117207.68966666664</v>
      </c>
      <c r="Z131" s="149">
        <f t="shared" si="45"/>
        <v>131341.75466666665</v>
      </c>
      <c r="AA131" s="151">
        <f t="shared" si="45"/>
        <v>130443.98686666667</v>
      </c>
      <c r="AB131" s="158">
        <f t="shared" si="45"/>
        <v>137335.05567333335</v>
      </c>
      <c r="AC131" s="149">
        <f t="shared" si="45"/>
        <v>159629.76301333332</v>
      </c>
      <c r="AD131" s="149">
        <f t="shared" si="45"/>
        <v>200139.57957333332</v>
      </c>
      <c r="AE131" s="149">
        <f t="shared" si="45"/>
        <v>210763.65501333337</v>
      </c>
      <c r="AF131" s="149">
        <f t="shared" si="45"/>
        <v>242965.84207333328</v>
      </c>
      <c r="AG131" s="149">
        <f t="shared" si="45"/>
        <v>296533.69303333334</v>
      </c>
      <c r="AH131" s="149">
        <f t="shared" si="45"/>
        <v>334079.73971333331</v>
      </c>
      <c r="AI131" s="149">
        <f t="shared" si="45"/>
        <v>350723.37266633334</v>
      </c>
      <c r="AJ131" s="149">
        <f t="shared" si="45"/>
        <v>358518.34247333329</v>
      </c>
      <c r="AK131" s="149">
        <f t="shared" si="45"/>
        <v>407919.04661333334</v>
      </c>
      <c r="AL131" s="149">
        <f t="shared" si="45"/>
        <v>441469.25547093333</v>
      </c>
      <c r="AM131" s="149">
        <f t="shared" si="45"/>
        <v>472358.8323503334</v>
      </c>
    </row>
    <row r="132" spans="1:39" s="67" customFormat="1">
      <c r="B132" s="152"/>
      <c r="O132" s="70"/>
      <c r="P132" s="71"/>
      <c r="Q132" s="72"/>
      <c r="R132" s="72"/>
      <c r="S132" s="72"/>
      <c r="T132" s="72"/>
      <c r="U132" s="72"/>
      <c r="V132" s="72"/>
      <c r="W132" s="72"/>
      <c r="X132" s="72"/>
      <c r="Y132" s="72"/>
      <c r="Z132" s="72"/>
      <c r="AA132" s="73"/>
      <c r="AB132" s="71"/>
    </row>
    <row r="133" spans="1:39" s="67" customFormat="1">
      <c r="B133" s="152" t="s">
        <v>31</v>
      </c>
      <c r="D133" s="67">
        <f>D230</f>
        <v>-1353.7619047619048</v>
      </c>
      <c r="E133" s="67">
        <f t="shared" ref="E133:AM133" si="46">E230</f>
        <v>-1353.7619047619048</v>
      </c>
      <c r="F133" s="67">
        <f t="shared" si="46"/>
        <v>-1353.7619047619048</v>
      </c>
      <c r="G133" s="67">
        <f t="shared" si="46"/>
        <v>-1353.7619047619048</v>
      </c>
      <c r="H133" s="67">
        <f t="shared" si="46"/>
        <v>-1353.7619047619048</v>
      </c>
      <c r="I133" s="67">
        <f t="shared" si="46"/>
        <v>-1353.7619047619048</v>
      </c>
      <c r="J133" s="67">
        <f t="shared" si="46"/>
        <v>-1353.7619047619048</v>
      </c>
      <c r="K133" s="67">
        <f t="shared" si="46"/>
        <v>-1353.7619047619048</v>
      </c>
      <c r="L133" s="67">
        <f t="shared" si="46"/>
        <v>-1353.7619047619048</v>
      </c>
      <c r="M133" s="67">
        <f t="shared" si="46"/>
        <v>-1353.7619047619048</v>
      </c>
      <c r="N133" s="67">
        <f t="shared" si="46"/>
        <v>-1353.7619047619048</v>
      </c>
      <c r="O133" s="70">
        <f t="shared" si="46"/>
        <v>-1353.7619047619048</v>
      </c>
      <c r="P133" s="67">
        <f t="shared" si="46"/>
        <v>-2627.6309523809523</v>
      </c>
      <c r="Q133" s="67">
        <f t="shared" si="46"/>
        <v>-2627.6309523809523</v>
      </c>
      <c r="R133" s="67">
        <f t="shared" si="46"/>
        <v>-2627.6309523809523</v>
      </c>
      <c r="S133" s="67">
        <f t="shared" si="46"/>
        <v>-2627.6309523809523</v>
      </c>
      <c r="T133" s="67">
        <f t="shared" si="46"/>
        <v>-2627.6309523809523</v>
      </c>
      <c r="U133" s="67">
        <f t="shared" si="46"/>
        <v>-2627.6309523809523</v>
      </c>
      <c r="V133" s="67">
        <f t="shared" si="46"/>
        <v>-2627.6309523809523</v>
      </c>
      <c r="W133" s="67">
        <f t="shared" si="46"/>
        <v>-2627.6309523809523</v>
      </c>
      <c r="X133" s="67">
        <f t="shared" si="46"/>
        <v>-2627.6309523809523</v>
      </c>
      <c r="Y133" s="67">
        <f t="shared" si="46"/>
        <v>-2627.6309523809523</v>
      </c>
      <c r="Z133" s="67">
        <f t="shared" si="46"/>
        <v>-2627.6309523809523</v>
      </c>
      <c r="AA133" s="70">
        <f t="shared" si="46"/>
        <v>-2627.6309523809523</v>
      </c>
      <c r="AB133" s="67">
        <f>AB230</f>
        <v>-5088.4880952380954</v>
      </c>
      <c r="AC133" s="67">
        <f t="shared" si="46"/>
        <v>-5088.4880952380954</v>
      </c>
      <c r="AD133" s="67">
        <f t="shared" si="46"/>
        <v>-5088.4880952380954</v>
      </c>
      <c r="AE133" s="67">
        <f t="shared" si="46"/>
        <v>-5088.4880952380954</v>
      </c>
      <c r="AF133" s="67">
        <f t="shared" si="46"/>
        <v>-5088.4880952380954</v>
      </c>
      <c r="AG133" s="67">
        <f t="shared" si="46"/>
        <v>-5088.4880952380954</v>
      </c>
      <c r="AH133" s="67">
        <f t="shared" si="46"/>
        <v>-5088.4880952380954</v>
      </c>
      <c r="AI133" s="67">
        <f t="shared" si="46"/>
        <v>-5088.4880952380954</v>
      </c>
      <c r="AJ133" s="67">
        <f t="shared" si="46"/>
        <v>-5088.4880952380954</v>
      </c>
      <c r="AK133" s="67">
        <f t="shared" si="46"/>
        <v>-5088.4880952380954</v>
      </c>
      <c r="AL133" s="67">
        <f t="shared" si="46"/>
        <v>-5088.4880952380954</v>
      </c>
      <c r="AM133" s="67">
        <f t="shared" si="46"/>
        <v>-5088.4880952380954</v>
      </c>
    </row>
    <row r="134" spans="1:39" s="137" customFormat="1">
      <c r="B134" s="150" t="s">
        <v>24</v>
      </c>
      <c r="D134" s="137">
        <f t="shared" ref="D134:AM134" si="47">D133+D131</f>
        <v>-7936.0952380952367</v>
      </c>
      <c r="E134" s="137">
        <f t="shared" si="47"/>
        <v>-6032.0952380952367</v>
      </c>
      <c r="F134" s="137">
        <f t="shared" si="47"/>
        <v>-2575.8952380952396</v>
      </c>
      <c r="G134" s="137">
        <f t="shared" si="47"/>
        <v>-893.69523809523548</v>
      </c>
      <c r="H134" s="137">
        <f t="shared" si="47"/>
        <v>2609.9047619047633</v>
      </c>
      <c r="I134" s="137">
        <f t="shared" si="47"/>
        <v>5440.0047619047618</v>
      </c>
      <c r="J134" s="137">
        <f t="shared" si="47"/>
        <v>8904.9047619047633</v>
      </c>
      <c r="K134" s="137">
        <f t="shared" si="47"/>
        <v>8840.7197619047656</v>
      </c>
      <c r="L134" s="137">
        <f t="shared" si="47"/>
        <v>10618.404761904763</v>
      </c>
      <c r="M134" s="137">
        <f t="shared" si="47"/>
        <v>13694.804761904757</v>
      </c>
      <c r="N134" s="137">
        <f t="shared" si="47"/>
        <v>16383.436761904763</v>
      </c>
      <c r="O134" s="139">
        <f t="shared" si="47"/>
        <v>19846.699761904762</v>
      </c>
      <c r="P134" s="137">
        <f t="shared" si="47"/>
        <v>16513.053714285707</v>
      </c>
      <c r="Q134" s="137">
        <f t="shared" si="47"/>
        <v>28305.906714285709</v>
      </c>
      <c r="R134" s="137">
        <f t="shared" si="47"/>
        <v>43935.630714285711</v>
      </c>
      <c r="S134" s="137">
        <f t="shared" si="47"/>
        <v>58355.725714285712</v>
      </c>
      <c r="T134" s="137">
        <f t="shared" si="47"/>
        <v>66829.648714285722</v>
      </c>
      <c r="U134" s="137">
        <f t="shared" si="47"/>
        <v>76396.546714285709</v>
      </c>
      <c r="V134" s="137">
        <f t="shared" si="47"/>
        <v>86163.686714285723</v>
      </c>
      <c r="W134" s="137">
        <f t="shared" si="47"/>
        <v>83991.395014285721</v>
      </c>
      <c r="X134" s="137">
        <f t="shared" si="47"/>
        <v>101797.10671428571</v>
      </c>
      <c r="Y134" s="137">
        <f t="shared" si="47"/>
        <v>114580.0587142857</v>
      </c>
      <c r="Z134" s="137">
        <f t="shared" si="47"/>
        <v>128714.1237142857</v>
      </c>
      <c r="AA134" s="139">
        <f t="shared" si="47"/>
        <v>127816.35591428573</v>
      </c>
      <c r="AB134" s="137">
        <f t="shared" si="47"/>
        <v>132246.56757809524</v>
      </c>
      <c r="AC134" s="137">
        <f t="shared" si="47"/>
        <v>154541.27491809521</v>
      </c>
      <c r="AD134" s="137">
        <f t="shared" si="47"/>
        <v>195051.09147809522</v>
      </c>
      <c r="AE134" s="137">
        <f t="shared" si="47"/>
        <v>205675.16691809526</v>
      </c>
      <c r="AF134" s="137">
        <f t="shared" si="47"/>
        <v>237877.35397809517</v>
      </c>
      <c r="AG134" s="137">
        <f t="shared" si="47"/>
        <v>291445.20493809524</v>
      </c>
      <c r="AH134" s="137">
        <f t="shared" si="47"/>
        <v>328991.25161809521</v>
      </c>
      <c r="AI134" s="137">
        <f t="shared" si="47"/>
        <v>345634.88457109523</v>
      </c>
      <c r="AJ134" s="137">
        <f t="shared" si="47"/>
        <v>353429.85437809519</v>
      </c>
      <c r="AK134" s="137">
        <f t="shared" si="47"/>
        <v>402830.55851809523</v>
      </c>
      <c r="AL134" s="137">
        <f t="shared" si="47"/>
        <v>436380.76737569523</v>
      </c>
      <c r="AM134" s="137">
        <f t="shared" si="47"/>
        <v>467270.34425509529</v>
      </c>
    </row>
    <row r="135" spans="1:39" s="67" customFormat="1">
      <c r="B135" s="152"/>
      <c r="O135" s="70"/>
      <c r="P135" s="71"/>
      <c r="Q135" s="71"/>
      <c r="R135" s="71"/>
      <c r="S135" s="71"/>
      <c r="T135" s="71"/>
      <c r="U135" s="71"/>
      <c r="V135" s="71"/>
      <c r="W135" s="71"/>
      <c r="X135" s="71"/>
      <c r="Y135" s="71"/>
      <c r="Z135" s="71"/>
      <c r="AA135" s="73"/>
      <c r="AB135" s="71"/>
      <c r="AC135" s="71"/>
      <c r="AD135" s="71"/>
      <c r="AE135" s="71"/>
      <c r="AF135" s="71"/>
      <c r="AG135" s="71"/>
      <c r="AH135" s="71"/>
      <c r="AI135" s="71"/>
      <c r="AJ135" s="71"/>
      <c r="AK135" s="71"/>
      <c r="AL135" s="71"/>
      <c r="AM135" s="71"/>
    </row>
    <row r="136" spans="1:39" s="67" customFormat="1">
      <c r="B136" s="152" t="s">
        <v>30</v>
      </c>
      <c r="D136" s="67">
        <f t="shared" ref="D136:AM136" si="48">-IF(D112&gt;$D87,0,IPMT($D86/12,D112,$D87,-$D85))</f>
        <v>-1041.6666666666665</v>
      </c>
      <c r="E136" s="67">
        <f t="shared" si="48"/>
        <v>-1026.3494093985996</v>
      </c>
      <c r="F136" s="67">
        <f t="shared" si="48"/>
        <v>-1010.9683302252491</v>
      </c>
      <c r="G136" s="67">
        <f t="shared" si="48"/>
        <v>-995.52316322200954</v>
      </c>
      <c r="H136" s="67">
        <f t="shared" si="48"/>
        <v>-980.01364135625658</v>
      </c>
      <c r="I136" s="67">
        <f t="shared" si="48"/>
        <v>-964.4394964827294</v>
      </c>
      <c r="J136" s="67">
        <f t="shared" si="48"/>
        <v>-948.80045933889608</v>
      </c>
      <c r="K136" s="67">
        <f t="shared" si="48"/>
        <v>-933.09625954029684</v>
      </c>
      <c r="L136" s="67">
        <f t="shared" si="48"/>
        <v>-917.32662557587003</v>
      </c>
      <c r="M136" s="67">
        <f t="shared" si="48"/>
        <v>-901.49128480325805</v>
      </c>
      <c r="N136" s="67">
        <f t="shared" si="48"/>
        <v>-885.58996344409377</v>
      </c>
      <c r="O136" s="70">
        <f t="shared" si="48"/>
        <v>-869.62238657926582</v>
      </c>
      <c r="P136" s="67">
        <f t="shared" si="48"/>
        <v>-853.58827814416816</v>
      </c>
      <c r="Q136" s="67">
        <f t="shared" si="48"/>
        <v>-837.48736092392414</v>
      </c>
      <c r="R136" s="67">
        <f t="shared" si="48"/>
        <v>-821.31935654859592</v>
      </c>
      <c r="S136" s="67">
        <f t="shared" si="48"/>
        <v>-805.08398548837022</v>
      </c>
      <c r="T136" s="67">
        <f t="shared" si="48"/>
        <v>-788.78096704872712</v>
      </c>
      <c r="U136" s="67">
        <f t="shared" si="48"/>
        <v>-772.4100193655853</v>
      </c>
      <c r="V136" s="67">
        <f t="shared" si="48"/>
        <v>-755.97085940043053</v>
      </c>
      <c r="W136" s="67">
        <f t="shared" si="48"/>
        <v>-739.46320293542112</v>
      </c>
      <c r="X136" s="67">
        <f t="shared" si="48"/>
        <v>-722.88676456847372</v>
      </c>
      <c r="Y136" s="67">
        <f t="shared" si="48"/>
        <v>-706.24125770833109</v>
      </c>
      <c r="Z136" s="67">
        <f t="shared" si="48"/>
        <v>-689.52639456960446</v>
      </c>
      <c r="AA136" s="70">
        <f t="shared" si="48"/>
        <v>-672.74188616779975</v>
      </c>
      <c r="AB136" s="67">
        <f t="shared" si="48"/>
        <v>-655.88744231432077</v>
      </c>
      <c r="AC136" s="67">
        <f t="shared" si="48"/>
        <v>-638.96277161145247</v>
      </c>
      <c r="AD136" s="67">
        <f t="shared" si="48"/>
        <v>-621.96758144732212</v>
      </c>
      <c r="AE136" s="67">
        <f t="shared" si="48"/>
        <v>-604.90157799084113</v>
      </c>
      <c r="AF136" s="67">
        <f t="shared" si="48"/>
        <v>-587.76446618662499</v>
      </c>
      <c r="AG136" s="67">
        <f t="shared" si="48"/>
        <v>-570.55594974989128</v>
      </c>
      <c r="AH136" s="67">
        <f t="shared" si="48"/>
        <v>-553.27573116133772</v>
      </c>
      <c r="AI136" s="67">
        <f t="shared" si="48"/>
        <v>-535.92351166199865</v>
      </c>
      <c r="AJ136" s="67">
        <f t="shared" si="48"/>
        <v>-518.49899124807894</v>
      </c>
      <c r="AK136" s="67">
        <f t="shared" si="48"/>
        <v>-501.00186866576786</v>
      </c>
      <c r="AL136" s="67">
        <f t="shared" si="48"/>
        <v>-483.4318414060304</v>
      </c>
      <c r="AM136" s="67">
        <f t="shared" si="48"/>
        <v>-465.78860569937763</v>
      </c>
    </row>
    <row r="137" spans="1:39" s="149" customFormat="1">
      <c r="B137" s="150" t="s">
        <v>105</v>
      </c>
      <c r="D137" s="149">
        <f t="shared" ref="D137:AM137" si="49">D134+D136</f>
        <v>-8977.7619047619028</v>
      </c>
      <c r="E137" s="149">
        <f t="shared" si="49"/>
        <v>-7058.4446474938359</v>
      </c>
      <c r="F137" s="149">
        <f t="shared" si="49"/>
        <v>-3586.8635683204889</v>
      </c>
      <c r="G137" s="149">
        <f t="shared" si="49"/>
        <v>-1889.218401317245</v>
      </c>
      <c r="H137" s="149">
        <f t="shared" si="49"/>
        <v>1629.8911205485067</v>
      </c>
      <c r="I137" s="149">
        <f t="shared" si="49"/>
        <v>4475.5652654220321</v>
      </c>
      <c r="J137" s="149">
        <f t="shared" si="49"/>
        <v>7956.1043025658673</v>
      </c>
      <c r="K137" s="149">
        <f t="shared" si="49"/>
        <v>7907.6235023644685</v>
      </c>
      <c r="L137" s="149">
        <f t="shared" si="49"/>
        <v>9701.0781363288934</v>
      </c>
      <c r="M137" s="149">
        <f t="shared" si="49"/>
        <v>12793.313477101499</v>
      </c>
      <c r="N137" s="149">
        <f t="shared" si="49"/>
        <v>15497.846798460669</v>
      </c>
      <c r="O137" s="151">
        <f t="shared" si="49"/>
        <v>18977.077375325494</v>
      </c>
      <c r="P137" s="149">
        <f t="shared" si="49"/>
        <v>15659.465436141538</v>
      </c>
      <c r="Q137" s="149">
        <f t="shared" si="49"/>
        <v>27468.419353361784</v>
      </c>
      <c r="R137" s="149">
        <f t="shared" si="49"/>
        <v>43114.311357737119</v>
      </c>
      <c r="S137" s="149">
        <f t="shared" si="49"/>
        <v>57550.641728797345</v>
      </c>
      <c r="T137" s="149">
        <f t="shared" si="49"/>
        <v>66040.867747236989</v>
      </c>
      <c r="U137" s="149">
        <f t="shared" si="49"/>
        <v>75624.136694920118</v>
      </c>
      <c r="V137" s="149">
        <f t="shared" si="49"/>
        <v>85407.715854885289</v>
      </c>
      <c r="W137" s="149">
        <f t="shared" si="49"/>
        <v>83251.931811350296</v>
      </c>
      <c r="X137" s="149">
        <f t="shared" si="49"/>
        <v>101074.21994971723</v>
      </c>
      <c r="Y137" s="149">
        <f t="shared" si="49"/>
        <v>113873.81745657737</v>
      </c>
      <c r="Z137" s="149">
        <f t="shared" si="49"/>
        <v>128024.59731971609</v>
      </c>
      <c r="AA137" s="151">
        <f t="shared" si="49"/>
        <v>127143.61402811793</v>
      </c>
      <c r="AB137" s="149">
        <f t="shared" si="49"/>
        <v>131590.68013578092</v>
      </c>
      <c r="AC137" s="149">
        <f t="shared" si="49"/>
        <v>153902.31214648375</v>
      </c>
      <c r="AD137" s="149">
        <f t="shared" si="49"/>
        <v>194429.12389664788</v>
      </c>
      <c r="AE137" s="149">
        <f t="shared" si="49"/>
        <v>205070.26534010441</v>
      </c>
      <c r="AF137" s="149">
        <f t="shared" si="49"/>
        <v>237289.58951190853</v>
      </c>
      <c r="AG137" s="149">
        <f t="shared" si="49"/>
        <v>290874.64898834535</v>
      </c>
      <c r="AH137" s="149">
        <f t="shared" si="49"/>
        <v>328437.97588693385</v>
      </c>
      <c r="AI137" s="149">
        <f t="shared" si="49"/>
        <v>345098.96105943323</v>
      </c>
      <c r="AJ137" s="149">
        <f t="shared" si="49"/>
        <v>352911.35538684711</v>
      </c>
      <c r="AK137" s="149">
        <f t="shared" si="49"/>
        <v>402329.55664942949</v>
      </c>
      <c r="AL137" s="149">
        <f t="shared" si="49"/>
        <v>435897.33553428919</v>
      </c>
      <c r="AM137" s="149">
        <f t="shared" si="49"/>
        <v>466804.55564939592</v>
      </c>
    </row>
    <row r="138" spans="1:39" s="143" customFormat="1">
      <c r="B138" s="154"/>
      <c r="C138" s="159"/>
      <c r="O138" s="157"/>
      <c r="P138" s="160"/>
      <c r="AA138" s="157"/>
      <c r="AB138" s="160"/>
    </row>
    <row r="139" spans="1:39" s="143" customFormat="1">
      <c r="B139" s="152" t="s">
        <v>4</v>
      </c>
      <c r="C139" s="161"/>
      <c r="D139" s="162">
        <f>-D241</f>
        <v>0</v>
      </c>
      <c r="E139" s="162">
        <f t="shared" ref="E139:AM139" si="50">-E241</f>
        <v>0</v>
      </c>
      <c r="F139" s="162">
        <f t="shared" si="50"/>
        <v>0</v>
      </c>
      <c r="G139" s="162">
        <f t="shared" si="50"/>
        <v>0</v>
      </c>
      <c r="H139" s="162">
        <f t="shared" si="50"/>
        <v>0</v>
      </c>
      <c r="I139" s="162">
        <f t="shared" si="50"/>
        <v>0</v>
      </c>
      <c r="J139" s="162">
        <f t="shared" si="50"/>
        <v>0</v>
      </c>
      <c r="K139" s="162">
        <f t="shared" si="50"/>
        <v>0</v>
      </c>
      <c r="L139" s="162">
        <f t="shared" si="50"/>
        <v>0</v>
      </c>
      <c r="M139" s="162">
        <f t="shared" si="50"/>
        <v>0</v>
      </c>
      <c r="N139" s="162">
        <f t="shared" si="50"/>
        <v>-885.12875831985639</v>
      </c>
      <c r="O139" s="163">
        <f t="shared" si="50"/>
        <v>-5082.7098200218497</v>
      </c>
      <c r="P139" s="162">
        <f t="shared" si="50"/>
        <v>0</v>
      </c>
      <c r="Q139" s="162">
        <f t="shared" si="50"/>
        <v>-6968.6252519080126</v>
      </c>
      <c r="R139" s="162">
        <f t="shared" si="50"/>
        <v>-11435.485577529518</v>
      </c>
      <c r="S139" s="162">
        <f t="shared" si="50"/>
        <v>-15044.568170294575</v>
      </c>
      <c r="T139" s="162">
        <f t="shared" si="50"/>
        <v>-17167.124674904484</v>
      </c>
      <c r="U139" s="162">
        <f t="shared" si="50"/>
        <v>-19562.941911825266</v>
      </c>
      <c r="V139" s="162">
        <f t="shared" si="50"/>
        <v>-22008.836701816559</v>
      </c>
      <c r="W139" s="162">
        <f t="shared" si="50"/>
        <v>-21469.890690932811</v>
      </c>
      <c r="X139" s="162">
        <f t="shared" si="50"/>
        <v>-25925.462725524543</v>
      </c>
      <c r="Y139" s="162">
        <f t="shared" si="50"/>
        <v>-29125.362102239578</v>
      </c>
      <c r="Z139" s="162">
        <f t="shared" si="50"/>
        <v>-32663.05706802426</v>
      </c>
      <c r="AA139" s="163">
        <f t="shared" si="50"/>
        <v>-32442.811245124718</v>
      </c>
      <c r="AB139" s="162">
        <f t="shared" si="50"/>
        <v>-13549.792057754756</v>
      </c>
      <c r="AC139" s="162">
        <f t="shared" si="50"/>
        <v>-39747.700060430463</v>
      </c>
      <c r="AD139" s="162">
        <f t="shared" si="50"/>
        <v>-49879.402997971498</v>
      </c>
      <c r="AE139" s="162">
        <f t="shared" si="50"/>
        <v>-52539.688358835629</v>
      </c>
      <c r="AF139" s="162">
        <f t="shared" si="50"/>
        <v>-60594.51940178666</v>
      </c>
      <c r="AG139" s="162">
        <f t="shared" si="50"/>
        <v>-73990.784270895863</v>
      </c>
      <c r="AH139" s="162">
        <f t="shared" si="50"/>
        <v>-83381.61599554299</v>
      </c>
      <c r="AI139" s="162">
        <f t="shared" si="50"/>
        <v>-87546.862288667835</v>
      </c>
      <c r="AJ139" s="162">
        <f t="shared" si="50"/>
        <v>-89499.960870521303</v>
      </c>
      <c r="AK139" s="162">
        <f t="shared" si="50"/>
        <v>-101854.5111861669</v>
      </c>
      <c r="AL139" s="162">
        <f t="shared" si="50"/>
        <v>-110246.45590738182</v>
      </c>
      <c r="AM139" s="162">
        <f t="shared" si="50"/>
        <v>-117973.26093615851</v>
      </c>
    </row>
    <row r="140" spans="1:39" s="149" customFormat="1">
      <c r="B140" s="164" t="s">
        <v>106</v>
      </c>
      <c r="D140" s="149">
        <f t="shared" ref="D140:AM140" si="51">D137+D139</f>
        <v>-8977.7619047619028</v>
      </c>
      <c r="E140" s="149">
        <f t="shared" si="51"/>
        <v>-7058.4446474938359</v>
      </c>
      <c r="F140" s="149">
        <f t="shared" si="51"/>
        <v>-3586.8635683204889</v>
      </c>
      <c r="G140" s="149">
        <f t="shared" si="51"/>
        <v>-1889.218401317245</v>
      </c>
      <c r="H140" s="149">
        <f t="shared" si="51"/>
        <v>1629.8911205485067</v>
      </c>
      <c r="I140" s="149">
        <f t="shared" si="51"/>
        <v>4475.5652654220321</v>
      </c>
      <c r="J140" s="149">
        <f t="shared" si="51"/>
        <v>7956.1043025658673</v>
      </c>
      <c r="K140" s="149">
        <f t="shared" si="51"/>
        <v>7907.6235023644685</v>
      </c>
      <c r="L140" s="149">
        <f t="shared" si="51"/>
        <v>9701.0781363288934</v>
      </c>
      <c r="M140" s="149">
        <f t="shared" si="51"/>
        <v>12793.313477101499</v>
      </c>
      <c r="N140" s="149">
        <f t="shared" si="51"/>
        <v>14612.718040140811</v>
      </c>
      <c r="O140" s="151">
        <f t="shared" si="51"/>
        <v>13894.367555303645</v>
      </c>
      <c r="P140" s="158">
        <f>P137+P139</f>
        <v>15659.465436141538</v>
      </c>
      <c r="Q140" s="149">
        <f t="shared" si="51"/>
        <v>20499.794101453772</v>
      </c>
      <c r="R140" s="149">
        <f t="shared" si="51"/>
        <v>31678.8257802076</v>
      </c>
      <c r="S140" s="149">
        <f t="shared" si="51"/>
        <v>42506.073558502772</v>
      </c>
      <c r="T140" s="149">
        <f t="shared" si="51"/>
        <v>48873.743072332509</v>
      </c>
      <c r="U140" s="149">
        <f t="shared" si="51"/>
        <v>56061.194783094848</v>
      </c>
      <c r="V140" s="149">
        <f t="shared" si="51"/>
        <v>63398.87915306873</v>
      </c>
      <c r="W140" s="149">
        <f t="shared" si="51"/>
        <v>61782.041120417489</v>
      </c>
      <c r="X140" s="149">
        <f t="shared" si="51"/>
        <v>75148.757224192683</v>
      </c>
      <c r="Y140" s="149">
        <f t="shared" si="51"/>
        <v>84748.455354337784</v>
      </c>
      <c r="Z140" s="149">
        <f t="shared" si="51"/>
        <v>95361.540251691826</v>
      </c>
      <c r="AA140" s="151">
        <f t="shared" si="51"/>
        <v>94700.802782993211</v>
      </c>
      <c r="AB140" s="158">
        <f t="shared" si="51"/>
        <v>118040.88807802615</v>
      </c>
      <c r="AC140" s="149">
        <f t="shared" si="51"/>
        <v>114154.61208605328</v>
      </c>
      <c r="AD140" s="149">
        <f t="shared" si="51"/>
        <v>144549.72089867637</v>
      </c>
      <c r="AE140" s="149">
        <f t="shared" si="51"/>
        <v>152530.57698126876</v>
      </c>
      <c r="AF140" s="149">
        <f t="shared" si="51"/>
        <v>176695.07011012186</v>
      </c>
      <c r="AG140" s="149">
        <f t="shared" si="51"/>
        <v>216883.86471744947</v>
      </c>
      <c r="AH140" s="149">
        <f t="shared" si="51"/>
        <v>245056.35989139086</v>
      </c>
      <c r="AI140" s="149">
        <f t="shared" si="51"/>
        <v>257552.09877076541</v>
      </c>
      <c r="AJ140" s="149">
        <f t="shared" si="51"/>
        <v>263411.39451632579</v>
      </c>
      <c r="AK140" s="149">
        <f t="shared" si="51"/>
        <v>300475.04546326259</v>
      </c>
      <c r="AL140" s="149">
        <f t="shared" si="51"/>
        <v>325650.87962690735</v>
      </c>
      <c r="AM140" s="149">
        <f t="shared" si="51"/>
        <v>348831.29471323744</v>
      </c>
    </row>
    <row r="141" spans="1:39" s="143" customFormat="1">
      <c r="B141" s="57"/>
      <c r="O141" s="157"/>
      <c r="P141" s="160"/>
      <c r="AA141" s="157"/>
      <c r="AB141" s="160"/>
    </row>
    <row r="142" spans="1:39" s="143" customFormat="1">
      <c r="B142" s="57"/>
      <c r="O142" s="157"/>
      <c r="P142" s="160"/>
      <c r="AA142" s="157"/>
      <c r="AB142" s="160"/>
    </row>
    <row r="143" spans="1:39" s="149" customFormat="1">
      <c r="B143" s="164" t="s">
        <v>89</v>
      </c>
      <c r="D143" s="149">
        <f t="shared" ref="D143:AM143" si="52">-(D129+D133+D136)/D118</f>
        <v>39545.954030808658</v>
      </c>
      <c r="E143" s="149">
        <f t="shared" si="52"/>
        <v>40713.67890549796</v>
      </c>
      <c r="F143" s="149">
        <f t="shared" si="52"/>
        <v>42141.214341552302</v>
      </c>
      <c r="G143" s="149">
        <f t="shared" si="52"/>
        <v>41188.283613860141</v>
      </c>
      <c r="H143" s="149">
        <f t="shared" si="52"/>
        <v>42082.591148166124</v>
      </c>
      <c r="I143" s="149">
        <f t="shared" si="52"/>
        <v>42139.188959983854</v>
      </c>
      <c r="J143" s="149">
        <f t="shared" si="52"/>
        <v>42176.477425537516</v>
      </c>
      <c r="K143" s="149">
        <f t="shared" si="52"/>
        <v>43368.427795212425</v>
      </c>
      <c r="L143" s="149">
        <f t="shared" si="52"/>
        <v>43417.8567704788</v>
      </c>
      <c r="M143" s="149">
        <f t="shared" si="52"/>
        <v>43060.746210614881</v>
      </c>
      <c r="N143" s="149">
        <f t="shared" si="52"/>
        <v>43684.808253837888</v>
      </c>
      <c r="O143" s="151">
        <f t="shared" si="52"/>
        <v>44086.081737781133</v>
      </c>
      <c r="P143" s="149">
        <f t="shared" si="52"/>
        <v>74806.929858838324</v>
      </c>
      <c r="Q143" s="149">
        <f t="shared" si="52"/>
        <v>77743.257899720105</v>
      </c>
      <c r="R143" s="149">
        <f t="shared" si="52"/>
        <v>80777.863272609713</v>
      </c>
      <c r="S143" s="149">
        <f t="shared" si="52"/>
        <v>82282.797973387773</v>
      </c>
      <c r="T143" s="149">
        <f t="shared" si="52"/>
        <v>81724.680100601108</v>
      </c>
      <c r="U143" s="149">
        <f t="shared" si="52"/>
        <v>81027.0417361336</v>
      </c>
      <c r="V143" s="149">
        <f t="shared" si="52"/>
        <v>80068.951882956826</v>
      </c>
      <c r="W143" s="149">
        <f t="shared" si="52"/>
        <v>81745.876987352778</v>
      </c>
      <c r="X143" s="149">
        <f t="shared" si="52"/>
        <v>79485.300316841662</v>
      </c>
      <c r="Y143" s="149">
        <f t="shared" si="52"/>
        <v>78486.432815134482</v>
      </c>
      <c r="Z143" s="149">
        <f t="shared" si="52"/>
        <v>77404.136964524703</v>
      </c>
      <c r="AA143" s="151">
        <f t="shared" si="52"/>
        <v>77378.186595552776</v>
      </c>
      <c r="AB143" s="149">
        <f t="shared" si="52"/>
        <v>123111.81328105848</v>
      </c>
      <c r="AC143" s="149">
        <f t="shared" si="52"/>
        <v>121538.5888856567</v>
      </c>
      <c r="AD143" s="149">
        <f t="shared" si="52"/>
        <v>117930.91849045886</v>
      </c>
      <c r="AE143" s="149">
        <f t="shared" si="52"/>
        <v>118321.76800277765</v>
      </c>
      <c r="AF143" s="149">
        <f t="shared" si="52"/>
        <v>116551.2816536477</v>
      </c>
      <c r="AG143" s="149">
        <f t="shared" si="52"/>
        <v>113418.9681455103</v>
      </c>
      <c r="AH143" s="149">
        <f t="shared" si="52"/>
        <v>111857.60868586446</v>
      </c>
      <c r="AI143" s="149">
        <f t="shared" si="52"/>
        <v>111433.89675439663</v>
      </c>
      <c r="AJ143" s="149">
        <f t="shared" si="52"/>
        <v>112471.67454377965</v>
      </c>
      <c r="AK143" s="149">
        <f t="shared" si="52"/>
        <v>110741.5410041429</v>
      </c>
      <c r="AL143" s="149">
        <f t="shared" si="52"/>
        <v>110061.53776211533</v>
      </c>
      <c r="AM143" s="149">
        <f t="shared" si="52"/>
        <v>109932.17661127192</v>
      </c>
    </row>
    <row r="144" spans="1:39" s="143" customFormat="1">
      <c r="B144" s="57"/>
      <c r="O144" s="157"/>
      <c r="P144" s="160"/>
      <c r="AA144" s="157"/>
      <c r="AB144" s="160"/>
    </row>
    <row r="145" spans="2:60" s="143" customFormat="1">
      <c r="B145" s="57"/>
      <c r="O145" s="157"/>
      <c r="P145" s="160"/>
      <c r="AA145" s="157"/>
      <c r="AB145" s="160"/>
    </row>
    <row r="146" spans="2:60" s="143" customFormat="1">
      <c r="B146" s="57"/>
      <c r="O146" s="157"/>
      <c r="P146" s="160"/>
      <c r="AA146" s="157"/>
      <c r="AB146" s="160"/>
    </row>
    <row r="147" spans="2:60" s="143" customFormat="1">
      <c r="B147" s="57"/>
      <c r="O147" s="157"/>
      <c r="P147" s="160"/>
      <c r="AA147" s="157"/>
      <c r="AB147" s="160"/>
    </row>
    <row r="148" spans="2:60" s="67" customFormat="1">
      <c r="B148" s="18"/>
      <c r="O148" s="70"/>
      <c r="P148" s="71"/>
      <c r="Q148" s="72"/>
      <c r="R148" s="72"/>
      <c r="S148" s="72"/>
      <c r="T148" s="72"/>
      <c r="U148" s="72"/>
      <c r="V148" s="72"/>
      <c r="W148" s="72"/>
      <c r="X148" s="72"/>
      <c r="Y148" s="72"/>
      <c r="Z148" s="72"/>
      <c r="AA148" s="73"/>
      <c r="AB148" s="71"/>
    </row>
    <row r="149" spans="2:60" s="67" customFormat="1">
      <c r="B149" s="18"/>
      <c r="C149" s="72"/>
      <c r="O149" s="70"/>
      <c r="P149" s="71"/>
      <c r="Q149" s="72"/>
      <c r="R149" s="72"/>
      <c r="S149" s="72"/>
      <c r="T149" s="72"/>
      <c r="U149" s="72"/>
      <c r="V149" s="72"/>
      <c r="W149" s="72"/>
      <c r="X149" s="72"/>
      <c r="Y149" s="72"/>
      <c r="Z149" s="72"/>
      <c r="AA149" s="73"/>
      <c r="AB149" s="71"/>
    </row>
    <row r="150" spans="2:60" s="67" customFormat="1">
      <c r="B150" s="18"/>
      <c r="C150" s="72"/>
      <c r="O150" s="70"/>
      <c r="P150" s="71"/>
      <c r="Q150" s="72"/>
      <c r="R150" s="72"/>
      <c r="S150" s="72"/>
      <c r="T150" s="72"/>
      <c r="U150" s="72"/>
      <c r="V150" s="72"/>
      <c r="W150" s="72"/>
      <c r="X150" s="72"/>
      <c r="Y150" s="72"/>
      <c r="Z150" s="72"/>
      <c r="AA150" s="73"/>
      <c r="AB150" s="71"/>
    </row>
    <row r="151" spans="2:60" s="137" customFormat="1" ht="25.8">
      <c r="B151" s="20" t="s">
        <v>61</v>
      </c>
      <c r="C151" s="165"/>
      <c r="D151" s="165"/>
      <c r="O151" s="139"/>
      <c r="P151" s="140"/>
      <c r="AA151" s="139"/>
      <c r="AB151" s="140"/>
    </row>
    <row r="152" spans="2:60" s="67" customFormat="1">
      <c r="B152" s="18"/>
      <c r="O152" s="70"/>
      <c r="P152" s="71"/>
      <c r="Q152" s="72"/>
      <c r="R152" s="72"/>
      <c r="S152" s="72"/>
      <c r="T152" s="72"/>
      <c r="U152" s="72"/>
      <c r="V152" s="72"/>
      <c r="W152" s="72"/>
      <c r="X152" s="72"/>
      <c r="Y152" s="72"/>
      <c r="Z152" s="72"/>
      <c r="AA152" s="73"/>
      <c r="AB152" s="71"/>
    </row>
    <row r="153" spans="2:60" s="24" customFormat="1">
      <c r="B153" s="23"/>
      <c r="C153" s="47" t="str">
        <f t="shared" ref="C153:AM153" si="53">C111</f>
        <v>Month:</v>
      </c>
      <c r="D153" s="34">
        <f t="shared" si="53"/>
        <v>45292</v>
      </c>
      <c r="E153" s="34">
        <f t="shared" si="53"/>
        <v>45323</v>
      </c>
      <c r="F153" s="34">
        <f t="shared" si="53"/>
        <v>45352</v>
      </c>
      <c r="G153" s="34">
        <f t="shared" si="53"/>
        <v>45383</v>
      </c>
      <c r="H153" s="34">
        <f t="shared" si="53"/>
        <v>45413</v>
      </c>
      <c r="I153" s="34">
        <f t="shared" si="53"/>
        <v>45444</v>
      </c>
      <c r="J153" s="34">
        <f t="shared" si="53"/>
        <v>45474</v>
      </c>
      <c r="K153" s="34">
        <f t="shared" si="53"/>
        <v>45505</v>
      </c>
      <c r="L153" s="34">
        <f t="shared" si="53"/>
        <v>45536</v>
      </c>
      <c r="M153" s="34">
        <f t="shared" si="53"/>
        <v>45566</v>
      </c>
      <c r="N153" s="34">
        <f t="shared" si="53"/>
        <v>45597</v>
      </c>
      <c r="O153" s="35">
        <f t="shared" si="53"/>
        <v>45627</v>
      </c>
      <c r="P153" s="34">
        <f t="shared" si="53"/>
        <v>45658</v>
      </c>
      <c r="Q153" s="34">
        <f t="shared" si="53"/>
        <v>45689</v>
      </c>
      <c r="R153" s="34">
        <f t="shared" si="53"/>
        <v>45717</v>
      </c>
      <c r="S153" s="34">
        <f t="shared" si="53"/>
        <v>45748</v>
      </c>
      <c r="T153" s="34">
        <f t="shared" si="53"/>
        <v>45778</v>
      </c>
      <c r="U153" s="34">
        <f t="shared" si="53"/>
        <v>45809</v>
      </c>
      <c r="V153" s="34">
        <f t="shared" si="53"/>
        <v>45839</v>
      </c>
      <c r="W153" s="34">
        <f t="shared" si="53"/>
        <v>45870</v>
      </c>
      <c r="X153" s="34">
        <f t="shared" si="53"/>
        <v>45901</v>
      </c>
      <c r="Y153" s="34">
        <f t="shared" si="53"/>
        <v>45931</v>
      </c>
      <c r="Z153" s="34">
        <f t="shared" si="53"/>
        <v>45962</v>
      </c>
      <c r="AA153" s="35">
        <f t="shared" si="53"/>
        <v>45992</v>
      </c>
      <c r="AB153" s="34">
        <f t="shared" si="53"/>
        <v>46023</v>
      </c>
      <c r="AC153" s="34">
        <f t="shared" si="53"/>
        <v>46054</v>
      </c>
      <c r="AD153" s="34">
        <f t="shared" si="53"/>
        <v>46082</v>
      </c>
      <c r="AE153" s="34">
        <f t="shared" si="53"/>
        <v>46113</v>
      </c>
      <c r="AF153" s="34">
        <f t="shared" si="53"/>
        <v>46143</v>
      </c>
      <c r="AG153" s="34">
        <f t="shared" si="53"/>
        <v>46174</v>
      </c>
      <c r="AH153" s="34">
        <f t="shared" si="53"/>
        <v>46204</v>
      </c>
      <c r="AI153" s="34">
        <f t="shared" si="53"/>
        <v>46235</v>
      </c>
      <c r="AJ153" s="34">
        <f t="shared" si="53"/>
        <v>46266</v>
      </c>
      <c r="AK153" s="34">
        <f t="shared" si="53"/>
        <v>46296</v>
      </c>
      <c r="AL153" s="34">
        <f t="shared" si="53"/>
        <v>46327</v>
      </c>
      <c r="AM153" s="34">
        <f t="shared" si="53"/>
        <v>46357</v>
      </c>
    </row>
    <row r="154" spans="2:60" s="24" customFormat="1">
      <c r="B154" s="23"/>
      <c r="C154" s="47"/>
      <c r="D154" s="34"/>
      <c r="E154" s="34"/>
      <c r="F154" s="34"/>
      <c r="G154" s="34"/>
      <c r="H154" s="34"/>
      <c r="I154" s="34"/>
      <c r="J154" s="34"/>
      <c r="K154" s="34"/>
      <c r="L154" s="34"/>
      <c r="M154" s="34"/>
      <c r="N154" s="34"/>
      <c r="O154" s="35"/>
      <c r="P154" s="34"/>
      <c r="Q154" s="34"/>
      <c r="R154" s="34"/>
      <c r="S154" s="34"/>
      <c r="T154" s="34"/>
      <c r="U154" s="34"/>
      <c r="V154" s="34"/>
      <c r="W154" s="34"/>
      <c r="X154" s="34"/>
      <c r="Y154" s="34"/>
      <c r="Z154" s="34"/>
      <c r="AA154" s="35"/>
      <c r="AB154" s="34"/>
      <c r="AC154" s="34"/>
      <c r="AD154" s="34"/>
      <c r="AE154" s="34"/>
      <c r="AF154" s="34"/>
      <c r="AG154" s="34"/>
      <c r="AH154" s="34"/>
      <c r="AI154" s="34"/>
      <c r="AJ154" s="34"/>
      <c r="AK154" s="34"/>
      <c r="AL154" s="34"/>
      <c r="AM154" s="34"/>
    </row>
    <row r="155" spans="2:60" s="24" customFormat="1">
      <c r="B155" s="23"/>
      <c r="C155" s="47"/>
      <c r="D155" s="34"/>
      <c r="E155" s="34"/>
      <c r="F155" s="34"/>
      <c r="G155" s="34"/>
      <c r="H155" s="34"/>
      <c r="I155" s="34"/>
      <c r="J155" s="34"/>
      <c r="K155" s="34"/>
      <c r="L155" s="34"/>
      <c r="M155" s="34"/>
      <c r="N155" s="34"/>
      <c r="O155" s="35"/>
      <c r="P155" s="34"/>
      <c r="Q155" s="34"/>
      <c r="R155" s="34"/>
      <c r="S155" s="34"/>
      <c r="T155" s="34"/>
      <c r="U155" s="34"/>
      <c r="V155" s="34"/>
      <c r="W155" s="34"/>
      <c r="X155" s="34"/>
      <c r="Y155" s="34"/>
      <c r="Z155" s="34"/>
      <c r="AA155" s="35"/>
      <c r="AB155" s="34"/>
      <c r="AC155" s="34"/>
      <c r="AD155" s="34"/>
      <c r="AE155" s="34"/>
      <c r="AF155" s="34"/>
      <c r="AG155" s="34"/>
      <c r="AH155" s="34"/>
      <c r="AI155" s="34"/>
      <c r="AJ155" s="34"/>
      <c r="AK155" s="34"/>
      <c r="AL155" s="34"/>
      <c r="AM155" s="34"/>
    </row>
    <row r="156" spans="2:60">
      <c r="B156" s="57" t="s">
        <v>253</v>
      </c>
      <c r="D156" s="72"/>
      <c r="E156" s="72"/>
      <c r="F156" s="72"/>
      <c r="G156" s="72"/>
      <c r="H156" s="72"/>
      <c r="I156" s="72"/>
      <c r="J156" s="72"/>
      <c r="K156" s="72"/>
      <c r="L156" s="72"/>
      <c r="M156" s="72"/>
      <c r="N156" s="72"/>
      <c r="O156" s="73"/>
      <c r="P156" s="72"/>
      <c r="Q156" s="72"/>
      <c r="R156" s="72"/>
      <c r="S156" s="72"/>
      <c r="T156" s="72"/>
      <c r="U156" s="72"/>
      <c r="V156" s="72"/>
      <c r="W156" s="72"/>
      <c r="X156" s="72"/>
      <c r="Y156" s="72"/>
      <c r="Z156" s="72"/>
      <c r="AA156" s="73"/>
      <c r="AB156" s="72"/>
      <c r="AC156" s="72"/>
      <c r="AD156" s="72"/>
      <c r="AE156" s="72"/>
      <c r="AF156" s="72"/>
      <c r="AG156" s="72"/>
      <c r="AH156" s="72"/>
      <c r="AI156" s="72"/>
      <c r="AJ156" s="72"/>
      <c r="AK156" s="72"/>
      <c r="AL156" s="72"/>
      <c r="AM156" s="72"/>
      <c r="AN156" s="72"/>
      <c r="AO156" s="72"/>
      <c r="AP156" s="72"/>
      <c r="AQ156" s="72"/>
      <c r="AR156" s="72"/>
      <c r="AS156" s="72"/>
      <c r="AT156" s="72"/>
      <c r="AU156" s="72"/>
      <c r="AV156" s="72"/>
      <c r="AW156" s="72"/>
      <c r="AX156" s="72"/>
      <c r="AY156" s="72"/>
      <c r="AZ156" s="72"/>
      <c r="BA156" s="72"/>
      <c r="BB156" s="72"/>
      <c r="BC156" s="72"/>
      <c r="BD156" s="72"/>
      <c r="BE156" s="72"/>
      <c r="BF156" s="72"/>
      <c r="BG156" s="72"/>
      <c r="BH156" s="72"/>
    </row>
    <row r="157" spans="2:60">
      <c r="B157" s="18" t="s">
        <v>254</v>
      </c>
      <c r="D157" s="19">
        <f t="shared" ref="D157:AM157" si="54">$M$102</f>
        <v>0</v>
      </c>
      <c r="E157" s="19">
        <f t="shared" si="54"/>
        <v>0</v>
      </c>
      <c r="F157" s="19">
        <f t="shared" si="54"/>
        <v>0</v>
      </c>
      <c r="G157" s="19">
        <f t="shared" si="54"/>
        <v>0</v>
      </c>
      <c r="H157" s="19">
        <f t="shared" si="54"/>
        <v>0</v>
      </c>
      <c r="I157" s="19">
        <f t="shared" si="54"/>
        <v>0</v>
      </c>
      <c r="J157" s="19">
        <f t="shared" si="54"/>
        <v>0</v>
      </c>
      <c r="K157" s="19">
        <f t="shared" si="54"/>
        <v>0</v>
      </c>
      <c r="L157" s="19">
        <f t="shared" si="54"/>
        <v>0</v>
      </c>
      <c r="M157" s="19">
        <f t="shared" si="54"/>
        <v>0</v>
      </c>
      <c r="N157" s="19">
        <f t="shared" si="54"/>
        <v>0</v>
      </c>
      <c r="O157" s="30">
        <f t="shared" si="54"/>
        <v>0</v>
      </c>
      <c r="P157" s="19">
        <f t="shared" si="54"/>
        <v>0</v>
      </c>
      <c r="Q157" s="19">
        <f t="shared" si="54"/>
        <v>0</v>
      </c>
      <c r="R157" s="19">
        <f t="shared" si="54"/>
        <v>0</v>
      </c>
      <c r="S157" s="19">
        <f t="shared" si="54"/>
        <v>0</v>
      </c>
      <c r="T157" s="19">
        <f t="shared" si="54"/>
        <v>0</v>
      </c>
      <c r="U157" s="19">
        <f t="shared" si="54"/>
        <v>0</v>
      </c>
      <c r="V157" s="19">
        <f t="shared" si="54"/>
        <v>0</v>
      </c>
      <c r="W157" s="19">
        <f t="shared" si="54"/>
        <v>0</v>
      </c>
      <c r="X157" s="19">
        <f t="shared" si="54"/>
        <v>0</v>
      </c>
      <c r="Y157" s="19">
        <f t="shared" si="54"/>
        <v>0</v>
      </c>
      <c r="Z157" s="19">
        <f t="shared" si="54"/>
        <v>0</v>
      </c>
      <c r="AA157" s="30">
        <f t="shared" si="54"/>
        <v>0</v>
      </c>
      <c r="AB157" s="19">
        <f t="shared" si="54"/>
        <v>0</v>
      </c>
      <c r="AC157" s="19">
        <f t="shared" si="54"/>
        <v>0</v>
      </c>
      <c r="AD157" s="19">
        <f t="shared" si="54"/>
        <v>0</v>
      </c>
      <c r="AE157" s="19">
        <f t="shared" si="54"/>
        <v>0</v>
      </c>
      <c r="AF157" s="19">
        <f t="shared" si="54"/>
        <v>0</v>
      </c>
      <c r="AG157" s="19">
        <f t="shared" si="54"/>
        <v>0</v>
      </c>
      <c r="AH157" s="19">
        <f t="shared" si="54"/>
        <v>0</v>
      </c>
      <c r="AI157" s="19">
        <f t="shared" si="54"/>
        <v>0</v>
      </c>
      <c r="AJ157" s="19">
        <f t="shared" si="54"/>
        <v>0</v>
      </c>
      <c r="AK157" s="19">
        <f t="shared" si="54"/>
        <v>0</v>
      </c>
      <c r="AL157" s="19">
        <f t="shared" si="54"/>
        <v>0</v>
      </c>
      <c r="AM157" s="19">
        <f t="shared" si="54"/>
        <v>0</v>
      </c>
      <c r="AN157" s="72"/>
      <c r="AO157" s="72"/>
      <c r="AP157" s="72"/>
      <c r="AQ157" s="72"/>
      <c r="AR157" s="72"/>
      <c r="AS157" s="72"/>
      <c r="AT157" s="72"/>
      <c r="AU157" s="72"/>
      <c r="AV157" s="72"/>
      <c r="AW157" s="72"/>
      <c r="AX157" s="72"/>
      <c r="AY157" s="72"/>
      <c r="AZ157" s="72"/>
      <c r="BA157" s="72"/>
      <c r="BB157" s="72"/>
      <c r="BC157" s="72"/>
      <c r="BD157" s="72"/>
      <c r="BE157" s="72"/>
      <c r="BF157" s="72"/>
      <c r="BG157" s="72"/>
      <c r="BH157" s="72"/>
    </row>
    <row r="158" spans="2:60">
      <c r="D158" s="124"/>
      <c r="E158" s="72"/>
      <c r="F158" s="72"/>
      <c r="G158" s="72"/>
      <c r="H158" s="72"/>
      <c r="I158" s="72"/>
      <c r="J158" s="72"/>
      <c r="K158" s="72"/>
      <c r="L158" s="72"/>
      <c r="M158" s="72"/>
      <c r="N158" s="72"/>
      <c r="O158" s="73"/>
      <c r="P158" s="72"/>
      <c r="Q158" s="72"/>
      <c r="R158" s="72"/>
      <c r="S158" s="72"/>
      <c r="T158" s="72"/>
      <c r="U158" s="72"/>
      <c r="V158" s="72"/>
      <c r="W158" s="72"/>
      <c r="X158" s="72"/>
      <c r="Y158" s="72"/>
      <c r="Z158" s="72"/>
      <c r="AA158" s="73"/>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2"/>
      <c r="BG158" s="72"/>
      <c r="BH158" s="72"/>
    </row>
    <row r="159" spans="2:60">
      <c r="B159" s="18" t="str">
        <f>B66</f>
        <v xml:space="preserve">Computers </v>
      </c>
      <c r="D159" s="72"/>
      <c r="E159" s="72"/>
      <c r="F159" s="72"/>
      <c r="G159" s="72"/>
      <c r="H159" s="72"/>
      <c r="I159" s="72"/>
      <c r="J159" s="72"/>
      <c r="K159" s="72"/>
      <c r="L159" s="72"/>
      <c r="M159" s="72"/>
      <c r="N159" s="72"/>
      <c r="O159" s="73"/>
      <c r="P159" s="72"/>
      <c r="Q159" s="72"/>
      <c r="R159" s="72"/>
      <c r="S159" s="72"/>
      <c r="T159" s="72"/>
      <c r="U159" s="72"/>
      <c r="V159" s="72"/>
      <c r="W159" s="72"/>
      <c r="X159" s="72"/>
      <c r="Y159" s="72"/>
      <c r="Z159" s="72"/>
      <c r="AA159" s="73"/>
      <c r="AB159" s="72"/>
      <c r="AC159" s="72"/>
      <c r="AD159" s="72"/>
      <c r="AE159" s="72"/>
      <c r="AF159" s="72"/>
      <c r="AG159" s="72"/>
      <c r="AH159" s="72"/>
      <c r="AI159" s="72"/>
      <c r="AJ159" s="72"/>
      <c r="AK159" s="72"/>
      <c r="AL159" s="72"/>
      <c r="AM159" s="72"/>
      <c r="AN159" s="72"/>
      <c r="AO159" s="72"/>
      <c r="AP159" s="72"/>
      <c r="AQ159" s="72"/>
      <c r="AR159" s="72"/>
      <c r="AS159" s="72"/>
      <c r="AT159" s="72"/>
      <c r="AU159" s="72"/>
      <c r="AV159" s="72"/>
      <c r="AW159" s="72"/>
      <c r="AX159" s="72"/>
      <c r="AY159" s="72"/>
      <c r="AZ159" s="72"/>
      <c r="BA159" s="72"/>
      <c r="BB159" s="72"/>
      <c r="BC159" s="72"/>
      <c r="BD159" s="72"/>
      <c r="BE159" s="72"/>
      <c r="BF159" s="72"/>
      <c r="BG159" s="72"/>
      <c r="BH159" s="72"/>
    </row>
    <row r="160" spans="2:60" ht="15" customHeight="1">
      <c r="B160" s="166" t="s">
        <v>112</v>
      </c>
      <c r="D160" s="19">
        <v>0</v>
      </c>
      <c r="E160" s="72">
        <f>D164</f>
        <v>9400</v>
      </c>
      <c r="F160" s="72">
        <f t="shared" ref="F160:AM160" si="55">E164</f>
        <v>9200</v>
      </c>
      <c r="G160" s="72">
        <f t="shared" si="55"/>
        <v>9000</v>
      </c>
      <c r="H160" s="72">
        <f t="shared" si="55"/>
        <v>8800</v>
      </c>
      <c r="I160" s="72">
        <f t="shared" si="55"/>
        <v>8600</v>
      </c>
      <c r="J160" s="72">
        <f t="shared" si="55"/>
        <v>8400</v>
      </c>
      <c r="K160" s="72">
        <f t="shared" si="55"/>
        <v>8200</v>
      </c>
      <c r="L160" s="72">
        <f t="shared" si="55"/>
        <v>8000</v>
      </c>
      <c r="M160" s="72">
        <f t="shared" si="55"/>
        <v>7800</v>
      </c>
      <c r="N160" s="72">
        <f t="shared" si="55"/>
        <v>7600</v>
      </c>
      <c r="O160" s="73">
        <f t="shared" si="55"/>
        <v>7400</v>
      </c>
      <c r="P160" s="72">
        <f t="shared" si="55"/>
        <v>7200</v>
      </c>
      <c r="Q160" s="72">
        <f t="shared" si="55"/>
        <v>17183.333333333332</v>
      </c>
      <c r="R160" s="72">
        <f t="shared" si="55"/>
        <v>16766.666666666664</v>
      </c>
      <c r="S160" s="72">
        <f t="shared" si="55"/>
        <v>16349.999999999998</v>
      </c>
      <c r="T160" s="72">
        <f t="shared" si="55"/>
        <v>15933.333333333332</v>
      </c>
      <c r="U160" s="72">
        <f t="shared" si="55"/>
        <v>15516.666666666666</v>
      </c>
      <c r="V160" s="72">
        <f t="shared" si="55"/>
        <v>15100</v>
      </c>
      <c r="W160" s="72">
        <f t="shared" si="55"/>
        <v>14683.333333333334</v>
      </c>
      <c r="X160" s="72">
        <f t="shared" si="55"/>
        <v>14266.666666666668</v>
      </c>
      <c r="Y160" s="72">
        <f t="shared" si="55"/>
        <v>13850.000000000002</v>
      </c>
      <c r="Z160" s="72">
        <f t="shared" si="55"/>
        <v>13433.333333333336</v>
      </c>
      <c r="AA160" s="73">
        <f t="shared" si="55"/>
        <v>13016.66666666667</v>
      </c>
      <c r="AB160" s="72">
        <f t="shared" si="55"/>
        <v>12600.000000000004</v>
      </c>
      <c r="AC160" s="72">
        <f t="shared" si="55"/>
        <v>29416.666666666672</v>
      </c>
      <c r="AD160" s="72">
        <f t="shared" si="55"/>
        <v>28633.333333333339</v>
      </c>
      <c r="AE160" s="72">
        <f t="shared" si="55"/>
        <v>27850.000000000007</v>
      </c>
      <c r="AF160" s="72">
        <f t="shared" si="55"/>
        <v>27066.666666666675</v>
      </c>
      <c r="AG160" s="72">
        <f t="shared" si="55"/>
        <v>26283.333333333343</v>
      </c>
      <c r="AH160" s="72">
        <f t="shared" si="55"/>
        <v>25500.000000000011</v>
      </c>
      <c r="AI160" s="72">
        <f t="shared" si="55"/>
        <v>24716.666666666679</v>
      </c>
      <c r="AJ160" s="72">
        <f t="shared" si="55"/>
        <v>23933.333333333347</v>
      </c>
      <c r="AK160" s="72">
        <f t="shared" si="55"/>
        <v>23150.000000000015</v>
      </c>
      <c r="AL160" s="72">
        <f t="shared" si="55"/>
        <v>22366.666666666682</v>
      </c>
      <c r="AM160" s="72">
        <f t="shared" si="55"/>
        <v>21583.33333333335</v>
      </c>
      <c r="AN160" s="72"/>
      <c r="AO160" s="72"/>
      <c r="AP160" s="72"/>
      <c r="AQ160" s="72"/>
      <c r="AR160" s="72"/>
      <c r="AS160" s="72"/>
      <c r="AT160" s="72"/>
      <c r="AU160" s="72"/>
      <c r="AV160" s="72"/>
      <c r="AW160" s="72"/>
      <c r="AX160" s="72"/>
      <c r="AY160" s="72"/>
      <c r="AZ160" s="72"/>
      <c r="BA160" s="72"/>
      <c r="BB160" s="72"/>
      <c r="BC160" s="72"/>
      <c r="BD160" s="72"/>
      <c r="BE160" s="72"/>
      <c r="BF160" s="72"/>
      <c r="BG160" s="72"/>
      <c r="BH160" s="72"/>
    </row>
    <row r="161" spans="2:60" ht="15" customHeight="1">
      <c r="B161" s="166" t="s">
        <v>265</v>
      </c>
      <c r="D161" s="72">
        <f>G66</f>
        <v>9600</v>
      </c>
      <c r="E161" s="72"/>
      <c r="F161" s="72"/>
      <c r="G161" s="72"/>
      <c r="H161" s="72"/>
      <c r="I161" s="72"/>
      <c r="J161" s="72"/>
      <c r="K161" s="72"/>
      <c r="L161" s="72"/>
      <c r="M161" s="72"/>
      <c r="N161" s="72"/>
      <c r="O161" s="73"/>
      <c r="P161" s="72">
        <f>H66</f>
        <v>10400</v>
      </c>
      <c r="Q161" s="72"/>
      <c r="R161" s="72"/>
      <c r="S161" s="72"/>
      <c r="T161" s="72"/>
      <c r="U161" s="72"/>
      <c r="V161" s="72"/>
      <c r="W161" s="72"/>
      <c r="X161" s="72"/>
      <c r="Y161" s="72"/>
      <c r="Z161" s="72"/>
      <c r="AA161" s="73"/>
      <c r="AB161" s="72">
        <f>I66</f>
        <v>17600</v>
      </c>
      <c r="AC161" s="72"/>
      <c r="AD161" s="72"/>
      <c r="AE161" s="72"/>
      <c r="AF161" s="72"/>
      <c r="AG161" s="72"/>
      <c r="AH161" s="72"/>
      <c r="AI161" s="72"/>
      <c r="AJ161" s="72"/>
      <c r="AK161" s="72"/>
      <c r="AL161" s="72"/>
      <c r="AM161" s="72"/>
      <c r="AN161" s="72"/>
      <c r="AO161" s="72"/>
      <c r="AP161" s="72"/>
      <c r="AQ161" s="72"/>
      <c r="AR161" s="72"/>
      <c r="AS161" s="72"/>
      <c r="AT161" s="72"/>
      <c r="AU161" s="72"/>
      <c r="AV161" s="72"/>
      <c r="AW161" s="72"/>
      <c r="AX161" s="72"/>
      <c r="AY161" s="72"/>
      <c r="AZ161" s="72"/>
      <c r="BA161" s="72"/>
      <c r="BB161" s="72"/>
      <c r="BC161" s="72"/>
      <c r="BD161" s="72"/>
      <c r="BE161" s="72"/>
      <c r="BF161" s="72"/>
      <c r="BG161" s="72"/>
      <c r="BH161" s="72"/>
    </row>
    <row r="162" spans="2:60" ht="15" customHeight="1">
      <c r="B162" s="166" t="s">
        <v>110</v>
      </c>
      <c r="D162" s="72">
        <f>SUM(D160:D161)</f>
        <v>9600</v>
      </c>
      <c r="E162" s="72">
        <f>SUM(E160:E161)</f>
        <v>9400</v>
      </c>
      <c r="F162" s="72">
        <f t="shared" ref="F162:AM162" si="56">SUM(F160:F161)</f>
        <v>9200</v>
      </c>
      <c r="G162" s="72">
        <f t="shared" si="56"/>
        <v>9000</v>
      </c>
      <c r="H162" s="72">
        <f t="shared" si="56"/>
        <v>8800</v>
      </c>
      <c r="I162" s="72">
        <f t="shared" si="56"/>
        <v>8600</v>
      </c>
      <c r="J162" s="72">
        <f t="shared" si="56"/>
        <v>8400</v>
      </c>
      <c r="K162" s="72">
        <f t="shared" si="56"/>
        <v>8200</v>
      </c>
      <c r="L162" s="72">
        <f t="shared" si="56"/>
        <v>8000</v>
      </c>
      <c r="M162" s="72">
        <f t="shared" si="56"/>
        <v>7800</v>
      </c>
      <c r="N162" s="72">
        <f t="shared" si="56"/>
        <v>7600</v>
      </c>
      <c r="O162" s="73">
        <f t="shared" si="56"/>
        <v>7400</v>
      </c>
      <c r="P162" s="72">
        <f>SUM(P160:P161)</f>
        <v>17600</v>
      </c>
      <c r="Q162" s="72">
        <f t="shared" si="56"/>
        <v>17183.333333333332</v>
      </c>
      <c r="R162" s="72">
        <f t="shared" si="56"/>
        <v>16766.666666666664</v>
      </c>
      <c r="S162" s="72">
        <f t="shared" si="56"/>
        <v>16349.999999999998</v>
      </c>
      <c r="T162" s="72">
        <f t="shared" si="56"/>
        <v>15933.333333333332</v>
      </c>
      <c r="U162" s="72">
        <f t="shared" si="56"/>
        <v>15516.666666666666</v>
      </c>
      <c r="V162" s="72">
        <f t="shared" si="56"/>
        <v>15100</v>
      </c>
      <c r="W162" s="72">
        <f t="shared" si="56"/>
        <v>14683.333333333334</v>
      </c>
      <c r="X162" s="72">
        <f t="shared" si="56"/>
        <v>14266.666666666668</v>
      </c>
      <c r="Y162" s="72">
        <f t="shared" si="56"/>
        <v>13850.000000000002</v>
      </c>
      <c r="Z162" s="72">
        <f t="shared" si="56"/>
        <v>13433.333333333336</v>
      </c>
      <c r="AA162" s="73">
        <f t="shared" si="56"/>
        <v>13016.66666666667</v>
      </c>
      <c r="AB162" s="72">
        <f>SUM(AB160:AB161)</f>
        <v>30200.000000000004</v>
      </c>
      <c r="AC162" s="72">
        <f t="shared" si="56"/>
        <v>29416.666666666672</v>
      </c>
      <c r="AD162" s="72">
        <f t="shared" si="56"/>
        <v>28633.333333333339</v>
      </c>
      <c r="AE162" s="72">
        <f t="shared" si="56"/>
        <v>27850.000000000007</v>
      </c>
      <c r="AF162" s="72">
        <f t="shared" si="56"/>
        <v>27066.666666666675</v>
      </c>
      <c r="AG162" s="72">
        <f t="shared" si="56"/>
        <v>26283.333333333343</v>
      </c>
      <c r="AH162" s="72">
        <f t="shared" si="56"/>
        <v>25500.000000000011</v>
      </c>
      <c r="AI162" s="72">
        <f t="shared" si="56"/>
        <v>24716.666666666679</v>
      </c>
      <c r="AJ162" s="72">
        <f t="shared" si="56"/>
        <v>23933.333333333347</v>
      </c>
      <c r="AK162" s="72">
        <f t="shared" si="56"/>
        <v>23150.000000000015</v>
      </c>
      <c r="AL162" s="72">
        <f t="shared" si="56"/>
        <v>22366.666666666682</v>
      </c>
      <c r="AM162" s="72">
        <f t="shared" si="56"/>
        <v>21583.33333333335</v>
      </c>
      <c r="AN162" s="72"/>
      <c r="AO162" s="72"/>
      <c r="AP162" s="72"/>
      <c r="AQ162" s="72"/>
      <c r="AR162" s="72"/>
      <c r="AS162" s="72"/>
      <c r="AT162" s="72"/>
      <c r="AU162" s="72"/>
      <c r="AV162" s="72"/>
      <c r="AW162" s="72"/>
      <c r="AX162" s="72"/>
      <c r="AY162" s="72"/>
      <c r="AZ162" s="72"/>
      <c r="BA162" s="72"/>
      <c r="BB162" s="72"/>
      <c r="BC162" s="72"/>
      <c r="BD162" s="72"/>
      <c r="BE162" s="72"/>
      <c r="BF162" s="72"/>
      <c r="BG162" s="72"/>
      <c r="BH162" s="72"/>
    </row>
    <row r="163" spans="2:60" ht="15" customHeight="1">
      <c r="B163" s="166" t="s">
        <v>57</v>
      </c>
      <c r="D163" s="72">
        <f t="shared" ref="D163:O163" si="57">-$D$161/$J$66/12</f>
        <v>-200</v>
      </c>
      <c r="E163" s="72">
        <f t="shared" si="57"/>
        <v>-200</v>
      </c>
      <c r="F163" s="72">
        <f t="shared" si="57"/>
        <v>-200</v>
      </c>
      <c r="G163" s="72">
        <f t="shared" si="57"/>
        <v>-200</v>
      </c>
      <c r="H163" s="72">
        <f t="shared" si="57"/>
        <v>-200</v>
      </c>
      <c r="I163" s="72">
        <f t="shared" si="57"/>
        <v>-200</v>
      </c>
      <c r="J163" s="72">
        <f t="shared" si="57"/>
        <v>-200</v>
      </c>
      <c r="K163" s="72">
        <f t="shared" si="57"/>
        <v>-200</v>
      </c>
      <c r="L163" s="72">
        <f t="shared" si="57"/>
        <v>-200</v>
      </c>
      <c r="M163" s="72">
        <f t="shared" si="57"/>
        <v>-200</v>
      </c>
      <c r="N163" s="72">
        <f t="shared" si="57"/>
        <v>-200</v>
      </c>
      <c r="O163" s="67">
        <f t="shared" si="57"/>
        <v>-200</v>
      </c>
      <c r="P163" s="72">
        <f t="shared" ref="P163:AA163" si="58">(-$D$161/$J$66/12)-($H$66/$J$66/12)</f>
        <v>-416.66666666666663</v>
      </c>
      <c r="Q163" s="72">
        <f t="shared" si="58"/>
        <v>-416.66666666666663</v>
      </c>
      <c r="R163" s="72">
        <f t="shared" si="58"/>
        <v>-416.66666666666663</v>
      </c>
      <c r="S163" s="72">
        <f t="shared" si="58"/>
        <v>-416.66666666666663</v>
      </c>
      <c r="T163" s="72">
        <f t="shared" si="58"/>
        <v>-416.66666666666663</v>
      </c>
      <c r="U163" s="72">
        <f t="shared" si="58"/>
        <v>-416.66666666666663</v>
      </c>
      <c r="V163" s="72">
        <f t="shared" si="58"/>
        <v>-416.66666666666663</v>
      </c>
      <c r="W163" s="72">
        <f t="shared" si="58"/>
        <v>-416.66666666666663</v>
      </c>
      <c r="X163" s="72">
        <f t="shared" si="58"/>
        <v>-416.66666666666663</v>
      </c>
      <c r="Y163" s="72">
        <f t="shared" si="58"/>
        <v>-416.66666666666663</v>
      </c>
      <c r="Z163" s="72">
        <f t="shared" si="58"/>
        <v>-416.66666666666663</v>
      </c>
      <c r="AA163" s="67">
        <f t="shared" si="58"/>
        <v>-416.66666666666663</v>
      </c>
      <c r="AB163" s="72">
        <f>(-$D$161/$J$66/12)-($H$66/$J$66/12)-($I$66/$J$66/12)</f>
        <v>-783.33333333333326</v>
      </c>
      <c r="AC163" s="72">
        <f t="shared" ref="AC163:AM163" si="59">(-$D$161/$J$66/12)-($H$66/$J$66/12)-($I$66/$J$66/12)</f>
        <v>-783.33333333333326</v>
      </c>
      <c r="AD163" s="72">
        <f t="shared" si="59"/>
        <v>-783.33333333333326</v>
      </c>
      <c r="AE163" s="72">
        <f t="shared" si="59"/>
        <v>-783.33333333333326</v>
      </c>
      <c r="AF163" s="72">
        <f t="shared" si="59"/>
        <v>-783.33333333333326</v>
      </c>
      <c r="AG163" s="72">
        <f t="shared" si="59"/>
        <v>-783.33333333333326</v>
      </c>
      <c r="AH163" s="72">
        <f t="shared" si="59"/>
        <v>-783.33333333333326</v>
      </c>
      <c r="AI163" s="72">
        <f t="shared" si="59"/>
        <v>-783.33333333333326</v>
      </c>
      <c r="AJ163" s="72">
        <f t="shared" si="59"/>
        <v>-783.33333333333326</v>
      </c>
      <c r="AK163" s="72">
        <f t="shared" si="59"/>
        <v>-783.33333333333326</v>
      </c>
      <c r="AL163" s="72">
        <f t="shared" si="59"/>
        <v>-783.33333333333326</v>
      </c>
      <c r="AM163" s="72">
        <f t="shared" si="59"/>
        <v>-783.33333333333326</v>
      </c>
      <c r="AN163" s="72"/>
      <c r="AO163" s="72"/>
      <c r="AP163" s="72"/>
      <c r="AQ163" s="72"/>
      <c r="AR163" s="72"/>
      <c r="AS163" s="72"/>
      <c r="AT163" s="72"/>
      <c r="AU163" s="72"/>
      <c r="AV163" s="72"/>
      <c r="AW163" s="72"/>
      <c r="AX163" s="72"/>
      <c r="AY163" s="72"/>
      <c r="AZ163" s="72"/>
      <c r="BA163" s="72"/>
      <c r="BB163" s="72"/>
      <c r="BC163" s="72"/>
      <c r="BD163" s="72"/>
      <c r="BE163" s="72"/>
      <c r="BF163" s="72"/>
      <c r="BG163" s="72"/>
      <c r="BH163" s="72"/>
    </row>
    <row r="164" spans="2:60" s="168" customFormat="1" ht="15" customHeight="1">
      <c r="B164" s="167" t="s">
        <v>420</v>
      </c>
      <c r="D164" s="72">
        <f>SUM(D162:D163)</f>
        <v>9400</v>
      </c>
      <c r="E164" s="72">
        <f t="shared" ref="E164:AM164" si="60">SUM(E162:E163)</f>
        <v>9200</v>
      </c>
      <c r="F164" s="72">
        <f t="shared" si="60"/>
        <v>9000</v>
      </c>
      <c r="G164" s="72">
        <f t="shared" si="60"/>
        <v>8800</v>
      </c>
      <c r="H164" s="72">
        <f t="shared" si="60"/>
        <v>8600</v>
      </c>
      <c r="I164" s="72">
        <f t="shared" si="60"/>
        <v>8400</v>
      </c>
      <c r="J164" s="72">
        <f t="shared" si="60"/>
        <v>8200</v>
      </c>
      <c r="K164" s="72">
        <f t="shared" si="60"/>
        <v>8000</v>
      </c>
      <c r="L164" s="72">
        <f t="shared" si="60"/>
        <v>7800</v>
      </c>
      <c r="M164" s="72">
        <f t="shared" si="60"/>
        <v>7600</v>
      </c>
      <c r="N164" s="72">
        <f t="shared" si="60"/>
        <v>7400</v>
      </c>
      <c r="O164" s="73">
        <f t="shared" si="60"/>
        <v>7200</v>
      </c>
      <c r="P164" s="72">
        <f>SUM(P162:P163)</f>
        <v>17183.333333333332</v>
      </c>
      <c r="Q164" s="72">
        <f t="shared" si="60"/>
        <v>16766.666666666664</v>
      </c>
      <c r="R164" s="72">
        <f t="shared" si="60"/>
        <v>16349.999999999998</v>
      </c>
      <c r="S164" s="72">
        <f t="shared" si="60"/>
        <v>15933.333333333332</v>
      </c>
      <c r="T164" s="72">
        <f t="shared" si="60"/>
        <v>15516.666666666666</v>
      </c>
      <c r="U164" s="72">
        <f t="shared" si="60"/>
        <v>15100</v>
      </c>
      <c r="V164" s="72">
        <f t="shared" si="60"/>
        <v>14683.333333333334</v>
      </c>
      <c r="W164" s="72">
        <f t="shared" si="60"/>
        <v>14266.666666666668</v>
      </c>
      <c r="X164" s="72">
        <f t="shared" si="60"/>
        <v>13850.000000000002</v>
      </c>
      <c r="Y164" s="72">
        <f t="shared" si="60"/>
        <v>13433.333333333336</v>
      </c>
      <c r="Z164" s="72">
        <f t="shared" si="60"/>
        <v>13016.66666666667</v>
      </c>
      <c r="AA164" s="73">
        <f t="shared" si="60"/>
        <v>12600.000000000004</v>
      </c>
      <c r="AB164" s="72">
        <f>SUM(AB162:AB163)</f>
        <v>29416.666666666672</v>
      </c>
      <c r="AC164" s="72">
        <f t="shared" si="60"/>
        <v>28633.333333333339</v>
      </c>
      <c r="AD164" s="72">
        <f t="shared" si="60"/>
        <v>27850.000000000007</v>
      </c>
      <c r="AE164" s="72">
        <f t="shared" si="60"/>
        <v>27066.666666666675</v>
      </c>
      <c r="AF164" s="72">
        <f t="shared" si="60"/>
        <v>26283.333333333343</v>
      </c>
      <c r="AG164" s="72">
        <f t="shared" si="60"/>
        <v>25500.000000000011</v>
      </c>
      <c r="AH164" s="72">
        <f t="shared" si="60"/>
        <v>24716.666666666679</v>
      </c>
      <c r="AI164" s="72">
        <f t="shared" si="60"/>
        <v>23933.333333333347</v>
      </c>
      <c r="AJ164" s="72">
        <f t="shared" si="60"/>
        <v>23150.000000000015</v>
      </c>
      <c r="AK164" s="72">
        <f t="shared" si="60"/>
        <v>22366.666666666682</v>
      </c>
      <c r="AL164" s="72">
        <f t="shared" si="60"/>
        <v>21583.33333333335</v>
      </c>
      <c r="AM164" s="72">
        <f t="shared" si="60"/>
        <v>20800.000000000018</v>
      </c>
      <c r="AN164" s="169"/>
      <c r="AO164" s="169"/>
      <c r="AP164" s="169"/>
      <c r="AQ164" s="169"/>
      <c r="AR164" s="169"/>
      <c r="AS164" s="169"/>
      <c r="AT164" s="169"/>
      <c r="AU164" s="169"/>
      <c r="AV164" s="169"/>
      <c r="AW164" s="169"/>
      <c r="AX164" s="169"/>
      <c r="AY164" s="169"/>
      <c r="AZ164" s="169"/>
      <c r="BA164" s="169"/>
      <c r="BB164" s="169"/>
      <c r="BC164" s="169"/>
      <c r="BD164" s="169"/>
      <c r="BE164" s="169"/>
      <c r="BF164" s="169"/>
      <c r="BG164" s="169"/>
      <c r="BH164" s="169"/>
    </row>
    <row r="165" spans="2:60" ht="15" customHeight="1">
      <c r="E165" s="72"/>
      <c r="F165" s="72"/>
      <c r="G165" s="72"/>
      <c r="H165" s="72"/>
      <c r="I165" s="72"/>
      <c r="J165" s="72"/>
      <c r="K165" s="72"/>
      <c r="L165" s="72"/>
      <c r="M165" s="72"/>
      <c r="N165" s="72"/>
      <c r="O165" s="73"/>
      <c r="P165" s="72"/>
      <c r="Q165" s="72"/>
      <c r="R165" s="72"/>
      <c r="S165" s="72"/>
      <c r="T165" s="72"/>
      <c r="U165" s="72"/>
      <c r="V165" s="72"/>
      <c r="W165" s="72"/>
      <c r="X165" s="72"/>
      <c r="Y165" s="72"/>
      <c r="Z165" s="72"/>
      <c r="AA165" s="73"/>
      <c r="AB165" s="72"/>
      <c r="AC165" s="72"/>
      <c r="AD165" s="72"/>
      <c r="AE165" s="72"/>
      <c r="AF165" s="72"/>
      <c r="AG165" s="72"/>
      <c r="AH165" s="72"/>
      <c r="AI165" s="72"/>
      <c r="AJ165" s="72"/>
      <c r="AK165" s="72"/>
      <c r="AL165" s="72"/>
      <c r="AM165" s="72"/>
      <c r="AN165" s="72"/>
      <c r="AO165" s="72"/>
      <c r="AP165" s="72"/>
      <c r="AQ165" s="72"/>
      <c r="AR165" s="72"/>
      <c r="AS165" s="72"/>
      <c r="AT165" s="72"/>
      <c r="AU165" s="72"/>
      <c r="AV165" s="72"/>
      <c r="AW165" s="72"/>
      <c r="AX165" s="72"/>
      <c r="AY165" s="72"/>
      <c r="AZ165" s="72"/>
      <c r="BA165" s="72"/>
      <c r="BB165" s="72"/>
      <c r="BC165" s="72"/>
      <c r="BD165" s="72"/>
      <c r="BE165" s="72"/>
      <c r="BF165" s="72"/>
      <c r="BG165" s="72"/>
      <c r="BH165" s="72"/>
    </row>
    <row r="166" spans="2:60" ht="15" customHeight="1">
      <c r="B166" s="18" t="str">
        <f>B67</f>
        <v>Camera</v>
      </c>
      <c r="D166" s="72"/>
      <c r="E166" s="72"/>
      <c r="F166" s="72"/>
      <c r="G166" s="72"/>
      <c r="H166" s="72"/>
      <c r="I166" s="72"/>
      <c r="J166" s="72"/>
      <c r="K166" s="72"/>
      <c r="L166" s="72"/>
      <c r="M166" s="72"/>
      <c r="N166" s="72"/>
      <c r="O166" s="73"/>
      <c r="P166" s="72"/>
      <c r="Q166" s="72"/>
      <c r="R166" s="72"/>
      <c r="S166" s="72"/>
      <c r="T166" s="72"/>
      <c r="U166" s="72"/>
      <c r="V166" s="72"/>
      <c r="W166" s="72"/>
      <c r="X166" s="72"/>
      <c r="Y166" s="72"/>
      <c r="Z166" s="72"/>
      <c r="AA166" s="73"/>
      <c r="AB166" s="72"/>
      <c r="AC166" s="72"/>
      <c r="AD166" s="72"/>
      <c r="AE166" s="72"/>
      <c r="AF166" s="72"/>
      <c r="AG166" s="72"/>
      <c r="AH166" s="72"/>
      <c r="AI166" s="72"/>
      <c r="AJ166" s="72"/>
      <c r="AK166" s="72"/>
      <c r="AL166" s="72"/>
      <c r="AM166" s="72"/>
      <c r="AN166" s="72"/>
      <c r="AO166" s="72"/>
      <c r="AP166" s="72"/>
      <c r="AQ166" s="72"/>
      <c r="AR166" s="72"/>
      <c r="AS166" s="72"/>
      <c r="AT166" s="72"/>
      <c r="AU166" s="72"/>
      <c r="AV166" s="72"/>
      <c r="AW166" s="72"/>
      <c r="AX166" s="72"/>
      <c r="AY166" s="72"/>
      <c r="AZ166" s="72"/>
      <c r="BA166" s="72"/>
      <c r="BB166" s="72"/>
      <c r="BC166" s="72"/>
      <c r="BD166" s="72"/>
      <c r="BE166" s="72"/>
      <c r="BF166" s="72"/>
      <c r="BG166" s="72"/>
      <c r="BH166" s="72"/>
    </row>
    <row r="167" spans="2:60" ht="15" customHeight="1">
      <c r="B167" s="166" t="s">
        <v>112</v>
      </c>
      <c r="D167" s="19">
        <v>0</v>
      </c>
      <c r="E167" s="72">
        <f>D171</f>
        <v>1180</v>
      </c>
      <c r="F167" s="72">
        <f t="shared" ref="F167:AM167" si="61">E171</f>
        <v>1160</v>
      </c>
      <c r="G167" s="72">
        <f t="shared" si="61"/>
        <v>1140</v>
      </c>
      <c r="H167" s="72">
        <f t="shared" si="61"/>
        <v>1120</v>
      </c>
      <c r="I167" s="72">
        <f t="shared" si="61"/>
        <v>1100</v>
      </c>
      <c r="J167" s="72">
        <f t="shared" si="61"/>
        <v>1080</v>
      </c>
      <c r="K167" s="72">
        <f t="shared" si="61"/>
        <v>1060</v>
      </c>
      <c r="L167" s="72">
        <f t="shared" si="61"/>
        <v>1040</v>
      </c>
      <c r="M167" s="72">
        <f t="shared" si="61"/>
        <v>1020</v>
      </c>
      <c r="N167" s="72">
        <f t="shared" si="61"/>
        <v>1000</v>
      </c>
      <c r="O167" s="73">
        <f t="shared" si="61"/>
        <v>980</v>
      </c>
      <c r="P167" s="72">
        <f t="shared" si="61"/>
        <v>960</v>
      </c>
      <c r="Q167" s="72">
        <f t="shared" si="61"/>
        <v>940</v>
      </c>
      <c r="R167" s="72">
        <f t="shared" si="61"/>
        <v>920</v>
      </c>
      <c r="S167" s="72">
        <f t="shared" si="61"/>
        <v>900</v>
      </c>
      <c r="T167" s="72">
        <f t="shared" si="61"/>
        <v>880</v>
      </c>
      <c r="U167" s="72">
        <f t="shared" si="61"/>
        <v>860</v>
      </c>
      <c r="V167" s="72">
        <f t="shared" si="61"/>
        <v>840</v>
      </c>
      <c r="W167" s="72">
        <f t="shared" si="61"/>
        <v>820</v>
      </c>
      <c r="X167" s="72">
        <f t="shared" si="61"/>
        <v>800</v>
      </c>
      <c r="Y167" s="72">
        <f t="shared" si="61"/>
        <v>780</v>
      </c>
      <c r="Z167" s="72">
        <f t="shared" si="61"/>
        <v>760</v>
      </c>
      <c r="AA167" s="73">
        <f t="shared" si="61"/>
        <v>740</v>
      </c>
      <c r="AB167" s="72">
        <f t="shared" si="61"/>
        <v>720</v>
      </c>
      <c r="AC167" s="72">
        <f t="shared" si="61"/>
        <v>700</v>
      </c>
      <c r="AD167" s="72">
        <f t="shared" si="61"/>
        <v>680</v>
      </c>
      <c r="AE167" s="72">
        <f t="shared" si="61"/>
        <v>660</v>
      </c>
      <c r="AF167" s="72">
        <f t="shared" si="61"/>
        <v>640</v>
      </c>
      <c r="AG167" s="72">
        <f t="shared" si="61"/>
        <v>620</v>
      </c>
      <c r="AH167" s="72">
        <f t="shared" si="61"/>
        <v>600</v>
      </c>
      <c r="AI167" s="72">
        <f t="shared" si="61"/>
        <v>580</v>
      </c>
      <c r="AJ167" s="72">
        <f t="shared" si="61"/>
        <v>560</v>
      </c>
      <c r="AK167" s="72">
        <f t="shared" si="61"/>
        <v>540</v>
      </c>
      <c r="AL167" s="72">
        <f t="shared" si="61"/>
        <v>520</v>
      </c>
      <c r="AM167" s="72">
        <f t="shared" si="61"/>
        <v>500</v>
      </c>
      <c r="AN167" s="72"/>
      <c r="AO167" s="72"/>
      <c r="AP167" s="72"/>
      <c r="AQ167" s="72"/>
      <c r="AR167" s="72"/>
      <c r="AS167" s="72"/>
      <c r="AT167" s="72"/>
      <c r="AU167" s="72"/>
      <c r="AV167" s="72"/>
      <c r="AW167" s="72"/>
      <c r="AX167" s="72"/>
      <c r="AY167" s="72"/>
      <c r="AZ167" s="72"/>
      <c r="BA167" s="72"/>
      <c r="BB167" s="72"/>
      <c r="BC167" s="72"/>
      <c r="BD167" s="72"/>
      <c r="BE167" s="72"/>
      <c r="BF167" s="72"/>
      <c r="BG167" s="72"/>
      <c r="BH167" s="72"/>
    </row>
    <row r="168" spans="2:60" ht="15" customHeight="1">
      <c r="B168" s="166" t="s">
        <v>265</v>
      </c>
      <c r="D168" s="72">
        <f>G67</f>
        <v>1200</v>
      </c>
      <c r="E168" s="72"/>
      <c r="F168" s="72"/>
      <c r="G168" s="72"/>
      <c r="H168" s="72"/>
      <c r="I168" s="72"/>
      <c r="J168" s="72"/>
      <c r="K168" s="72"/>
      <c r="L168" s="72"/>
      <c r="M168" s="72"/>
      <c r="N168" s="72"/>
      <c r="O168" s="73"/>
      <c r="P168" s="72"/>
      <c r="Q168" s="72"/>
      <c r="R168" s="72"/>
      <c r="S168" s="72"/>
      <c r="T168" s="72"/>
      <c r="U168" s="72"/>
      <c r="V168" s="72"/>
      <c r="W168" s="72"/>
      <c r="X168" s="72"/>
      <c r="Y168" s="72"/>
      <c r="Z168" s="72"/>
      <c r="AA168" s="73"/>
      <c r="AB168" s="72"/>
      <c r="AC168" s="72"/>
      <c r="AD168" s="72"/>
      <c r="AE168" s="72"/>
      <c r="AF168" s="72"/>
      <c r="AG168" s="72"/>
      <c r="AH168" s="72"/>
      <c r="AI168" s="72"/>
      <c r="AJ168" s="72"/>
      <c r="AK168" s="72"/>
      <c r="AL168" s="72"/>
      <c r="AM168" s="72"/>
      <c r="AN168" s="72"/>
      <c r="AO168" s="72"/>
      <c r="AP168" s="72"/>
      <c r="AQ168" s="72"/>
      <c r="AR168" s="72"/>
      <c r="AS168" s="72"/>
      <c r="AT168" s="72"/>
      <c r="AU168" s="72"/>
      <c r="AV168" s="72"/>
      <c r="AW168" s="72"/>
      <c r="AX168" s="72"/>
      <c r="AY168" s="72"/>
      <c r="AZ168" s="72"/>
      <c r="BA168" s="72"/>
      <c r="BB168" s="72"/>
      <c r="BC168" s="72"/>
      <c r="BD168" s="72"/>
      <c r="BE168" s="72"/>
      <c r="BF168" s="72"/>
      <c r="BG168" s="72"/>
      <c r="BH168" s="72"/>
    </row>
    <row r="169" spans="2:60" ht="15" customHeight="1">
      <c r="B169" s="166" t="s">
        <v>110</v>
      </c>
      <c r="D169" s="72">
        <f>SUM(D167:D168)</f>
        <v>1200</v>
      </c>
      <c r="E169" s="72">
        <f t="shared" ref="E169:AM169" si="62">SUM(E167:E168)</f>
        <v>1180</v>
      </c>
      <c r="F169" s="72">
        <f t="shared" si="62"/>
        <v>1160</v>
      </c>
      <c r="G169" s="72">
        <f t="shared" si="62"/>
        <v>1140</v>
      </c>
      <c r="H169" s="72">
        <f t="shared" si="62"/>
        <v>1120</v>
      </c>
      <c r="I169" s="72">
        <f t="shared" si="62"/>
        <v>1100</v>
      </c>
      <c r="J169" s="72">
        <f t="shared" si="62"/>
        <v>1080</v>
      </c>
      <c r="K169" s="72">
        <f t="shared" si="62"/>
        <v>1060</v>
      </c>
      <c r="L169" s="72">
        <f t="shared" si="62"/>
        <v>1040</v>
      </c>
      <c r="M169" s="72">
        <f t="shared" si="62"/>
        <v>1020</v>
      </c>
      <c r="N169" s="72">
        <f t="shared" si="62"/>
        <v>1000</v>
      </c>
      <c r="O169" s="73">
        <f t="shared" si="62"/>
        <v>980</v>
      </c>
      <c r="P169" s="72">
        <f t="shared" si="62"/>
        <v>960</v>
      </c>
      <c r="Q169" s="72">
        <f t="shared" si="62"/>
        <v>940</v>
      </c>
      <c r="R169" s="72">
        <f t="shared" si="62"/>
        <v>920</v>
      </c>
      <c r="S169" s="72">
        <f t="shared" si="62"/>
        <v>900</v>
      </c>
      <c r="T169" s="72">
        <f t="shared" si="62"/>
        <v>880</v>
      </c>
      <c r="U169" s="72">
        <f t="shared" si="62"/>
        <v>860</v>
      </c>
      <c r="V169" s="72">
        <f t="shared" si="62"/>
        <v>840</v>
      </c>
      <c r="W169" s="72">
        <f t="shared" si="62"/>
        <v>820</v>
      </c>
      <c r="X169" s="72">
        <f t="shared" si="62"/>
        <v>800</v>
      </c>
      <c r="Y169" s="72">
        <f t="shared" si="62"/>
        <v>780</v>
      </c>
      <c r="Z169" s="72">
        <f t="shared" si="62"/>
        <v>760</v>
      </c>
      <c r="AA169" s="73">
        <f t="shared" si="62"/>
        <v>740</v>
      </c>
      <c r="AB169" s="72">
        <f t="shared" si="62"/>
        <v>720</v>
      </c>
      <c r="AC169" s="72">
        <f t="shared" si="62"/>
        <v>700</v>
      </c>
      <c r="AD169" s="72">
        <f t="shared" si="62"/>
        <v>680</v>
      </c>
      <c r="AE169" s="72">
        <f t="shared" si="62"/>
        <v>660</v>
      </c>
      <c r="AF169" s="72">
        <f t="shared" si="62"/>
        <v>640</v>
      </c>
      <c r="AG169" s="72">
        <f t="shared" si="62"/>
        <v>620</v>
      </c>
      <c r="AH169" s="72">
        <f t="shared" si="62"/>
        <v>600</v>
      </c>
      <c r="AI169" s="72">
        <f t="shared" si="62"/>
        <v>580</v>
      </c>
      <c r="AJ169" s="72">
        <f t="shared" si="62"/>
        <v>560</v>
      </c>
      <c r="AK169" s="72">
        <f t="shared" si="62"/>
        <v>540</v>
      </c>
      <c r="AL169" s="72">
        <f t="shared" si="62"/>
        <v>520</v>
      </c>
      <c r="AM169" s="72">
        <f t="shared" si="62"/>
        <v>500</v>
      </c>
      <c r="AN169" s="72"/>
      <c r="AO169" s="72"/>
      <c r="AP169" s="72"/>
      <c r="AQ169" s="72"/>
      <c r="AR169" s="72"/>
      <c r="AS169" s="72"/>
      <c r="AT169" s="72"/>
      <c r="AU169" s="72"/>
      <c r="AV169" s="72"/>
      <c r="AW169" s="72"/>
      <c r="AX169" s="72"/>
      <c r="AY169" s="72"/>
      <c r="AZ169" s="72"/>
      <c r="BA169" s="72"/>
      <c r="BB169" s="72"/>
      <c r="BC169" s="72"/>
      <c r="BD169" s="72"/>
      <c r="BE169" s="72"/>
      <c r="BF169" s="72"/>
      <c r="BG169" s="72"/>
      <c r="BH169" s="72"/>
    </row>
    <row r="170" spans="2:60" ht="15" customHeight="1">
      <c r="B170" s="166" t="s">
        <v>57</v>
      </c>
      <c r="D170" s="72">
        <f>-$D$168/$J$67/12</f>
        <v>-20</v>
      </c>
      <c r="E170" s="72">
        <f t="shared" ref="E170:AM170" si="63">-$D$168/$J$67/12</f>
        <v>-20</v>
      </c>
      <c r="F170" s="72">
        <f t="shared" si="63"/>
        <v>-20</v>
      </c>
      <c r="G170" s="72">
        <f t="shared" si="63"/>
        <v>-20</v>
      </c>
      <c r="H170" s="72">
        <f t="shared" si="63"/>
        <v>-20</v>
      </c>
      <c r="I170" s="72">
        <f t="shared" si="63"/>
        <v>-20</v>
      </c>
      <c r="J170" s="72">
        <f t="shared" si="63"/>
        <v>-20</v>
      </c>
      <c r="K170" s="72">
        <f t="shared" si="63"/>
        <v>-20</v>
      </c>
      <c r="L170" s="72">
        <f t="shared" si="63"/>
        <v>-20</v>
      </c>
      <c r="M170" s="72">
        <f t="shared" si="63"/>
        <v>-20</v>
      </c>
      <c r="N170" s="72">
        <f t="shared" si="63"/>
        <v>-20</v>
      </c>
      <c r="O170" s="72">
        <f t="shared" si="63"/>
        <v>-20</v>
      </c>
      <c r="P170" s="72">
        <f t="shared" si="63"/>
        <v>-20</v>
      </c>
      <c r="Q170" s="72">
        <f t="shared" si="63"/>
        <v>-20</v>
      </c>
      <c r="R170" s="72">
        <f t="shared" si="63"/>
        <v>-20</v>
      </c>
      <c r="S170" s="72">
        <f t="shared" si="63"/>
        <v>-20</v>
      </c>
      <c r="T170" s="72">
        <f t="shared" si="63"/>
        <v>-20</v>
      </c>
      <c r="U170" s="72">
        <f t="shared" si="63"/>
        <v>-20</v>
      </c>
      <c r="V170" s="72">
        <f t="shared" si="63"/>
        <v>-20</v>
      </c>
      <c r="W170" s="72">
        <f t="shared" si="63"/>
        <v>-20</v>
      </c>
      <c r="X170" s="72">
        <f t="shared" si="63"/>
        <v>-20</v>
      </c>
      <c r="Y170" s="72">
        <f t="shared" si="63"/>
        <v>-20</v>
      </c>
      <c r="Z170" s="72">
        <f t="shared" si="63"/>
        <v>-20</v>
      </c>
      <c r="AA170" s="72">
        <f t="shared" si="63"/>
        <v>-20</v>
      </c>
      <c r="AB170" s="72">
        <f>-$D$168/$J$67/12</f>
        <v>-20</v>
      </c>
      <c r="AC170" s="72">
        <f t="shared" si="63"/>
        <v>-20</v>
      </c>
      <c r="AD170" s="72">
        <f t="shared" si="63"/>
        <v>-20</v>
      </c>
      <c r="AE170" s="72">
        <f t="shared" si="63"/>
        <v>-20</v>
      </c>
      <c r="AF170" s="72">
        <f t="shared" si="63"/>
        <v>-20</v>
      </c>
      <c r="AG170" s="72">
        <f t="shared" si="63"/>
        <v>-20</v>
      </c>
      <c r="AH170" s="72">
        <f t="shared" si="63"/>
        <v>-20</v>
      </c>
      <c r="AI170" s="72">
        <f t="shared" si="63"/>
        <v>-20</v>
      </c>
      <c r="AJ170" s="72">
        <f t="shared" si="63"/>
        <v>-20</v>
      </c>
      <c r="AK170" s="72">
        <f t="shared" si="63"/>
        <v>-20</v>
      </c>
      <c r="AL170" s="72">
        <f t="shared" si="63"/>
        <v>-20</v>
      </c>
      <c r="AM170" s="72">
        <f t="shared" si="63"/>
        <v>-20</v>
      </c>
      <c r="AN170" s="72"/>
      <c r="AO170" s="72"/>
      <c r="AP170" s="72"/>
      <c r="AQ170" s="72"/>
      <c r="AR170" s="72"/>
      <c r="AS170" s="72"/>
      <c r="AT170" s="72"/>
      <c r="AU170" s="72"/>
      <c r="AV170" s="72"/>
      <c r="AW170" s="72"/>
      <c r="AX170" s="72"/>
      <c r="AY170" s="72"/>
      <c r="AZ170" s="72"/>
      <c r="BA170" s="72"/>
      <c r="BB170" s="72"/>
      <c r="BC170" s="72"/>
      <c r="BD170" s="72"/>
      <c r="BE170" s="72"/>
      <c r="BF170" s="72"/>
      <c r="BG170" s="72"/>
      <c r="BH170" s="72"/>
    </row>
    <row r="171" spans="2:60" s="168" customFormat="1" ht="15" customHeight="1">
      <c r="B171" s="167" t="s">
        <v>255</v>
      </c>
      <c r="D171" s="72">
        <f>SUM(D169:D170)</f>
        <v>1180</v>
      </c>
      <c r="E171" s="72">
        <f t="shared" ref="E171:AM171" si="64">SUM(E169:E170)</f>
        <v>1160</v>
      </c>
      <c r="F171" s="72">
        <f t="shared" si="64"/>
        <v>1140</v>
      </c>
      <c r="G171" s="72">
        <f t="shared" si="64"/>
        <v>1120</v>
      </c>
      <c r="H171" s="72">
        <f t="shared" si="64"/>
        <v>1100</v>
      </c>
      <c r="I171" s="72">
        <f t="shared" si="64"/>
        <v>1080</v>
      </c>
      <c r="J171" s="72">
        <f t="shared" si="64"/>
        <v>1060</v>
      </c>
      <c r="K171" s="72">
        <f t="shared" si="64"/>
        <v>1040</v>
      </c>
      <c r="L171" s="72">
        <f t="shared" si="64"/>
        <v>1020</v>
      </c>
      <c r="M171" s="72">
        <f t="shared" si="64"/>
        <v>1000</v>
      </c>
      <c r="N171" s="72">
        <f t="shared" si="64"/>
        <v>980</v>
      </c>
      <c r="O171" s="73">
        <f t="shared" si="64"/>
        <v>960</v>
      </c>
      <c r="P171" s="72">
        <f t="shared" si="64"/>
        <v>940</v>
      </c>
      <c r="Q171" s="72">
        <f t="shared" si="64"/>
        <v>920</v>
      </c>
      <c r="R171" s="72">
        <f t="shared" si="64"/>
        <v>900</v>
      </c>
      <c r="S171" s="72">
        <f t="shared" si="64"/>
        <v>880</v>
      </c>
      <c r="T171" s="72">
        <f t="shared" si="64"/>
        <v>860</v>
      </c>
      <c r="U171" s="72">
        <f t="shared" si="64"/>
        <v>840</v>
      </c>
      <c r="V171" s="72">
        <f t="shared" si="64"/>
        <v>820</v>
      </c>
      <c r="W171" s="72">
        <f t="shared" si="64"/>
        <v>800</v>
      </c>
      <c r="X171" s="72">
        <f t="shared" si="64"/>
        <v>780</v>
      </c>
      <c r="Y171" s="72">
        <f t="shared" si="64"/>
        <v>760</v>
      </c>
      <c r="Z171" s="72">
        <f t="shared" si="64"/>
        <v>740</v>
      </c>
      <c r="AA171" s="73">
        <f t="shared" si="64"/>
        <v>720</v>
      </c>
      <c r="AB171" s="72">
        <f t="shared" si="64"/>
        <v>700</v>
      </c>
      <c r="AC171" s="72">
        <f t="shared" si="64"/>
        <v>680</v>
      </c>
      <c r="AD171" s="72">
        <f t="shared" si="64"/>
        <v>660</v>
      </c>
      <c r="AE171" s="72">
        <f t="shared" si="64"/>
        <v>640</v>
      </c>
      <c r="AF171" s="72">
        <f t="shared" si="64"/>
        <v>620</v>
      </c>
      <c r="AG171" s="72">
        <f t="shared" si="64"/>
        <v>600</v>
      </c>
      <c r="AH171" s="72">
        <f t="shared" si="64"/>
        <v>580</v>
      </c>
      <c r="AI171" s="72">
        <f t="shared" si="64"/>
        <v>560</v>
      </c>
      <c r="AJ171" s="72">
        <f t="shared" si="64"/>
        <v>540</v>
      </c>
      <c r="AK171" s="72">
        <f t="shared" si="64"/>
        <v>520</v>
      </c>
      <c r="AL171" s="72">
        <f t="shared" si="64"/>
        <v>500</v>
      </c>
      <c r="AM171" s="72">
        <f t="shared" si="64"/>
        <v>480</v>
      </c>
      <c r="AN171" s="169"/>
      <c r="AO171" s="169"/>
      <c r="AP171" s="169"/>
      <c r="AQ171" s="169"/>
      <c r="AR171" s="169"/>
      <c r="AS171" s="169"/>
      <c r="AT171" s="169"/>
      <c r="AU171" s="169"/>
      <c r="AV171" s="169"/>
      <c r="AW171" s="169"/>
      <c r="AX171" s="169"/>
      <c r="AY171" s="169"/>
      <c r="AZ171" s="169"/>
      <c r="BA171" s="169"/>
      <c r="BB171" s="169"/>
      <c r="BC171" s="169"/>
      <c r="BD171" s="169"/>
      <c r="BE171" s="169"/>
      <c r="BF171" s="169"/>
      <c r="BG171" s="169"/>
      <c r="BH171" s="169"/>
    </row>
    <row r="172" spans="2:60" s="168" customFormat="1">
      <c r="B172" s="167"/>
      <c r="D172" s="169"/>
      <c r="E172" s="169"/>
      <c r="F172" s="169"/>
      <c r="G172" s="169"/>
      <c r="H172" s="169"/>
      <c r="I172" s="169"/>
      <c r="J172" s="169"/>
      <c r="K172" s="169"/>
      <c r="L172" s="169"/>
      <c r="M172" s="169"/>
      <c r="N172" s="169"/>
      <c r="O172" s="173"/>
      <c r="P172" s="169"/>
      <c r="Q172" s="169"/>
      <c r="R172" s="169"/>
      <c r="S172" s="169"/>
      <c r="T172" s="169"/>
      <c r="U172" s="169"/>
      <c r="V172" s="169"/>
      <c r="W172" s="169"/>
      <c r="X172" s="169"/>
      <c r="Y172" s="169"/>
      <c r="Z172" s="169"/>
      <c r="AA172" s="173"/>
      <c r="AB172" s="169"/>
      <c r="AC172" s="169"/>
      <c r="AD172" s="169"/>
      <c r="AE172" s="169"/>
      <c r="AF172" s="169"/>
      <c r="AG172" s="169"/>
      <c r="AH172" s="169"/>
      <c r="AI172" s="169"/>
      <c r="AJ172" s="169"/>
      <c r="AK172" s="169"/>
      <c r="AL172" s="169"/>
      <c r="AM172" s="169"/>
      <c r="AN172" s="169"/>
      <c r="AO172" s="169"/>
      <c r="AP172" s="169"/>
      <c r="AQ172" s="169"/>
      <c r="AR172" s="169"/>
      <c r="AS172" s="169"/>
      <c r="AT172" s="169"/>
      <c r="AU172" s="169"/>
      <c r="AV172" s="169"/>
      <c r="AW172" s="169"/>
      <c r="AX172" s="169"/>
      <c r="AY172" s="169"/>
      <c r="AZ172" s="169"/>
      <c r="BA172" s="169"/>
      <c r="BB172" s="169"/>
      <c r="BC172" s="169"/>
      <c r="BD172" s="169"/>
      <c r="BE172" s="169"/>
      <c r="BF172" s="169"/>
      <c r="BG172" s="169"/>
      <c r="BH172" s="169"/>
    </row>
    <row r="173" spans="2:60" s="168" customFormat="1">
      <c r="B173" s="18" t="str">
        <f>B68</f>
        <v>Printer</v>
      </c>
      <c r="C173" s="19"/>
      <c r="D173" s="72"/>
      <c r="E173" s="72"/>
      <c r="F173" s="72"/>
      <c r="G173" s="72"/>
      <c r="H173" s="72"/>
      <c r="I173" s="72"/>
      <c r="J173" s="72"/>
      <c r="K173" s="72"/>
      <c r="L173" s="72"/>
      <c r="M173" s="72"/>
      <c r="N173" s="72"/>
      <c r="O173" s="73"/>
      <c r="P173" s="72"/>
      <c r="Q173" s="72"/>
      <c r="R173" s="72"/>
      <c r="S173" s="72"/>
      <c r="T173" s="72"/>
      <c r="U173" s="72"/>
      <c r="V173" s="72"/>
      <c r="W173" s="72"/>
      <c r="X173" s="72"/>
      <c r="Y173" s="72"/>
      <c r="Z173" s="72"/>
      <c r="AA173" s="73"/>
      <c r="AB173" s="72"/>
      <c r="AC173" s="72"/>
      <c r="AD173" s="72"/>
      <c r="AE173" s="72"/>
      <c r="AF173" s="72"/>
      <c r="AG173" s="72"/>
      <c r="AH173" s="72"/>
      <c r="AI173" s="72"/>
      <c r="AJ173" s="72"/>
      <c r="AK173" s="72"/>
      <c r="AL173" s="72"/>
      <c r="AM173" s="72"/>
      <c r="AN173" s="169"/>
      <c r="AO173" s="169"/>
      <c r="AP173" s="169"/>
      <c r="AQ173" s="169"/>
      <c r="AR173" s="169"/>
      <c r="AS173" s="169"/>
      <c r="AT173" s="169"/>
      <c r="AU173" s="169"/>
      <c r="AV173" s="169"/>
      <c r="AW173" s="169"/>
      <c r="AX173" s="169"/>
      <c r="AY173" s="169"/>
      <c r="AZ173" s="169"/>
      <c r="BA173" s="169"/>
      <c r="BB173" s="169"/>
      <c r="BC173" s="169"/>
      <c r="BD173" s="169"/>
      <c r="BE173" s="169"/>
      <c r="BF173" s="169"/>
      <c r="BG173" s="169"/>
      <c r="BH173" s="169"/>
    </row>
    <row r="174" spans="2:60" s="168" customFormat="1">
      <c r="B174" s="166" t="s">
        <v>112</v>
      </c>
      <c r="C174" s="19"/>
      <c r="D174" s="19">
        <v>0</v>
      </c>
      <c r="E174" s="72">
        <f>D178</f>
        <v>236</v>
      </c>
      <c r="F174" s="72">
        <f t="shared" ref="F174:AM174" si="65">E178</f>
        <v>232</v>
      </c>
      <c r="G174" s="72">
        <f t="shared" si="65"/>
        <v>228</v>
      </c>
      <c r="H174" s="72">
        <f t="shared" si="65"/>
        <v>224</v>
      </c>
      <c r="I174" s="72">
        <f t="shared" si="65"/>
        <v>220</v>
      </c>
      <c r="J174" s="72">
        <f t="shared" si="65"/>
        <v>216</v>
      </c>
      <c r="K174" s="72">
        <f t="shared" si="65"/>
        <v>212</v>
      </c>
      <c r="L174" s="72">
        <f t="shared" si="65"/>
        <v>208</v>
      </c>
      <c r="M174" s="72">
        <f t="shared" si="65"/>
        <v>204</v>
      </c>
      <c r="N174" s="72">
        <f t="shared" si="65"/>
        <v>200</v>
      </c>
      <c r="O174" s="73">
        <f t="shared" si="65"/>
        <v>196</v>
      </c>
      <c r="P174" s="72">
        <f t="shared" si="65"/>
        <v>192</v>
      </c>
      <c r="Q174" s="72">
        <f t="shared" si="65"/>
        <v>188</v>
      </c>
      <c r="R174" s="72">
        <f t="shared" si="65"/>
        <v>184</v>
      </c>
      <c r="S174" s="72">
        <f t="shared" si="65"/>
        <v>180</v>
      </c>
      <c r="T174" s="72">
        <f t="shared" si="65"/>
        <v>176</v>
      </c>
      <c r="U174" s="72">
        <f t="shared" si="65"/>
        <v>172</v>
      </c>
      <c r="V174" s="72">
        <f t="shared" si="65"/>
        <v>168</v>
      </c>
      <c r="W174" s="72">
        <f t="shared" si="65"/>
        <v>164</v>
      </c>
      <c r="X174" s="72">
        <f t="shared" si="65"/>
        <v>160</v>
      </c>
      <c r="Y174" s="72">
        <f t="shared" si="65"/>
        <v>156</v>
      </c>
      <c r="Z174" s="72">
        <f t="shared" si="65"/>
        <v>152</v>
      </c>
      <c r="AA174" s="73">
        <f t="shared" si="65"/>
        <v>148</v>
      </c>
      <c r="AB174" s="72">
        <f t="shared" si="65"/>
        <v>144</v>
      </c>
      <c r="AC174" s="72">
        <f t="shared" si="65"/>
        <v>218.66666666666666</v>
      </c>
      <c r="AD174" s="72">
        <f t="shared" si="65"/>
        <v>213.33333333333331</v>
      </c>
      <c r="AE174" s="72">
        <f t="shared" si="65"/>
        <v>207.99999999999997</v>
      </c>
      <c r="AF174" s="72">
        <f t="shared" si="65"/>
        <v>202.66666666666663</v>
      </c>
      <c r="AG174" s="72">
        <f t="shared" si="65"/>
        <v>197.33333333333329</v>
      </c>
      <c r="AH174" s="72">
        <f t="shared" si="65"/>
        <v>191.99999999999994</v>
      </c>
      <c r="AI174" s="72">
        <f t="shared" si="65"/>
        <v>186.6666666666666</v>
      </c>
      <c r="AJ174" s="72">
        <f t="shared" si="65"/>
        <v>181.33333333333326</v>
      </c>
      <c r="AK174" s="72">
        <f t="shared" si="65"/>
        <v>175.99999999999991</v>
      </c>
      <c r="AL174" s="72">
        <f t="shared" si="65"/>
        <v>170.66666666666657</v>
      </c>
      <c r="AM174" s="72">
        <f t="shared" si="65"/>
        <v>165.33333333333323</v>
      </c>
      <c r="AN174" s="169"/>
      <c r="AO174" s="169"/>
      <c r="AP174" s="169"/>
      <c r="AQ174" s="169"/>
      <c r="AR174" s="169"/>
      <c r="AS174" s="169"/>
      <c r="AT174" s="169"/>
      <c r="AU174" s="169"/>
      <c r="AV174" s="169"/>
      <c r="AW174" s="169"/>
      <c r="AX174" s="169"/>
      <c r="AY174" s="169"/>
      <c r="AZ174" s="169"/>
      <c r="BA174" s="169"/>
      <c r="BB174" s="169"/>
      <c r="BC174" s="169"/>
      <c r="BD174" s="169"/>
      <c r="BE174" s="169"/>
      <c r="BF174" s="169"/>
      <c r="BG174" s="169"/>
      <c r="BH174" s="169"/>
    </row>
    <row r="175" spans="2:60" s="168" customFormat="1">
      <c r="B175" s="166" t="s">
        <v>265</v>
      </c>
      <c r="C175" s="19"/>
      <c r="D175" s="72">
        <f>G68</f>
        <v>240</v>
      </c>
      <c r="E175" s="72"/>
      <c r="F175" s="72"/>
      <c r="G175" s="72"/>
      <c r="H175" s="72"/>
      <c r="I175" s="72"/>
      <c r="J175" s="72"/>
      <c r="K175" s="72"/>
      <c r="L175" s="72"/>
      <c r="M175" s="72"/>
      <c r="N175" s="72"/>
      <c r="O175" s="73"/>
      <c r="P175" s="72">
        <f>H68</f>
        <v>0</v>
      </c>
      <c r="Q175" s="72"/>
      <c r="R175" s="72"/>
      <c r="S175" s="72"/>
      <c r="T175" s="72"/>
      <c r="U175" s="72"/>
      <c r="V175" s="72"/>
      <c r="W175" s="72"/>
      <c r="X175" s="72"/>
      <c r="Y175" s="72"/>
      <c r="Z175" s="72"/>
      <c r="AA175" s="73"/>
      <c r="AB175" s="72">
        <f>$I$68</f>
        <v>80</v>
      </c>
      <c r="AC175" s="72"/>
      <c r="AD175" s="72"/>
      <c r="AE175" s="72"/>
      <c r="AF175" s="72"/>
      <c r="AG175" s="72"/>
      <c r="AH175" s="72"/>
      <c r="AI175" s="72"/>
      <c r="AJ175" s="72"/>
      <c r="AK175" s="72"/>
      <c r="AL175" s="72"/>
      <c r="AM175" s="72"/>
      <c r="AN175" s="169"/>
      <c r="AO175" s="169"/>
      <c r="AP175" s="169"/>
      <c r="AQ175" s="169"/>
      <c r="AR175" s="169"/>
      <c r="AS175" s="169"/>
      <c r="AT175" s="169"/>
      <c r="AU175" s="169"/>
      <c r="AV175" s="169"/>
      <c r="AW175" s="169"/>
      <c r="AX175" s="169"/>
      <c r="AY175" s="169"/>
      <c r="AZ175" s="169"/>
      <c r="BA175" s="169"/>
      <c r="BB175" s="169"/>
      <c r="BC175" s="169"/>
      <c r="BD175" s="169"/>
      <c r="BE175" s="169"/>
      <c r="BF175" s="169"/>
      <c r="BG175" s="169"/>
      <c r="BH175" s="169"/>
    </row>
    <row r="176" spans="2:60">
      <c r="B176" s="166" t="s">
        <v>110</v>
      </c>
      <c r="D176" s="72">
        <f>SUM(D174:D175)</f>
        <v>240</v>
      </c>
      <c r="E176" s="72">
        <f t="shared" ref="E176:AM176" si="66">SUM(E174:E175)</f>
        <v>236</v>
      </c>
      <c r="F176" s="72">
        <f t="shared" si="66"/>
        <v>232</v>
      </c>
      <c r="G176" s="72">
        <f t="shared" si="66"/>
        <v>228</v>
      </c>
      <c r="H176" s="72">
        <f t="shared" si="66"/>
        <v>224</v>
      </c>
      <c r="I176" s="72">
        <f t="shared" si="66"/>
        <v>220</v>
      </c>
      <c r="J176" s="72">
        <f t="shared" si="66"/>
        <v>216</v>
      </c>
      <c r="K176" s="72">
        <f t="shared" si="66"/>
        <v>212</v>
      </c>
      <c r="L176" s="72">
        <f t="shared" si="66"/>
        <v>208</v>
      </c>
      <c r="M176" s="72">
        <f t="shared" si="66"/>
        <v>204</v>
      </c>
      <c r="N176" s="72">
        <f t="shared" si="66"/>
        <v>200</v>
      </c>
      <c r="O176" s="73">
        <f t="shared" si="66"/>
        <v>196</v>
      </c>
      <c r="P176" s="72">
        <f t="shared" si="66"/>
        <v>192</v>
      </c>
      <c r="Q176" s="72">
        <f t="shared" si="66"/>
        <v>188</v>
      </c>
      <c r="R176" s="72">
        <f t="shared" si="66"/>
        <v>184</v>
      </c>
      <c r="S176" s="72">
        <f t="shared" si="66"/>
        <v>180</v>
      </c>
      <c r="T176" s="72">
        <f t="shared" si="66"/>
        <v>176</v>
      </c>
      <c r="U176" s="72">
        <f t="shared" si="66"/>
        <v>172</v>
      </c>
      <c r="V176" s="72">
        <f t="shared" si="66"/>
        <v>168</v>
      </c>
      <c r="W176" s="72">
        <f t="shared" si="66"/>
        <v>164</v>
      </c>
      <c r="X176" s="72">
        <f t="shared" si="66"/>
        <v>160</v>
      </c>
      <c r="Y176" s="72">
        <f t="shared" si="66"/>
        <v>156</v>
      </c>
      <c r="Z176" s="72">
        <f t="shared" si="66"/>
        <v>152</v>
      </c>
      <c r="AA176" s="73">
        <f t="shared" si="66"/>
        <v>148</v>
      </c>
      <c r="AB176" s="72">
        <f t="shared" si="66"/>
        <v>224</v>
      </c>
      <c r="AC176" s="72">
        <f t="shared" si="66"/>
        <v>218.66666666666666</v>
      </c>
      <c r="AD176" s="72">
        <f t="shared" si="66"/>
        <v>213.33333333333331</v>
      </c>
      <c r="AE176" s="72">
        <f t="shared" si="66"/>
        <v>207.99999999999997</v>
      </c>
      <c r="AF176" s="72">
        <f t="shared" si="66"/>
        <v>202.66666666666663</v>
      </c>
      <c r="AG176" s="72">
        <f t="shared" si="66"/>
        <v>197.33333333333329</v>
      </c>
      <c r="AH176" s="72">
        <f t="shared" si="66"/>
        <v>191.99999999999994</v>
      </c>
      <c r="AI176" s="72">
        <f t="shared" si="66"/>
        <v>186.6666666666666</v>
      </c>
      <c r="AJ176" s="72">
        <f t="shared" si="66"/>
        <v>181.33333333333326</v>
      </c>
      <c r="AK176" s="72">
        <f t="shared" si="66"/>
        <v>175.99999999999991</v>
      </c>
      <c r="AL176" s="72">
        <f t="shared" si="66"/>
        <v>170.66666666666657</v>
      </c>
      <c r="AM176" s="72">
        <f t="shared" si="66"/>
        <v>165.33333333333323</v>
      </c>
      <c r="AN176" s="72"/>
      <c r="AO176" s="72"/>
      <c r="AP176" s="72"/>
      <c r="AQ176" s="72"/>
      <c r="AR176" s="72"/>
      <c r="AS176" s="72"/>
      <c r="AT176" s="72"/>
      <c r="AU176" s="72"/>
      <c r="AV176" s="72"/>
      <c r="AW176" s="72"/>
      <c r="AX176" s="72"/>
      <c r="AY176" s="72"/>
      <c r="AZ176" s="72"/>
      <c r="BA176" s="72"/>
      <c r="BB176" s="72"/>
      <c r="BC176" s="72"/>
      <c r="BD176" s="72"/>
      <c r="BE176" s="72"/>
      <c r="BF176" s="72"/>
      <c r="BG176" s="72"/>
      <c r="BH176" s="72"/>
    </row>
    <row r="177" spans="2:60">
      <c r="B177" s="166" t="s">
        <v>57</v>
      </c>
      <c r="D177" s="72">
        <f>-$D$175/$J$68/12</f>
        <v>-4</v>
      </c>
      <c r="E177" s="72">
        <f t="shared" ref="E177:O177" si="67">-$D$175/$J$68/12</f>
        <v>-4</v>
      </c>
      <c r="F177" s="72">
        <f t="shared" si="67"/>
        <v>-4</v>
      </c>
      <c r="G177" s="72">
        <f t="shared" si="67"/>
        <v>-4</v>
      </c>
      <c r="H177" s="72">
        <f t="shared" si="67"/>
        <v>-4</v>
      </c>
      <c r="I177" s="72">
        <f t="shared" si="67"/>
        <v>-4</v>
      </c>
      <c r="J177" s="72">
        <f t="shared" si="67"/>
        <v>-4</v>
      </c>
      <c r="K177" s="72">
        <f t="shared" si="67"/>
        <v>-4</v>
      </c>
      <c r="L177" s="72">
        <f t="shared" si="67"/>
        <v>-4</v>
      </c>
      <c r="M177" s="72">
        <f t="shared" si="67"/>
        <v>-4</v>
      </c>
      <c r="N177" s="72">
        <f t="shared" si="67"/>
        <v>-4</v>
      </c>
      <c r="O177" s="72">
        <f t="shared" si="67"/>
        <v>-4</v>
      </c>
      <c r="P177" s="72">
        <f t="shared" ref="P177:Z177" si="68">(-$D$175/$J$68/12)-($H$68/$J$68/12)</f>
        <v>-4</v>
      </c>
      <c r="Q177" s="72">
        <f t="shared" si="68"/>
        <v>-4</v>
      </c>
      <c r="R177" s="72">
        <f t="shared" si="68"/>
        <v>-4</v>
      </c>
      <c r="S177" s="72">
        <f t="shared" si="68"/>
        <v>-4</v>
      </c>
      <c r="T177" s="72">
        <f t="shared" si="68"/>
        <v>-4</v>
      </c>
      <c r="U177" s="72">
        <f t="shared" si="68"/>
        <v>-4</v>
      </c>
      <c r="V177" s="72">
        <f t="shared" si="68"/>
        <v>-4</v>
      </c>
      <c r="W177" s="72">
        <f t="shared" si="68"/>
        <v>-4</v>
      </c>
      <c r="X177" s="72">
        <f t="shared" si="68"/>
        <v>-4</v>
      </c>
      <c r="Y177" s="72">
        <f t="shared" si="68"/>
        <v>-4</v>
      </c>
      <c r="Z177" s="72">
        <f t="shared" si="68"/>
        <v>-4</v>
      </c>
      <c r="AA177" s="72">
        <f>(-$D$175/$J$68/12)-($H$68/$J$68/12)</f>
        <v>-4</v>
      </c>
      <c r="AB177" s="72">
        <f t="shared" ref="AB177:AM177" si="69">(-$D$175/$J$68/12)-($H$68/$J$68/12)-($I$68/$J$68/12)</f>
        <v>-5.333333333333333</v>
      </c>
      <c r="AC177" s="72">
        <f t="shared" si="69"/>
        <v>-5.333333333333333</v>
      </c>
      <c r="AD177" s="72">
        <f t="shared" si="69"/>
        <v>-5.333333333333333</v>
      </c>
      <c r="AE177" s="72">
        <f t="shared" si="69"/>
        <v>-5.333333333333333</v>
      </c>
      <c r="AF177" s="72">
        <f t="shared" si="69"/>
        <v>-5.333333333333333</v>
      </c>
      <c r="AG177" s="72">
        <f t="shared" si="69"/>
        <v>-5.333333333333333</v>
      </c>
      <c r="AH177" s="72">
        <f t="shared" si="69"/>
        <v>-5.333333333333333</v>
      </c>
      <c r="AI177" s="72">
        <f t="shared" si="69"/>
        <v>-5.333333333333333</v>
      </c>
      <c r="AJ177" s="72">
        <f t="shared" si="69"/>
        <v>-5.333333333333333</v>
      </c>
      <c r="AK177" s="72">
        <f t="shared" si="69"/>
        <v>-5.333333333333333</v>
      </c>
      <c r="AL177" s="72">
        <f t="shared" si="69"/>
        <v>-5.333333333333333</v>
      </c>
      <c r="AM177" s="72">
        <f t="shared" si="69"/>
        <v>-5.333333333333333</v>
      </c>
      <c r="AN177" s="72"/>
      <c r="AO177" s="72"/>
      <c r="AP177" s="72"/>
      <c r="AQ177" s="72"/>
      <c r="AR177" s="72"/>
      <c r="AS177" s="72"/>
      <c r="AT177" s="72"/>
      <c r="AU177" s="72"/>
      <c r="AV177" s="72"/>
      <c r="AW177" s="72"/>
      <c r="AX177" s="72"/>
      <c r="AY177" s="72"/>
      <c r="AZ177" s="72"/>
      <c r="BA177" s="72"/>
      <c r="BB177" s="72"/>
      <c r="BC177" s="72"/>
      <c r="BD177" s="72"/>
      <c r="BE177" s="72"/>
      <c r="BF177" s="72"/>
      <c r="BG177" s="72"/>
      <c r="BH177" s="72"/>
    </row>
    <row r="178" spans="2:60">
      <c r="B178" s="167" t="s">
        <v>255</v>
      </c>
      <c r="C178" s="168"/>
      <c r="D178" s="72">
        <f>SUM(D176:D177)</f>
        <v>236</v>
      </c>
      <c r="E178" s="72">
        <f t="shared" ref="E178:AM178" si="70">SUM(E176:E177)</f>
        <v>232</v>
      </c>
      <c r="F178" s="72">
        <f t="shared" si="70"/>
        <v>228</v>
      </c>
      <c r="G178" s="72">
        <f t="shared" si="70"/>
        <v>224</v>
      </c>
      <c r="H178" s="72">
        <f t="shared" si="70"/>
        <v>220</v>
      </c>
      <c r="I178" s="72">
        <f t="shared" si="70"/>
        <v>216</v>
      </c>
      <c r="J178" s="72">
        <f t="shared" si="70"/>
        <v>212</v>
      </c>
      <c r="K178" s="72">
        <f t="shared" si="70"/>
        <v>208</v>
      </c>
      <c r="L178" s="72">
        <f t="shared" si="70"/>
        <v>204</v>
      </c>
      <c r="M178" s="72">
        <f t="shared" si="70"/>
        <v>200</v>
      </c>
      <c r="N178" s="72">
        <f t="shared" si="70"/>
        <v>196</v>
      </c>
      <c r="O178" s="73">
        <f t="shared" si="70"/>
        <v>192</v>
      </c>
      <c r="P178" s="72">
        <f t="shared" si="70"/>
        <v>188</v>
      </c>
      <c r="Q178" s="72">
        <f t="shared" si="70"/>
        <v>184</v>
      </c>
      <c r="R178" s="72">
        <f t="shared" si="70"/>
        <v>180</v>
      </c>
      <c r="S178" s="72">
        <f t="shared" si="70"/>
        <v>176</v>
      </c>
      <c r="T178" s="72">
        <f t="shared" si="70"/>
        <v>172</v>
      </c>
      <c r="U178" s="72">
        <f t="shared" si="70"/>
        <v>168</v>
      </c>
      <c r="V178" s="72">
        <f t="shared" si="70"/>
        <v>164</v>
      </c>
      <c r="W178" s="72">
        <f t="shared" si="70"/>
        <v>160</v>
      </c>
      <c r="X178" s="72">
        <f t="shared" si="70"/>
        <v>156</v>
      </c>
      <c r="Y178" s="72">
        <f t="shared" si="70"/>
        <v>152</v>
      </c>
      <c r="Z178" s="72">
        <f t="shared" si="70"/>
        <v>148</v>
      </c>
      <c r="AA178" s="73">
        <f t="shared" si="70"/>
        <v>144</v>
      </c>
      <c r="AB178" s="72">
        <f t="shared" si="70"/>
        <v>218.66666666666666</v>
      </c>
      <c r="AC178" s="72">
        <f t="shared" si="70"/>
        <v>213.33333333333331</v>
      </c>
      <c r="AD178" s="72">
        <f t="shared" si="70"/>
        <v>207.99999999999997</v>
      </c>
      <c r="AE178" s="72">
        <f t="shared" si="70"/>
        <v>202.66666666666663</v>
      </c>
      <c r="AF178" s="72">
        <f t="shared" si="70"/>
        <v>197.33333333333329</v>
      </c>
      <c r="AG178" s="72">
        <f t="shared" si="70"/>
        <v>191.99999999999994</v>
      </c>
      <c r="AH178" s="72">
        <f t="shared" si="70"/>
        <v>186.6666666666666</v>
      </c>
      <c r="AI178" s="72">
        <f t="shared" si="70"/>
        <v>181.33333333333326</v>
      </c>
      <c r="AJ178" s="72">
        <f t="shared" si="70"/>
        <v>175.99999999999991</v>
      </c>
      <c r="AK178" s="72">
        <f t="shared" si="70"/>
        <v>170.66666666666657</v>
      </c>
      <c r="AL178" s="72">
        <f t="shared" si="70"/>
        <v>165.33333333333323</v>
      </c>
      <c r="AM178" s="72">
        <f t="shared" si="70"/>
        <v>159.99999999999989</v>
      </c>
      <c r="AN178" s="72"/>
      <c r="AO178" s="72"/>
      <c r="AP178" s="72"/>
      <c r="AQ178" s="72"/>
      <c r="AR178" s="72"/>
      <c r="AS178" s="72"/>
      <c r="AT178" s="72"/>
      <c r="AU178" s="72"/>
      <c r="AV178" s="72"/>
      <c r="AW178" s="72"/>
      <c r="AX178" s="72"/>
      <c r="AY178" s="72"/>
      <c r="AZ178" s="72"/>
      <c r="BA178" s="72"/>
      <c r="BB178" s="72"/>
      <c r="BC178" s="72"/>
      <c r="BD178" s="72"/>
      <c r="BE178" s="72"/>
      <c r="BF178" s="72"/>
      <c r="BG178" s="72"/>
      <c r="BH178" s="72"/>
    </row>
    <row r="179" spans="2:60">
      <c r="B179" s="171"/>
      <c r="D179" s="72"/>
      <c r="E179" s="72"/>
      <c r="F179" s="72"/>
      <c r="G179" s="72"/>
      <c r="H179" s="72"/>
      <c r="I179" s="72"/>
      <c r="J179" s="72"/>
      <c r="K179" s="72"/>
      <c r="L179" s="72"/>
      <c r="M179" s="72"/>
      <c r="N179" s="72"/>
      <c r="O179" s="73"/>
      <c r="P179" s="72"/>
      <c r="Q179" s="72"/>
      <c r="R179" s="72"/>
      <c r="S179" s="72"/>
      <c r="T179" s="72"/>
      <c r="U179" s="72"/>
      <c r="V179" s="72"/>
      <c r="W179" s="72"/>
      <c r="X179" s="72"/>
      <c r="Y179" s="72"/>
      <c r="Z179" s="72"/>
      <c r="AA179" s="73"/>
      <c r="AB179" s="72"/>
      <c r="AC179" s="72"/>
      <c r="AD179" s="72"/>
      <c r="AE179" s="72"/>
      <c r="AF179" s="72"/>
      <c r="AG179" s="72"/>
      <c r="AH179" s="72"/>
      <c r="AI179" s="72"/>
      <c r="AJ179" s="72"/>
      <c r="AK179" s="72"/>
      <c r="AL179" s="72"/>
      <c r="AM179" s="72"/>
      <c r="AN179" s="72"/>
      <c r="AO179" s="72"/>
      <c r="AP179" s="72"/>
      <c r="AQ179" s="72"/>
      <c r="AR179" s="72"/>
      <c r="AS179" s="72"/>
      <c r="AT179" s="72"/>
      <c r="AU179" s="72"/>
      <c r="AV179" s="72"/>
      <c r="AW179" s="72"/>
      <c r="AX179" s="72"/>
      <c r="AY179" s="72"/>
      <c r="AZ179" s="72"/>
      <c r="BA179" s="72"/>
      <c r="BB179" s="72"/>
      <c r="BC179" s="72"/>
      <c r="BD179" s="72"/>
      <c r="BE179" s="72"/>
      <c r="BF179" s="72"/>
      <c r="BG179" s="72"/>
      <c r="BH179" s="72"/>
    </row>
    <row r="180" spans="2:60">
      <c r="B180" s="18" t="str">
        <f>B69</f>
        <v>Inventory Scanner</v>
      </c>
      <c r="D180" s="72"/>
      <c r="E180" s="72"/>
      <c r="F180" s="72"/>
      <c r="G180" s="72"/>
      <c r="H180" s="72"/>
      <c r="I180" s="72"/>
      <c r="J180" s="72"/>
      <c r="K180" s="72"/>
      <c r="L180" s="72"/>
      <c r="M180" s="72"/>
      <c r="N180" s="72"/>
      <c r="O180" s="73"/>
      <c r="P180" s="72"/>
      <c r="Q180" s="72"/>
      <c r="R180" s="72"/>
      <c r="S180" s="72"/>
      <c r="T180" s="72"/>
      <c r="U180" s="72"/>
      <c r="V180" s="72"/>
      <c r="W180" s="72"/>
      <c r="X180" s="72"/>
      <c r="Y180" s="72"/>
      <c r="Z180" s="72"/>
      <c r="AA180" s="73"/>
      <c r="AB180" s="72"/>
      <c r="AC180" s="72"/>
      <c r="AD180" s="72"/>
      <c r="AE180" s="72"/>
      <c r="AF180" s="72"/>
      <c r="AG180" s="72"/>
      <c r="AH180" s="72"/>
      <c r="AI180" s="72"/>
      <c r="AJ180" s="72"/>
      <c r="AK180" s="72"/>
      <c r="AL180" s="72"/>
      <c r="AM180" s="72"/>
      <c r="AN180" s="72"/>
      <c r="AO180" s="72"/>
      <c r="AP180" s="72"/>
      <c r="AQ180" s="72"/>
      <c r="AR180" s="72"/>
      <c r="AS180" s="72"/>
      <c r="AT180" s="72"/>
      <c r="AU180" s="72"/>
      <c r="AV180" s="72"/>
      <c r="AW180" s="72"/>
      <c r="AX180" s="72"/>
      <c r="AY180" s="72"/>
      <c r="AZ180" s="72"/>
      <c r="BA180" s="72"/>
      <c r="BB180" s="72"/>
      <c r="BC180" s="72"/>
      <c r="BD180" s="72"/>
      <c r="BE180" s="72"/>
      <c r="BF180" s="72"/>
      <c r="BG180" s="72"/>
      <c r="BH180" s="72"/>
    </row>
    <row r="181" spans="2:60">
      <c r="B181" s="166" t="s">
        <v>112</v>
      </c>
      <c r="D181" s="19">
        <v>0</v>
      </c>
      <c r="E181" s="72">
        <f>D185</f>
        <v>587.5</v>
      </c>
      <c r="F181" s="72">
        <f t="shared" ref="F181:AM181" si="71">E185</f>
        <v>575</v>
      </c>
      <c r="G181" s="72">
        <f t="shared" si="71"/>
        <v>562.5</v>
      </c>
      <c r="H181" s="72">
        <f t="shared" si="71"/>
        <v>550</v>
      </c>
      <c r="I181" s="72">
        <f t="shared" si="71"/>
        <v>537.5</v>
      </c>
      <c r="J181" s="72">
        <f t="shared" si="71"/>
        <v>525</v>
      </c>
      <c r="K181" s="72">
        <f t="shared" si="71"/>
        <v>512.5</v>
      </c>
      <c r="L181" s="72">
        <f t="shared" si="71"/>
        <v>500</v>
      </c>
      <c r="M181" s="72">
        <f t="shared" si="71"/>
        <v>487.5</v>
      </c>
      <c r="N181" s="72">
        <f t="shared" si="71"/>
        <v>475</v>
      </c>
      <c r="O181" s="73">
        <f t="shared" si="71"/>
        <v>462.5</v>
      </c>
      <c r="P181" s="72">
        <f t="shared" si="71"/>
        <v>450</v>
      </c>
      <c r="Q181" s="72">
        <f t="shared" si="71"/>
        <v>2200</v>
      </c>
      <c r="R181" s="72">
        <f t="shared" si="71"/>
        <v>2150</v>
      </c>
      <c r="S181" s="72">
        <f t="shared" si="71"/>
        <v>2100</v>
      </c>
      <c r="T181" s="72">
        <f t="shared" si="71"/>
        <v>2050</v>
      </c>
      <c r="U181" s="72">
        <f t="shared" si="71"/>
        <v>2000</v>
      </c>
      <c r="V181" s="72">
        <f t="shared" si="71"/>
        <v>1950</v>
      </c>
      <c r="W181" s="72">
        <f t="shared" si="71"/>
        <v>1900</v>
      </c>
      <c r="X181" s="72">
        <f t="shared" si="71"/>
        <v>1850</v>
      </c>
      <c r="Y181" s="72">
        <f t="shared" si="71"/>
        <v>1800</v>
      </c>
      <c r="Z181" s="72">
        <f t="shared" si="71"/>
        <v>1750</v>
      </c>
      <c r="AA181" s="73">
        <f t="shared" si="71"/>
        <v>1700</v>
      </c>
      <c r="AB181" s="72">
        <f t="shared" si="71"/>
        <v>1650</v>
      </c>
      <c r="AC181" s="72">
        <f t="shared" si="71"/>
        <v>4537.5</v>
      </c>
      <c r="AD181" s="72">
        <f t="shared" si="71"/>
        <v>4425</v>
      </c>
      <c r="AE181" s="72">
        <f t="shared" si="71"/>
        <v>4312.5</v>
      </c>
      <c r="AF181" s="72">
        <f t="shared" si="71"/>
        <v>4200</v>
      </c>
      <c r="AG181" s="72">
        <f t="shared" si="71"/>
        <v>4087.5</v>
      </c>
      <c r="AH181" s="72">
        <f t="shared" si="71"/>
        <v>3975</v>
      </c>
      <c r="AI181" s="72">
        <f t="shared" si="71"/>
        <v>3862.5</v>
      </c>
      <c r="AJ181" s="72">
        <f t="shared" si="71"/>
        <v>3750</v>
      </c>
      <c r="AK181" s="72">
        <f t="shared" si="71"/>
        <v>3637.5</v>
      </c>
      <c r="AL181" s="72">
        <f t="shared" si="71"/>
        <v>3525</v>
      </c>
      <c r="AM181" s="72">
        <f t="shared" si="71"/>
        <v>3412.5</v>
      </c>
      <c r="AN181" s="72"/>
      <c r="AO181" s="72"/>
      <c r="AP181" s="72"/>
      <c r="AQ181" s="72"/>
      <c r="AR181" s="72"/>
      <c r="AS181" s="72"/>
      <c r="AT181" s="72"/>
      <c r="AU181" s="72"/>
      <c r="AV181" s="72"/>
      <c r="AW181" s="72"/>
      <c r="AX181" s="72"/>
      <c r="AY181" s="72"/>
      <c r="AZ181" s="72"/>
      <c r="BA181" s="72"/>
      <c r="BB181" s="72"/>
      <c r="BC181" s="72"/>
      <c r="BD181" s="72"/>
      <c r="BE181" s="72"/>
      <c r="BF181" s="72"/>
      <c r="BG181" s="72"/>
      <c r="BH181" s="72"/>
    </row>
    <row r="182" spans="2:60">
      <c r="B182" s="166" t="s">
        <v>265</v>
      </c>
      <c r="D182" s="72">
        <f>G69</f>
        <v>600</v>
      </c>
      <c r="E182" s="72"/>
      <c r="F182" s="72"/>
      <c r="G182" s="72"/>
      <c r="H182" s="72"/>
      <c r="I182" s="72"/>
      <c r="J182" s="72"/>
      <c r="K182" s="72"/>
      <c r="L182" s="72"/>
      <c r="M182" s="72"/>
      <c r="N182" s="72"/>
      <c r="O182" s="73"/>
      <c r="P182" s="72">
        <f>H69</f>
        <v>1800</v>
      </c>
      <c r="Q182" s="72"/>
      <c r="R182" s="72"/>
      <c r="S182" s="72"/>
      <c r="T182" s="72"/>
      <c r="U182" s="72"/>
      <c r="V182" s="72"/>
      <c r="W182" s="72"/>
      <c r="X182" s="72"/>
      <c r="Y182" s="72"/>
      <c r="Z182" s="72"/>
      <c r="AA182" s="73"/>
      <c r="AB182" s="72">
        <f>I69</f>
        <v>3000</v>
      </c>
      <c r="AC182" s="72"/>
      <c r="AD182" s="72"/>
      <c r="AE182" s="72"/>
      <c r="AF182" s="72"/>
      <c r="AG182" s="72"/>
      <c r="AH182" s="72"/>
      <c r="AI182" s="72"/>
      <c r="AJ182" s="72"/>
      <c r="AK182" s="72"/>
      <c r="AL182" s="72"/>
      <c r="AM182" s="72"/>
      <c r="AN182" s="72"/>
      <c r="AO182" s="72"/>
      <c r="AP182" s="72"/>
      <c r="AQ182" s="72"/>
      <c r="AR182" s="72"/>
      <c r="AS182" s="72"/>
      <c r="AT182" s="72"/>
      <c r="AU182" s="72"/>
      <c r="AV182" s="72"/>
      <c r="AW182" s="72"/>
      <c r="AX182" s="72"/>
      <c r="AY182" s="72"/>
      <c r="AZ182" s="72"/>
      <c r="BA182" s="72"/>
      <c r="BB182" s="72"/>
      <c r="BC182" s="72"/>
      <c r="BD182" s="72"/>
      <c r="BE182" s="72"/>
      <c r="BF182" s="72"/>
      <c r="BG182" s="72"/>
      <c r="BH182" s="72"/>
    </row>
    <row r="183" spans="2:60">
      <c r="B183" s="166" t="s">
        <v>110</v>
      </c>
      <c r="D183" s="72">
        <f>SUM(D181:D182)</f>
        <v>600</v>
      </c>
      <c r="E183" s="72">
        <f t="shared" ref="E183:AM183" si="72">SUM(E181:E182)</f>
        <v>587.5</v>
      </c>
      <c r="F183" s="72">
        <f t="shared" si="72"/>
        <v>575</v>
      </c>
      <c r="G183" s="72">
        <f t="shared" si="72"/>
        <v>562.5</v>
      </c>
      <c r="H183" s="72">
        <f t="shared" si="72"/>
        <v>550</v>
      </c>
      <c r="I183" s="72">
        <f t="shared" si="72"/>
        <v>537.5</v>
      </c>
      <c r="J183" s="72">
        <f t="shared" si="72"/>
        <v>525</v>
      </c>
      <c r="K183" s="72">
        <f t="shared" si="72"/>
        <v>512.5</v>
      </c>
      <c r="L183" s="72">
        <f t="shared" si="72"/>
        <v>500</v>
      </c>
      <c r="M183" s="72">
        <f t="shared" si="72"/>
        <v>487.5</v>
      </c>
      <c r="N183" s="72">
        <f t="shared" si="72"/>
        <v>475</v>
      </c>
      <c r="O183" s="73">
        <f t="shared" si="72"/>
        <v>462.5</v>
      </c>
      <c r="P183" s="72">
        <f t="shared" si="72"/>
        <v>2250</v>
      </c>
      <c r="Q183" s="72">
        <f t="shared" si="72"/>
        <v>2200</v>
      </c>
      <c r="R183" s="72">
        <f t="shared" si="72"/>
        <v>2150</v>
      </c>
      <c r="S183" s="72">
        <f t="shared" si="72"/>
        <v>2100</v>
      </c>
      <c r="T183" s="72">
        <f t="shared" si="72"/>
        <v>2050</v>
      </c>
      <c r="U183" s="72">
        <f t="shared" si="72"/>
        <v>2000</v>
      </c>
      <c r="V183" s="72">
        <f t="shared" si="72"/>
        <v>1950</v>
      </c>
      <c r="W183" s="72">
        <f t="shared" si="72"/>
        <v>1900</v>
      </c>
      <c r="X183" s="72">
        <f t="shared" si="72"/>
        <v>1850</v>
      </c>
      <c r="Y183" s="72">
        <f t="shared" si="72"/>
        <v>1800</v>
      </c>
      <c r="Z183" s="72">
        <f t="shared" si="72"/>
        <v>1750</v>
      </c>
      <c r="AA183" s="73">
        <f t="shared" si="72"/>
        <v>1700</v>
      </c>
      <c r="AB183" s="72">
        <f t="shared" si="72"/>
        <v>4650</v>
      </c>
      <c r="AC183" s="72">
        <f t="shared" si="72"/>
        <v>4537.5</v>
      </c>
      <c r="AD183" s="72">
        <f t="shared" si="72"/>
        <v>4425</v>
      </c>
      <c r="AE183" s="72">
        <f t="shared" si="72"/>
        <v>4312.5</v>
      </c>
      <c r="AF183" s="72">
        <f t="shared" si="72"/>
        <v>4200</v>
      </c>
      <c r="AG183" s="72">
        <f t="shared" si="72"/>
        <v>4087.5</v>
      </c>
      <c r="AH183" s="72">
        <f t="shared" si="72"/>
        <v>3975</v>
      </c>
      <c r="AI183" s="72">
        <f t="shared" si="72"/>
        <v>3862.5</v>
      </c>
      <c r="AJ183" s="72">
        <f t="shared" si="72"/>
        <v>3750</v>
      </c>
      <c r="AK183" s="72">
        <f t="shared" si="72"/>
        <v>3637.5</v>
      </c>
      <c r="AL183" s="72">
        <f t="shared" si="72"/>
        <v>3525</v>
      </c>
      <c r="AM183" s="72">
        <f t="shared" si="72"/>
        <v>3412.5</v>
      </c>
      <c r="AN183" s="72"/>
      <c r="AO183" s="72"/>
      <c r="AP183" s="72"/>
      <c r="AQ183" s="72"/>
      <c r="AR183" s="72"/>
      <c r="AS183" s="72"/>
      <c r="AT183" s="72"/>
      <c r="AU183" s="72"/>
      <c r="AV183" s="72"/>
      <c r="AW183" s="72"/>
      <c r="AX183" s="72"/>
      <c r="AY183" s="72"/>
      <c r="AZ183" s="72"/>
      <c r="BA183" s="72"/>
      <c r="BB183" s="72"/>
      <c r="BC183" s="72"/>
      <c r="BD183" s="72"/>
      <c r="BE183" s="72"/>
      <c r="BF183" s="72"/>
      <c r="BG183" s="72"/>
      <c r="BH183" s="72"/>
    </row>
    <row r="184" spans="2:60">
      <c r="B184" s="166" t="s">
        <v>57</v>
      </c>
      <c r="D184" s="72">
        <f t="shared" ref="D184:O184" si="73">-$D$182/$J$69/12</f>
        <v>-12.5</v>
      </c>
      <c r="E184" s="72">
        <f t="shared" si="73"/>
        <v>-12.5</v>
      </c>
      <c r="F184" s="72">
        <f t="shared" si="73"/>
        <v>-12.5</v>
      </c>
      <c r="G184" s="72">
        <f t="shared" si="73"/>
        <v>-12.5</v>
      </c>
      <c r="H184" s="72">
        <f t="shared" si="73"/>
        <v>-12.5</v>
      </c>
      <c r="I184" s="72">
        <f t="shared" si="73"/>
        <v>-12.5</v>
      </c>
      <c r="J184" s="72">
        <f t="shared" si="73"/>
        <v>-12.5</v>
      </c>
      <c r="K184" s="72">
        <f t="shared" si="73"/>
        <v>-12.5</v>
      </c>
      <c r="L184" s="72">
        <f t="shared" si="73"/>
        <v>-12.5</v>
      </c>
      <c r="M184" s="72">
        <f t="shared" si="73"/>
        <v>-12.5</v>
      </c>
      <c r="N184" s="72">
        <f t="shared" si="73"/>
        <v>-12.5</v>
      </c>
      <c r="O184" s="72">
        <f t="shared" si="73"/>
        <v>-12.5</v>
      </c>
      <c r="P184" s="72">
        <f t="shared" ref="P184:AA184" si="74">(-$D$182/$J$69/12)-($P$182/$J$69/12)</f>
        <v>-50</v>
      </c>
      <c r="Q184" s="72">
        <f t="shared" si="74"/>
        <v>-50</v>
      </c>
      <c r="R184" s="72">
        <f t="shared" si="74"/>
        <v>-50</v>
      </c>
      <c r="S184" s="72">
        <f t="shared" si="74"/>
        <v>-50</v>
      </c>
      <c r="T184" s="72">
        <f t="shared" si="74"/>
        <v>-50</v>
      </c>
      <c r="U184" s="72">
        <f t="shared" si="74"/>
        <v>-50</v>
      </c>
      <c r="V184" s="72">
        <f t="shared" si="74"/>
        <v>-50</v>
      </c>
      <c r="W184" s="72">
        <f t="shared" si="74"/>
        <v>-50</v>
      </c>
      <c r="X184" s="72">
        <f t="shared" si="74"/>
        <v>-50</v>
      </c>
      <c r="Y184" s="72">
        <f t="shared" si="74"/>
        <v>-50</v>
      </c>
      <c r="Z184" s="72">
        <f t="shared" si="74"/>
        <v>-50</v>
      </c>
      <c r="AA184" s="72">
        <f t="shared" si="74"/>
        <v>-50</v>
      </c>
      <c r="AB184" s="72">
        <f t="shared" ref="AB184:AM184" si="75">(-$D$182/$J$69/12)-($P$182/$J$69/12)-($I$69/$J$69/12)</f>
        <v>-112.5</v>
      </c>
      <c r="AC184" s="72">
        <f t="shared" si="75"/>
        <v>-112.5</v>
      </c>
      <c r="AD184" s="72">
        <f t="shared" si="75"/>
        <v>-112.5</v>
      </c>
      <c r="AE184" s="72">
        <f t="shared" si="75"/>
        <v>-112.5</v>
      </c>
      <c r="AF184" s="72">
        <f t="shared" si="75"/>
        <v>-112.5</v>
      </c>
      <c r="AG184" s="72">
        <f t="shared" si="75"/>
        <v>-112.5</v>
      </c>
      <c r="AH184" s="72">
        <f t="shared" si="75"/>
        <v>-112.5</v>
      </c>
      <c r="AI184" s="72">
        <f t="shared" si="75"/>
        <v>-112.5</v>
      </c>
      <c r="AJ184" s="72">
        <f t="shared" si="75"/>
        <v>-112.5</v>
      </c>
      <c r="AK184" s="72">
        <f t="shared" si="75"/>
        <v>-112.5</v>
      </c>
      <c r="AL184" s="72">
        <f t="shared" si="75"/>
        <v>-112.5</v>
      </c>
      <c r="AM184" s="72">
        <f t="shared" si="75"/>
        <v>-112.5</v>
      </c>
      <c r="AN184" s="72"/>
      <c r="AO184" s="72"/>
      <c r="AP184" s="72"/>
      <c r="AQ184" s="72"/>
      <c r="AR184" s="72"/>
      <c r="AS184" s="72"/>
      <c r="AT184" s="72"/>
      <c r="AU184" s="72"/>
      <c r="AV184" s="72"/>
      <c r="AW184" s="72"/>
      <c r="AX184" s="72"/>
      <c r="AY184" s="72"/>
      <c r="AZ184" s="72"/>
      <c r="BA184" s="72"/>
      <c r="BB184" s="72"/>
      <c r="BC184" s="72"/>
      <c r="BD184" s="72"/>
      <c r="BE184" s="72"/>
      <c r="BF184" s="72"/>
      <c r="BG184" s="72"/>
      <c r="BH184" s="72"/>
    </row>
    <row r="185" spans="2:60">
      <c r="B185" s="167" t="s">
        <v>255</v>
      </c>
      <c r="C185" s="168"/>
      <c r="D185" s="72">
        <f>SUM(D183:D184)</f>
        <v>587.5</v>
      </c>
      <c r="E185" s="72">
        <f t="shared" ref="E185:AM185" si="76">SUM(E183:E184)</f>
        <v>575</v>
      </c>
      <c r="F185" s="72">
        <f t="shared" si="76"/>
        <v>562.5</v>
      </c>
      <c r="G185" s="72">
        <f t="shared" si="76"/>
        <v>550</v>
      </c>
      <c r="H185" s="72">
        <f t="shared" si="76"/>
        <v>537.5</v>
      </c>
      <c r="I185" s="72">
        <f t="shared" si="76"/>
        <v>525</v>
      </c>
      <c r="J185" s="72">
        <f t="shared" si="76"/>
        <v>512.5</v>
      </c>
      <c r="K185" s="72">
        <f t="shared" si="76"/>
        <v>500</v>
      </c>
      <c r="L185" s="72">
        <f t="shared" si="76"/>
        <v>487.5</v>
      </c>
      <c r="M185" s="72">
        <f t="shared" si="76"/>
        <v>475</v>
      </c>
      <c r="N185" s="72">
        <f t="shared" si="76"/>
        <v>462.5</v>
      </c>
      <c r="O185" s="73">
        <f t="shared" si="76"/>
        <v>450</v>
      </c>
      <c r="P185" s="72">
        <f t="shared" si="76"/>
        <v>2200</v>
      </c>
      <c r="Q185" s="72">
        <f t="shared" si="76"/>
        <v>2150</v>
      </c>
      <c r="R185" s="72">
        <f t="shared" si="76"/>
        <v>2100</v>
      </c>
      <c r="S185" s="72">
        <f t="shared" si="76"/>
        <v>2050</v>
      </c>
      <c r="T185" s="72">
        <f t="shared" si="76"/>
        <v>2000</v>
      </c>
      <c r="U185" s="72">
        <f t="shared" si="76"/>
        <v>1950</v>
      </c>
      <c r="V185" s="72">
        <f t="shared" si="76"/>
        <v>1900</v>
      </c>
      <c r="W185" s="72">
        <f t="shared" si="76"/>
        <v>1850</v>
      </c>
      <c r="X185" s="72">
        <f t="shared" si="76"/>
        <v>1800</v>
      </c>
      <c r="Y185" s="72">
        <f t="shared" si="76"/>
        <v>1750</v>
      </c>
      <c r="Z185" s="72">
        <f t="shared" si="76"/>
        <v>1700</v>
      </c>
      <c r="AA185" s="73">
        <f t="shared" si="76"/>
        <v>1650</v>
      </c>
      <c r="AB185" s="72">
        <f t="shared" si="76"/>
        <v>4537.5</v>
      </c>
      <c r="AC185" s="72">
        <f t="shared" si="76"/>
        <v>4425</v>
      </c>
      <c r="AD185" s="72">
        <f t="shared" si="76"/>
        <v>4312.5</v>
      </c>
      <c r="AE185" s="72">
        <f t="shared" si="76"/>
        <v>4200</v>
      </c>
      <c r="AF185" s="72">
        <f t="shared" si="76"/>
        <v>4087.5</v>
      </c>
      <c r="AG185" s="72">
        <f t="shared" si="76"/>
        <v>3975</v>
      </c>
      <c r="AH185" s="72">
        <f t="shared" si="76"/>
        <v>3862.5</v>
      </c>
      <c r="AI185" s="72">
        <f t="shared" si="76"/>
        <v>3750</v>
      </c>
      <c r="AJ185" s="72">
        <f t="shared" si="76"/>
        <v>3637.5</v>
      </c>
      <c r="AK185" s="72">
        <f t="shared" si="76"/>
        <v>3525</v>
      </c>
      <c r="AL185" s="72">
        <f t="shared" si="76"/>
        <v>3412.5</v>
      </c>
      <c r="AM185" s="72">
        <f t="shared" si="76"/>
        <v>3300</v>
      </c>
      <c r="AN185" s="72"/>
      <c r="AO185" s="72"/>
      <c r="AP185" s="72"/>
      <c r="AQ185" s="72"/>
      <c r="AR185" s="72"/>
      <c r="AS185" s="72"/>
      <c r="AT185" s="72"/>
      <c r="AU185" s="72"/>
      <c r="AV185" s="72"/>
      <c r="AW185" s="72"/>
      <c r="AX185" s="72"/>
      <c r="AY185" s="72"/>
      <c r="AZ185" s="72"/>
      <c r="BA185" s="72"/>
      <c r="BB185" s="72"/>
      <c r="BC185" s="72"/>
      <c r="BD185" s="72"/>
      <c r="BE185" s="72"/>
      <c r="BF185" s="72"/>
      <c r="BG185" s="72"/>
      <c r="BH185" s="72"/>
    </row>
    <row r="186" spans="2:60">
      <c r="B186" s="171"/>
      <c r="D186" s="72"/>
      <c r="E186" s="72"/>
      <c r="F186" s="72"/>
      <c r="G186" s="72"/>
      <c r="H186" s="72"/>
      <c r="I186" s="72"/>
      <c r="J186" s="72"/>
      <c r="K186" s="72"/>
      <c r="L186" s="72"/>
      <c r="M186" s="72"/>
      <c r="N186" s="72"/>
      <c r="O186" s="73"/>
      <c r="P186" s="72"/>
      <c r="Q186" s="72"/>
      <c r="R186" s="72"/>
      <c r="S186" s="72"/>
      <c r="T186" s="72"/>
      <c r="U186" s="72"/>
      <c r="V186" s="72"/>
      <c r="W186" s="72"/>
      <c r="X186" s="72"/>
      <c r="Y186" s="72"/>
      <c r="Z186" s="72"/>
      <c r="AA186" s="73"/>
      <c r="AB186" s="72"/>
      <c r="AC186" s="72"/>
      <c r="AD186" s="72"/>
      <c r="AE186" s="72"/>
      <c r="AF186" s="72"/>
      <c r="AG186" s="72"/>
      <c r="AH186" s="72"/>
      <c r="AI186" s="72"/>
      <c r="AJ186" s="72"/>
      <c r="AK186" s="72"/>
      <c r="AL186" s="72"/>
      <c r="AM186" s="72"/>
      <c r="AN186" s="72"/>
      <c r="AO186" s="72"/>
      <c r="AP186" s="72"/>
      <c r="AQ186" s="72"/>
      <c r="AR186" s="72"/>
      <c r="AS186" s="72"/>
      <c r="AT186" s="72"/>
      <c r="AU186" s="72"/>
      <c r="AV186" s="72"/>
      <c r="AW186" s="72"/>
      <c r="AX186" s="72"/>
      <c r="AY186" s="72"/>
      <c r="AZ186" s="72"/>
      <c r="BA186" s="72"/>
      <c r="BB186" s="72"/>
      <c r="BC186" s="72"/>
      <c r="BD186" s="72"/>
      <c r="BE186" s="72"/>
      <c r="BF186" s="72"/>
      <c r="BG186" s="72"/>
      <c r="BH186" s="72"/>
    </row>
    <row r="187" spans="2:60">
      <c r="B187" s="18" t="str">
        <f>B70</f>
        <v>Additive Manufacturing Printer</v>
      </c>
      <c r="D187" s="72"/>
      <c r="E187" s="72"/>
      <c r="F187" s="72"/>
      <c r="G187" s="72"/>
      <c r="H187" s="72"/>
      <c r="I187" s="72"/>
      <c r="J187" s="72"/>
      <c r="K187" s="72"/>
      <c r="L187" s="72"/>
      <c r="M187" s="72"/>
      <c r="N187" s="72"/>
      <c r="O187" s="73"/>
      <c r="P187" s="72"/>
      <c r="Q187" s="72"/>
      <c r="R187" s="72"/>
      <c r="S187" s="72"/>
      <c r="T187" s="72"/>
      <c r="U187" s="72"/>
      <c r="V187" s="72"/>
      <c r="W187" s="72"/>
      <c r="X187" s="72"/>
      <c r="Y187" s="72"/>
      <c r="Z187" s="72"/>
      <c r="AA187" s="73"/>
      <c r="AB187" s="72"/>
      <c r="AC187" s="72"/>
      <c r="AD187" s="72"/>
      <c r="AE187" s="72"/>
      <c r="AF187" s="72"/>
      <c r="AG187" s="72"/>
      <c r="AH187" s="72"/>
      <c r="AI187" s="72"/>
      <c r="AJ187" s="72"/>
      <c r="AK187" s="72"/>
      <c r="AL187" s="72"/>
      <c r="AM187" s="72"/>
      <c r="AN187" s="72"/>
      <c r="AO187" s="72"/>
      <c r="AP187" s="72"/>
      <c r="AQ187" s="72"/>
      <c r="AR187" s="72"/>
      <c r="AS187" s="72"/>
      <c r="AT187" s="72"/>
      <c r="AU187" s="72"/>
      <c r="AV187" s="72"/>
      <c r="AW187" s="72"/>
      <c r="AX187" s="72"/>
      <c r="AY187" s="72"/>
      <c r="AZ187" s="72"/>
      <c r="BA187" s="72"/>
      <c r="BB187" s="72"/>
      <c r="BC187" s="72"/>
      <c r="BD187" s="72"/>
      <c r="BE187" s="72"/>
      <c r="BF187" s="72"/>
      <c r="BG187" s="72"/>
      <c r="BH187" s="72"/>
    </row>
    <row r="188" spans="2:60">
      <c r="B188" s="166" t="s">
        <v>112</v>
      </c>
      <c r="D188" s="19">
        <v>0</v>
      </c>
      <c r="E188" s="72">
        <f>D192</f>
        <v>29000</v>
      </c>
      <c r="F188" s="72">
        <f t="shared" ref="F188:AM188" si="77">E192</f>
        <v>28000</v>
      </c>
      <c r="G188" s="72">
        <f t="shared" si="77"/>
        <v>27000</v>
      </c>
      <c r="H188" s="72">
        <f t="shared" si="77"/>
        <v>26000</v>
      </c>
      <c r="I188" s="72">
        <f t="shared" si="77"/>
        <v>25000</v>
      </c>
      <c r="J188" s="72">
        <f t="shared" si="77"/>
        <v>24000</v>
      </c>
      <c r="K188" s="72">
        <f t="shared" si="77"/>
        <v>23000</v>
      </c>
      <c r="L188" s="72">
        <f t="shared" si="77"/>
        <v>22000</v>
      </c>
      <c r="M188" s="72">
        <f t="shared" si="77"/>
        <v>21000</v>
      </c>
      <c r="N188" s="72">
        <f t="shared" si="77"/>
        <v>20000</v>
      </c>
      <c r="O188" s="73">
        <f t="shared" si="77"/>
        <v>19000</v>
      </c>
      <c r="P188" s="72">
        <f t="shared" si="77"/>
        <v>18000</v>
      </c>
      <c r="Q188" s="72">
        <f t="shared" si="77"/>
        <v>46000</v>
      </c>
      <c r="R188" s="72">
        <f t="shared" si="77"/>
        <v>44000</v>
      </c>
      <c r="S188" s="72">
        <f t="shared" si="77"/>
        <v>42000</v>
      </c>
      <c r="T188" s="72">
        <f t="shared" si="77"/>
        <v>40000</v>
      </c>
      <c r="U188" s="72">
        <f t="shared" si="77"/>
        <v>38000</v>
      </c>
      <c r="V188" s="72">
        <f t="shared" si="77"/>
        <v>36000</v>
      </c>
      <c r="W188" s="72">
        <f t="shared" si="77"/>
        <v>34000</v>
      </c>
      <c r="X188" s="72">
        <f t="shared" si="77"/>
        <v>32000</v>
      </c>
      <c r="Y188" s="72">
        <f t="shared" si="77"/>
        <v>30000</v>
      </c>
      <c r="Z188" s="72">
        <f t="shared" si="77"/>
        <v>28000</v>
      </c>
      <c r="AA188" s="73">
        <f t="shared" si="77"/>
        <v>26000</v>
      </c>
      <c r="AB188" s="72">
        <f t="shared" si="77"/>
        <v>24000</v>
      </c>
      <c r="AC188" s="72">
        <f t="shared" si="77"/>
        <v>80000</v>
      </c>
      <c r="AD188" s="72">
        <f t="shared" si="77"/>
        <v>76000</v>
      </c>
      <c r="AE188" s="72">
        <f t="shared" si="77"/>
        <v>72000</v>
      </c>
      <c r="AF188" s="72">
        <f t="shared" si="77"/>
        <v>68000</v>
      </c>
      <c r="AG188" s="72">
        <f t="shared" si="77"/>
        <v>64000</v>
      </c>
      <c r="AH188" s="72">
        <f t="shared" si="77"/>
        <v>60000</v>
      </c>
      <c r="AI188" s="72">
        <f t="shared" si="77"/>
        <v>56000</v>
      </c>
      <c r="AJ188" s="72">
        <f t="shared" si="77"/>
        <v>52000</v>
      </c>
      <c r="AK188" s="72">
        <f t="shared" si="77"/>
        <v>48000</v>
      </c>
      <c r="AL188" s="72">
        <f t="shared" si="77"/>
        <v>44000</v>
      </c>
      <c r="AM188" s="72">
        <f t="shared" si="77"/>
        <v>40000</v>
      </c>
      <c r="AN188" s="72"/>
      <c r="AO188" s="72"/>
      <c r="AP188" s="72"/>
      <c r="AQ188" s="72"/>
      <c r="AR188" s="72"/>
      <c r="AS188" s="72"/>
      <c r="AT188" s="72"/>
      <c r="AU188" s="72"/>
      <c r="AV188" s="72"/>
      <c r="AW188" s="72"/>
      <c r="AX188" s="72"/>
      <c r="AY188" s="72"/>
      <c r="AZ188" s="72"/>
      <c r="BA188" s="72"/>
      <c r="BB188" s="72"/>
      <c r="BC188" s="72"/>
      <c r="BD188" s="72"/>
      <c r="BE188" s="72"/>
      <c r="BF188" s="72"/>
      <c r="BG188" s="72"/>
      <c r="BH188" s="72"/>
    </row>
    <row r="189" spans="2:60">
      <c r="B189" s="166" t="s">
        <v>265</v>
      </c>
      <c r="D189" s="72">
        <f>G70</f>
        <v>30000</v>
      </c>
      <c r="E189" s="72"/>
      <c r="F189" s="72"/>
      <c r="G189" s="72"/>
      <c r="H189" s="72"/>
      <c r="I189" s="72"/>
      <c r="J189" s="72"/>
      <c r="K189" s="72"/>
      <c r="L189" s="72"/>
      <c r="M189" s="72"/>
      <c r="N189" s="72"/>
      <c r="O189" s="73"/>
      <c r="P189" s="72">
        <f>H70</f>
        <v>30000</v>
      </c>
      <c r="Q189" s="72"/>
      <c r="R189" s="72"/>
      <c r="S189" s="72"/>
      <c r="T189" s="72"/>
      <c r="U189" s="72"/>
      <c r="V189" s="72"/>
      <c r="W189" s="72"/>
      <c r="X189" s="72"/>
      <c r="Y189" s="72"/>
      <c r="Z189" s="72"/>
      <c r="AA189" s="73"/>
      <c r="AB189" s="72">
        <f>$I$70</f>
        <v>60000</v>
      </c>
      <c r="AC189" s="72"/>
      <c r="AD189" s="72"/>
      <c r="AE189" s="72"/>
      <c r="AF189" s="72"/>
      <c r="AG189" s="72"/>
      <c r="AH189" s="72"/>
      <c r="AI189" s="72"/>
      <c r="AJ189" s="72"/>
      <c r="AK189" s="72"/>
      <c r="AL189" s="72"/>
      <c r="AM189" s="72"/>
      <c r="AN189" s="72"/>
      <c r="AO189" s="72"/>
      <c r="AP189" s="72"/>
      <c r="AQ189" s="72"/>
      <c r="AR189" s="72"/>
      <c r="AS189" s="72"/>
      <c r="AT189" s="72"/>
      <c r="AU189" s="72"/>
      <c r="AV189" s="72"/>
      <c r="AW189" s="72"/>
      <c r="AX189" s="72"/>
      <c r="AY189" s="72"/>
      <c r="AZ189" s="72"/>
      <c r="BA189" s="72"/>
      <c r="BB189" s="72"/>
      <c r="BC189" s="72"/>
      <c r="BD189" s="72"/>
      <c r="BE189" s="72"/>
      <c r="BF189" s="72"/>
      <c r="BG189" s="72"/>
      <c r="BH189" s="72"/>
    </row>
    <row r="190" spans="2:60">
      <c r="B190" s="166" t="s">
        <v>110</v>
      </c>
      <c r="D190" s="72">
        <f>SUM(D188:D189)</f>
        <v>30000</v>
      </c>
      <c r="E190" s="72">
        <f t="shared" ref="E190:AM190" si="78">SUM(E188:E189)</f>
        <v>29000</v>
      </c>
      <c r="F190" s="72">
        <f t="shared" si="78"/>
        <v>28000</v>
      </c>
      <c r="G190" s="72">
        <f t="shared" si="78"/>
        <v>27000</v>
      </c>
      <c r="H190" s="72">
        <f t="shared" si="78"/>
        <v>26000</v>
      </c>
      <c r="I190" s="72">
        <f t="shared" si="78"/>
        <v>25000</v>
      </c>
      <c r="J190" s="72">
        <f t="shared" si="78"/>
        <v>24000</v>
      </c>
      <c r="K190" s="72">
        <f t="shared" si="78"/>
        <v>23000</v>
      </c>
      <c r="L190" s="72">
        <f t="shared" si="78"/>
        <v>22000</v>
      </c>
      <c r="M190" s="72">
        <f t="shared" si="78"/>
        <v>21000</v>
      </c>
      <c r="N190" s="72">
        <f t="shared" si="78"/>
        <v>20000</v>
      </c>
      <c r="O190" s="73">
        <f t="shared" si="78"/>
        <v>19000</v>
      </c>
      <c r="P190" s="72">
        <f t="shared" si="78"/>
        <v>48000</v>
      </c>
      <c r="Q190" s="72">
        <f t="shared" si="78"/>
        <v>46000</v>
      </c>
      <c r="R190" s="72">
        <f t="shared" si="78"/>
        <v>44000</v>
      </c>
      <c r="S190" s="72">
        <f t="shared" si="78"/>
        <v>42000</v>
      </c>
      <c r="T190" s="72">
        <f t="shared" si="78"/>
        <v>40000</v>
      </c>
      <c r="U190" s="72">
        <f t="shared" si="78"/>
        <v>38000</v>
      </c>
      <c r="V190" s="72">
        <f t="shared" si="78"/>
        <v>36000</v>
      </c>
      <c r="W190" s="72">
        <f t="shared" si="78"/>
        <v>34000</v>
      </c>
      <c r="X190" s="72">
        <f t="shared" si="78"/>
        <v>32000</v>
      </c>
      <c r="Y190" s="72">
        <f t="shared" si="78"/>
        <v>30000</v>
      </c>
      <c r="Z190" s="72">
        <f t="shared" si="78"/>
        <v>28000</v>
      </c>
      <c r="AA190" s="73">
        <f t="shared" si="78"/>
        <v>26000</v>
      </c>
      <c r="AB190" s="72">
        <f>SUM(AB188:AB189)</f>
        <v>84000</v>
      </c>
      <c r="AC190" s="72">
        <f t="shared" si="78"/>
        <v>80000</v>
      </c>
      <c r="AD190" s="72">
        <f t="shared" si="78"/>
        <v>76000</v>
      </c>
      <c r="AE190" s="72">
        <f t="shared" si="78"/>
        <v>72000</v>
      </c>
      <c r="AF190" s="72">
        <f t="shared" si="78"/>
        <v>68000</v>
      </c>
      <c r="AG190" s="72">
        <f t="shared" si="78"/>
        <v>64000</v>
      </c>
      <c r="AH190" s="72">
        <f t="shared" si="78"/>
        <v>60000</v>
      </c>
      <c r="AI190" s="72">
        <f t="shared" si="78"/>
        <v>56000</v>
      </c>
      <c r="AJ190" s="72">
        <f t="shared" si="78"/>
        <v>52000</v>
      </c>
      <c r="AK190" s="72">
        <f t="shared" si="78"/>
        <v>48000</v>
      </c>
      <c r="AL190" s="72">
        <f t="shared" si="78"/>
        <v>44000</v>
      </c>
      <c r="AM190" s="72">
        <f t="shared" si="78"/>
        <v>40000</v>
      </c>
      <c r="AN190" s="72"/>
      <c r="AO190" s="72"/>
      <c r="AP190" s="72"/>
      <c r="AQ190" s="72"/>
      <c r="AR190" s="72"/>
      <c r="AS190" s="72"/>
      <c r="AT190" s="72"/>
      <c r="AU190" s="72"/>
      <c r="AV190" s="72"/>
      <c r="AW190" s="72"/>
      <c r="AX190" s="72"/>
      <c r="AY190" s="72"/>
      <c r="AZ190" s="72"/>
      <c r="BA190" s="72"/>
      <c r="BB190" s="72"/>
      <c r="BC190" s="72"/>
      <c r="BD190" s="72"/>
      <c r="BE190" s="72"/>
      <c r="BF190" s="72"/>
      <c r="BG190" s="72"/>
      <c r="BH190" s="72"/>
    </row>
    <row r="191" spans="2:60">
      <c r="B191" s="166" t="s">
        <v>57</v>
      </c>
      <c r="D191" s="72">
        <f t="shared" ref="D191:O191" si="79">(-$D$189*$L$70/12)</f>
        <v>-1000</v>
      </c>
      <c r="E191" s="72">
        <f t="shared" si="79"/>
        <v>-1000</v>
      </c>
      <c r="F191" s="72">
        <f t="shared" si="79"/>
        <v>-1000</v>
      </c>
      <c r="G191" s="72">
        <f t="shared" si="79"/>
        <v>-1000</v>
      </c>
      <c r="H191" s="72">
        <f t="shared" si="79"/>
        <v>-1000</v>
      </c>
      <c r="I191" s="72">
        <f t="shared" si="79"/>
        <v>-1000</v>
      </c>
      <c r="J191" s="72">
        <f t="shared" si="79"/>
        <v>-1000</v>
      </c>
      <c r="K191" s="72">
        <f t="shared" si="79"/>
        <v>-1000</v>
      </c>
      <c r="L191" s="72">
        <f t="shared" si="79"/>
        <v>-1000</v>
      </c>
      <c r="M191" s="72">
        <f t="shared" si="79"/>
        <v>-1000</v>
      </c>
      <c r="N191" s="72">
        <f t="shared" si="79"/>
        <v>-1000</v>
      </c>
      <c r="O191" s="72">
        <f t="shared" si="79"/>
        <v>-1000</v>
      </c>
      <c r="P191" s="72">
        <f t="shared" ref="P191:AA191" si="80">(-$D$189*$L$70/12)-($H$70*$L$70/12)</f>
        <v>-2000</v>
      </c>
      <c r="Q191" s="72">
        <f t="shared" si="80"/>
        <v>-2000</v>
      </c>
      <c r="R191" s="72">
        <f t="shared" si="80"/>
        <v>-2000</v>
      </c>
      <c r="S191" s="72">
        <f t="shared" si="80"/>
        <v>-2000</v>
      </c>
      <c r="T191" s="72">
        <f t="shared" si="80"/>
        <v>-2000</v>
      </c>
      <c r="U191" s="72">
        <f t="shared" si="80"/>
        <v>-2000</v>
      </c>
      <c r="V191" s="72">
        <f t="shared" si="80"/>
        <v>-2000</v>
      </c>
      <c r="W191" s="72">
        <f t="shared" si="80"/>
        <v>-2000</v>
      </c>
      <c r="X191" s="72">
        <f t="shared" si="80"/>
        <v>-2000</v>
      </c>
      <c r="Y191" s="72">
        <f t="shared" si="80"/>
        <v>-2000</v>
      </c>
      <c r="Z191" s="72">
        <f t="shared" si="80"/>
        <v>-2000</v>
      </c>
      <c r="AA191" s="72">
        <f t="shared" si="80"/>
        <v>-2000</v>
      </c>
      <c r="AB191" s="72">
        <f>(-$D$189*$L$70/12)-($H$70*$L$70/12)-($I$70*$L$70/12)</f>
        <v>-4000</v>
      </c>
      <c r="AC191" s="72">
        <f t="shared" ref="AC191:AM191" si="81">(-$D$189*$L$70/12)-($H$70*$L$70/12)-($I$70*$L$70/12)</f>
        <v>-4000</v>
      </c>
      <c r="AD191" s="72">
        <f t="shared" si="81"/>
        <v>-4000</v>
      </c>
      <c r="AE191" s="72">
        <f t="shared" si="81"/>
        <v>-4000</v>
      </c>
      <c r="AF191" s="72">
        <f t="shared" si="81"/>
        <v>-4000</v>
      </c>
      <c r="AG191" s="72">
        <f t="shared" si="81"/>
        <v>-4000</v>
      </c>
      <c r="AH191" s="72">
        <f t="shared" si="81"/>
        <v>-4000</v>
      </c>
      <c r="AI191" s="72">
        <f t="shared" si="81"/>
        <v>-4000</v>
      </c>
      <c r="AJ191" s="72">
        <f t="shared" si="81"/>
        <v>-4000</v>
      </c>
      <c r="AK191" s="72">
        <f t="shared" si="81"/>
        <v>-4000</v>
      </c>
      <c r="AL191" s="72">
        <f t="shared" si="81"/>
        <v>-4000</v>
      </c>
      <c r="AM191" s="72">
        <f t="shared" si="81"/>
        <v>-4000</v>
      </c>
      <c r="AN191" s="72"/>
      <c r="AO191" s="72"/>
      <c r="AP191" s="72"/>
      <c r="AQ191" s="72"/>
      <c r="AR191" s="72"/>
      <c r="AS191" s="72"/>
      <c r="AT191" s="72"/>
      <c r="AU191" s="72"/>
      <c r="AV191" s="72"/>
      <c r="AW191" s="72"/>
      <c r="AX191" s="72"/>
      <c r="AY191" s="72"/>
      <c r="AZ191" s="72"/>
      <c r="BA191" s="72"/>
      <c r="BB191" s="72"/>
      <c r="BC191" s="72"/>
      <c r="BD191" s="72"/>
      <c r="BE191" s="72"/>
      <c r="BF191" s="72"/>
      <c r="BG191" s="72"/>
      <c r="BH191" s="72"/>
    </row>
    <row r="192" spans="2:60">
      <c r="B192" s="167" t="s">
        <v>255</v>
      </c>
      <c r="C192" s="168"/>
      <c r="D192" s="72">
        <f>SUM(D190:D191)</f>
        <v>29000</v>
      </c>
      <c r="E192" s="72">
        <f t="shared" ref="E192:AM192" si="82">SUM(E190:E191)</f>
        <v>28000</v>
      </c>
      <c r="F192" s="72">
        <f t="shared" si="82"/>
        <v>27000</v>
      </c>
      <c r="G192" s="72">
        <f t="shared" si="82"/>
        <v>26000</v>
      </c>
      <c r="H192" s="72">
        <f t="shared" si="82"/>
        <v>25000</v>
      </c>
      <c r="I192" s="72">
        <f t="shared" si="82"/>
        <v>24000</v>
      </c>
      <c r="J192" s="72">
        <f t="shared" si="82"/>
        <v>23000</v>
      </c>
      <c r="K192" s="72">
        <f t="shared" si="82"/>
        <v>22000</v>
      </c>
      <c r="L192" s="72">
        <f t="shared" si="82"/>
        <v>21000</v>
      </c>
      <c r="M192" s="72">
        <f t="shared" si="82"/>
        <v>20000</v>
      </c>
      <c r="N192" s="72">
        <f t="shared" si="82"/>
        <v>19000</v>
      </c>
      <c r="O192" s="73">
        <f t="shared" si="82"/>
        <v>18000</v>
      </c>
      <c r="P192" s="72">
        <f t="shared" si="82"/>
        <v>46000</v>
      </c>
      <c r="Q192" s="72">
        <f t="shared" si="82"/>
        <v>44000</v>
      </c>
      <c r="R192" s="72">
        <f t="shared" si="82"/>
        <v>42000</v>
      </c>
      <c r="S192" s="72">
        <f t="shared" si="82"/>
        <v>40000</v>
      </c>
      <c r="T192" s="72">
        <f t="shared" si="82"/>
        <v>38000</v>
      </c>
      <c r="U192" s="72">
        <f t="shared" si="82"/>
        <v>36000</v>
      </c>
      <c r="V192" s="72">
        <f t="shared" si="82"/>
        <v>34000</v>
      </c>
      <c r="W192" s="72">
        <f t="shared" si="82"/>
        <v>32000</v>
      </c>
      <c r="X192" s="72">
        <f t="shared" si="82"/>
        <v>30000</v>
      </c>
      <c r="Y192" s="72">
        <f t="shared" si="82"/>
        <v>28000</v>
      </c>
      <c r="Z192" s="72">
        <f t="shared" si="82"/>
        <v>26000</v>
      </c>
      <c r="AA192" s="73">
        <f t="shared" si="82"/>
        <v>24000</v>
      </c>
      <c r="AB192" s="72">
        <f t="shared" si="82"/>
        <v>80000</v>
      </c>
      <c r="AC192" s="72">
        <f t="shared" si="82"/>
        <v>76000</v>
      </c>
      <c r="AD192" s="72">
        <f t="shared" si="82"/>
        <v>72000</v>
      </c>
      <c r="AE192" s="72">
        <f t="shared" si="82"/>
        <v>68000</v>
      </c>
      <c r="AF192" s="72">
        <f t="shared" si="82"/>
        <v>64000</v>
      </c>
      <c r="AG192" s="72">
        <f t="shared" si="82"/>
        <v>60000</v>
      </c>
      <c r="AH192" s="72">
        <f t="shared" si="82"/>
        <v>56000</v>
      </c>
      <c r="AI192" s="72">
        <f t="shared" si="82"/>
        <v>52000</v>
      </c>
      <c r="AJ192" s="72">
        <f t="shared" si="82"/>
        <v>48000</v>
      </c>
      <c r="AK192" s="72">
        <f t="shared" si="82"/>
        <v>44000</v>
      </c>
      <c r="AL192" s="72">
        <f t="shared" si="82"/>
        <v>40000</v>
      </c>
      <c r="AM192" s="72">
        <f t="shared" si="82"/>
        <v>36000</v>
      </c>
      <c r="AN192" s="72"/>
      <c r="AO192" s="72"/>
      <c r="AP192" s="72"/>
      <c r="AQ192" s="72"/>
      <c r="AR192" s="72"/>
      <c r="AS192" s="72"/>
      <c r="AT192" s="72"/>
      <c r="AU192" s="72"/>
      <c r="AV192" s="72"/>
      <c r="AW192" s="72"/>
      <c r="AX192" s="72"/>
      <c r="AY192" s="72"/>
      <c r="AZ192" s="72"/>
      <c r="BA192" s="72"/>
      <c r="BB192" s="72"/>
      <c r="BC192" s="72"/>
      <c r="BD192" s="72"/>
      <c r="BE192" s="72"/>
      <c r="BF192" s="72"/>
      <c r="BG192" s="72"/>
      <c r="BH192" s="72"/>
    </row>
    <row r="193" spans="2:60">
      <c r="B193" s="171"/>
      <c r="D193" s="72"/>
      <c r="E193" s="72"/>
      <c r="F193" s="72"/>
      <c r="G193" s="72"/>
      <c r="H193" s="72"/>
      <c r="I193" s="72"/>
      <c r="J193" s="72"/>
      <c r="K193" s="72"/>
      <c r="L193" s="72"/>
      <c r="M193" s="72"/>
      <c r="N193" s="72"/>
      <c r="O193" s="73"/>
      <c r="P193" s="72"/>
      <c r="Q193" s="72"/>
      <c r="R193" s="72"/>
      <c r="S193" s="72"/>
      <c r="T193" s="72"/>
      <c r="U193" s="72"/>
      <c r="V193" s="72"/>
      <c r="W193" s="72"/>
      <c r="X193" s="72"/>
      <c r="Y193" s="72"/>
      <c r="Z193" s="72"/>
      <c r="AA193" s="73"/>
      <c r="AB193" s="72"/>
      <c r="AC193" s="72"/>
      <c r="AD193" s="72"/>
      <c r="AE193" s="72"/>
      <c r="AF193" s="72"/>
      <c r="AG193" s="72"/>
      <c r="AH193" s="72"/>
      <c r="AI193" s="72"/>
      <c r="AJ193" s="72"/>
      <c r="AK193" s="72"/>
      <c r="AL193" s="72"/>
      <c r="AM193" s="72"/>
      <c r="AN193" s="72"/>
      <c r="AO193" s="72"/>
      <c r="AP193" s="72"/>
      <c r="AQ193" s="72"/>
      <c r="AR193" s="72"/>
      <c r="AS193" s="72"/>
      <c r="AT193" s="72"/>
      <c r="AU193" s="72"/>
      <c r="AV193" s="72"/>
      <c r="AW193" s="72"/>
      <c r="AX193" s="72"/>
      <c r="AY193" s="72"/>
      <c r="AZ193" s="72"/>
      <c r="BA193" s="72"/>
      <c r="BB193" s="72"/>
      <c r="BC193" s="72"/>
      <c r="BD193" s="72"/>
      <c r="BE193" s="72"/>
      <c r="BF193" s="72"/>
      <c r="BG193" s="72"/>
      <c r="BH193" s="72"/>
    </row>
    <row r="194" spans="2:60">
      <c r="B194" s="18" t="str">
        <f>B71</f>
        <v>Office Desks</v>
      </c>
      <c r="D194" s="72"/>
      <c r="E194" s="72"/>
      <c r="F194" s="72"/>
      <c r="G194" s="72"/>
      <c r="H194" s="72"/>
      <c r="I194" s="72"/>
      <c r="J194" s="72"/>
      <c r="K194" s="72"/>
      <c r="L194" s="72"/>
      <c r="M194" s="72"/>
      <c r="N194" s="72"/>
      <c r="O194" s="73"/>
      <c r="P194" s="72"/>
      <c r="Q194" s="72"/>
      <c r="R194" s="72"/>
      <c r="S194" s="72"/>
      <c r="T194" s="72"/>
      <c r="U194" s="72"/>
      <c r="V194" s="72"/>
      <c r="W194" s="72"/>
      <c r="X194" s="72"/>
      <c r="Y194" s="72"/>
      <c r="Z194" s="72"/>
      <c r="AA194" s="73"/>
      <c r="AB194" s="72"/>
      <c r="AC194" s="72"/>
      <c r="AD194" s="72"/>
      <c r="AE194" s="72"/>
      <c r="AF194" s="72"/>
      <c r="AG194" s="72"/>
      <c r="AH194" s="72"/>
      <c r="AI194" s="72"/>
      <c r="AJ194" s="72"/>
      <c r="AK194" s="72"/>
      <c r="AL194" s="72"/>
      <c r="AM194" s="72"/>
      <c r="AN194" s="72"/>
      <c r="AO194" s="72"/>
      <c r="AP194" s="72"/>
      <c r="AQ194" s="72"/>
      <c r="AR194" s="72"/>
      <c r="AS194" s="72"/>
      <c r="AT194" s="72"/>
      <c r="AU194" s="72"/>
      <c r="AV194" s="72"/>
      <c r="AW194" s="72"/>
      <c r="AX194" s="72"/>
      <c r="AY194" s="72"/>
      <c r="AZ194" s="72"/>
      <c r="BA194" s="72"/>
      <c r="BB194" s="72"/>
      <c r="BC194" s="72"/>
      <c r="BD194" s="72"/>
      <c r="BE194" s="72"/>
      <c r="BF194" s="72"/>
      <c r="BG194" s="72"/>
      <c r="BH194" s="72"/>
    </row>
    <row r="195" spans="2:60">
      <c r="B195" s="166" t="s">
        <v>112</v>
      </c>
      <c r="D195" s="19">
        <v>0</v>
      </c>
      <c r="E195" s="72">
        <f>D199</f>
        <v>1175</v>
      </c>
      <c r="F195" s="72">
        <f t="shared" ref="F195:AM195" si="83">E199</f>
        <v>1150</v>
      </c>
      <c r="G195" s="72">
        <f t="shared" si="83"/>
        <v>1125</v>
      </c>
      <c r="H195" s="72">
        <f t="shared" si="83"/>
        <v>1100</v>
      </c>
      <c r="I195" s="72">
        <f t="shared" si="83"/>
        <v>1075</v>
      </c>
      <c r="J195" s="72">
        <f t="shared" si="83"/>
        <v>1050</v>
      </c>
      <c r="K195" s="72">
        <f t="shared" si="83"/>
        <v>1025</v>
      </c>
      <c r="L195" s="72">
        <f t="shared" si="83"/>
        <v>1000</v>
      </c>
      <c r="M195" s="72">
        <f t="shared" si="83"/>
        <v>975</v>
      </c>
      <c r="N195" s="72">
        <f t="shared" si="83"/>
        <v>950</v>
      </c>
      <c r="O195" s="73">
        <f t="shared" si="83"/>
        <v>925</v>
      </c>
      <c r="P195" s="72">
        <f t="shared" si="83"/>
        <v>900</v>
      </c>
      <c r="Q195" s="72">
        <f t="shared" si="83"/>
        <v>972.91666666666663</v>
      </c>
      <c r="R195" s="72">
        <f t="shared" si="83"/>
        <v>945.83333333333326</v>
      </c>
      <c r="S195" s="72">
        <f t="shared" si="83"/>
        <v>918.74999999999989</v>
      </c>
      <c r="T195" s="72">
        <f t="shared" si="83"/>
        <v>891.66666666666652</v>
      </c>
      <c r="U195" s="72">
        <f t="shared" si="83"/>
        <v>864.58333333333314</v>
      </c>
      <c r="V195" s="72">
        <f t="shared" si="83"/>
        <v>837.49999999999977</v>
      </c>
      <c r="W195" s="72">
        <f t="shared" si="83"/>
        <v>810.4166666666664</v>
      </c>
      <c r="X195" s="72">
        <f t="shared" si="83"/>
        <v>783.33333333333303</v>
      </c>
      <c r="Y195" s="72">
        <f t="shared" si="83"/>
        <v>756.24999999999966</v>
      </c>
      <c r="Z195" s="72">
        <f t="shared" si="83"/>
        <v>729.16666666666629</v>
      </c>
      <c r="AA195" s="73">
        <f t="shared" si="83"/>
        <v>702.08333333333292</v>
      </c>
      <c r="AB195" s="72">
        <f t="shared" si="83"/>
        <v>674.99999999999955</v>
      </c>
      <c r="AC195" s="72">
        <f t="shared" si="83"/>
        <v>1627.0833333333328</v>
      </c>
      <c r="AD195" s="72">
        <f t="shared" si="83"/>
        <v>1579.1666666666661</v>
      </c>
      <c r="AE195" s="72">
        <f t="shared" si="83"/>
        <v>1531.2499999999993</v>
      </c>
      <c r="AF195" s="72">
        <f t="shared" si="83"/>
        <v>1483.3333333333326</v>
      </c>
      <c r="AG195" s="72">
        <f t="shared" si="83"/>
        <v>1435.4166666666658</v>
      </c>
      <c r="AH195" s="72">
        <f t="shared" si="83"/>
        <v>1387.4999999999991</v>
      </c>
      <c r="AI195" s="72">
        <f t="shared" si="83"/>
        <v>1339.5833333333323</v>
      </c>
      <c r="AJ195" s="72">
        <f t="shared" si="83"/>
        <v>1291.6666666666656</v>
      </c>
      <c r="AK195" s="72">
        <f t="shared" si="83"/>
        <v>1243.7499999999989</v>
      </c>
      <c r="AL195" s="72">
        <f t="shared" si="83"/>
        <v>1195.8333333333321</v>
      </c>
      <c r="AM195" s="72">
        <f t="shared" si="83"/>
        <v>1147.9166666666654</v>
      </c>
      <c r="AN195" s="72"/>
      <c r="AO195" s="72"/>
      <c r="AP195" s="72"/>
      <c r="AQ195" s="72"/>
      <c r="AR195" s="72"/>
      <c r="AS195" s="72"/>
      <c r="AT195" s="72"/>
      <c r="AU195" s="72"/>
      <c r="AV195" s="72"/>
      <c r="AW195" s="72"/>
      <c r="AX195" s="72"/>
      <c r="AY195" s="72"/>
      <c r="AZ195" s="72"/>
      <c r="BA195" s="72"/>
      <c r="BB195" s="72"/>
      <c r="BC195" s="72"/>
      <c r="BD195" s="72"/>
      <c r="BE195" s="72"/>
      <c r="BF195" s="72"/>
      <c r="BG195" s="72"/>
      <c r="BH195" s="72"/>
    </row>
    <row r="196" spans="2:60">
      <c r="B196" s="166" t="s">
        <v>265</v>
      </c>
      <c r="D196" s="72">
        <f>G71</f>
        <v>1200</v>
      </c>
      <c r="E196" s="72"/>
      <c r="F196" s="72"/>
      <c r="G196" s="72"/>
      <c r="H196" s="72"/>
      <c r="I196" s="72"/>
      <c r="J196" s="72"/>
      <c r="K196" s="72"/>
      <c r="L196" s="72"/>
      <c r="M196" s="72"/>
      <c r="N196" s="72"/>
      <c r="O196" s="73"/>
      <c r="P196" s="72">
        <f>H71</f>
        <v>100</v>
      </c>
      <c r="Q196" s="72"/>
      <c r="R196" s="72"/>
      <c r="S196" s="72"/>
      <c r="T196" s="72"/>
      <c r="U196" s="72"/>
      <c r="V196" s="72"/>
      <c r="W196" s="72"/>
      <c r="X196" s="72"/>
      <c r="Y196" s="72"/>
      <c r="Z196" s="72"/>
      <c r="AA196" s="73"/>
      <c r="AB196" s="72">
        <f>I71</f>
        <v>1000</v>
      </c>
      <c r="AC196" s="72"/>
      <c r="AD196" s="72"/>
      <c r="AE196" s="72"/>
      <c r="AF196" s="72"/>
      <c r="AG196" s="72"/>
      <c r="AH196" s="72"/>
      <c r="AI196" s="72"/>
      <c r="AJ196" s="72"/>
      <c r="AK196" s="72"/>
      <c r="AL196" s="72"/>
      <c r="AM196" s="72"/>
      <c r="AN196" s="72"/>
      <c r="AO196" s="72"/>
      <c r="AP196" s="72"/>
      <c r="AQ196" s="72"/>
      <c r="AR196" s="72"/>
      <c r="AS196" s="72"/>
      <c r="AT196" s="72"/>
      <c r="AU196" s="72"/>
      <c r="AV196" s="72"/>
      <c r="AW196" s="72"/>
      <c r="AX196" s="72"/>
      <c r="AY196" s="72"/>
      <c r="AZ196" s="72"/>
      <c r="BA196" s="72"/>
      <c r="BB196" s="72"/>
      <c r="BC196" s="72"/>
      <c r="BD196" s="72"/>
      <c r="BE196" s="72"/>
      <c r="BF196" s="72"/>
      <c r="BG196" s="72"/>
      <c r="BH196" s="72"/>
    </row>
    <row r="197" spans="2:60">
      <c r="B197" s="166" t="s">
        <v>110</v>
      </c>
      <c r="D197" s="72">
        <f>SUM(D195:D196)</f>
        <v>1200</v>
      </c>
      <c r="E197" s="72">
        <f t="shared" ref="E197:AM197" si="84">SUM(E195:E196)</f>
        <v>1175</v>
      </c>
      <c r="F197" s="72">
        <f t="shared" si="84"/>
        <v>1150</v>
      </c>
      <c r="G197" s="72">
        <f t="shared" si="84"/>
        <v>1125</v>
      </c>
      <c r="H197" s="72">
        <f t="shared" si="84"/>
        <v>1100</v>
      </c>
      <c r="I197" s="72">
        <f t="shared" si="84"/>
        <v>1075</v>
      </c>
      <c r="J197" s="72">
        <f t="shared" si="84"/>
        <v>1050</v>
      </c>
      <c r="K197" s="72">
        <f t="shared" si="84"/>
        <v>1025</v>
      </c>
      <c r="L197" s="72">
        <f t="shared" si="84"/>
        <v>1000</v>
      </c>
      <c r="M197" s="72">
        <f t="shared" si="84"/>
        <v>975</v>
      </c>
      <c r="N197" s="72">
        <f t="shared" si="84"/>
        <v>950</v>
      </c>
      <c r="O197" s="73">
        <f t="shared" si="84"/>
        <v>925</v>
      </c>
      <c r="P197" s="72">
        <f t="shared" si="84"/>
        <v>1000</v>
      </c>
      <c r="Q197" s="72">
        <f t="shared" si="84"/>
        <v>972.91666666666663</v>
      </c>
      <c r="R197" s="72">
        <f t="shared" si="84"/>
        <v>945.83333333333326</v>
      </c>
      <c r="S197" s="72">
        <f t="shared" si="84"/>
        <v>918.74999999999989</v>
      </c>
      <c r="T197" s="72">
        <f t="shared" si="84"/>
        <v>891.66666666666652</v>
      </c>
      <c r="U197" s="72">
        <f t="shared" si="84"/>
        <v>864.58333333333314</v>
      </c>
      <c r="V197" s="72">
        <f t="shared" si="84"/>
        <v>837.49999999999977</v>
      </c>
      <c r="W197" s="72">
        <f t="shared" si="84"/>
        <v>810.4166666666664</v>
      </c>
      <c r="X197" s="72">
        <f t="shared" si="84"/>
        <v>783.33333333333303</v>
      </c>
      <c r="Y197" s="72">
        <f t="shared" si="84"/>
        <v>756.24999999999966</v>
      </c>
      <c r="Z197" s="72">
        <f t="shared" si="84"/>
        <v>729.16666666666629</v>
      </c>
      <c r="AA197" s="73">
        <f t="shared" si="84"/>
        <v>702.08333333333292</v>
      </c>
      <c r="AB197" s="72">
        <f t="shared" si="84"/>
        <v>1674.9999999999995</v>
      </c>
      <c r="AC197" s="72">
        <f t="shared" si="84"/>
        <v>1627.0833333333328</v>
      </c>
      <c r="AD197" s="72">
        <f t="shared" si="84"/>
        <v>1579.1666666666661</v>
      </c>
      <c r="AE197" s="72">
        <f t="shared" si="84"/>
        <v>1531.2499999999993</v>
      </c>
      <c r="AF197" s="72">
        <f t="shared" si="84"/>
        <v>1483.3333333333326</v>
      </c>
      <c r="AG197" s="72">
        <f t="shared" si="84"/>
        <v>1435.4166666666658</v>
      </c>
      <c r="AH197" s="72">
        <f t="shared" si="84"/>
        <v>1387.4999999999991</v>
      </c>
      <c r="AI197" s="72">
        <f t="shared" si="84"/>
        <v>1339.5833333333323</v>
      </c>
      <c r="AJ197" s="72">
        <f t="shared" si="84"/>
        <v>1291.6666666666656</v>
      </c>
      <c r="AK197" s="72">
        <f t="shared" si="84"/>
        <v>1243.7499999999989</v>
      </c>
      <c r="AL197" s="72">
        <f t="shared" si="84"/>
        <v>1195.8333333333321</v>
      </c>
      <c r="AM197" s="72">
        <f t="shared" si="84"/>
        <v>1147.9166666666654</v>
      </c>
      <c r="AN197" s="72"/>
      <c r="AO197" s="72"/>
      <c r="AP197" s="72"/>
      <c r="AQ197" s="72"/>
      <c r="AR197" s="72"/>
      <c r="AS197" s="72"/>
      <c r="AT197" s="72"/>
      <c r="AU197" s="72"/>
      <c r="AV197" s="72"/>
      <c r="AW197" s="72"/>
      <c r="AX197" s="72"/>
      <c r="AY197" s="72"/>
      <c r="AZ197" s="72"/>
      <c r="BA197" s="72"/>
      <c r="BB197" s="72"/>
      <c r="BC197" s="72"/>
      <c r="BD197" s="72"/>
      <c r="BE197" s="72"/>
      <c r="BF197" s="72"/>
      <c r="BG197" s="72"/>
      <c r="BH197" s="72"/>
    </row>
    <row r="198" spans="2:60">
      <c r="B198" s="166" t="s">
        <v>57</v>
      </c>
      <c r="D198" s="72">
        <f>(-$G$71/$J$71/12)</f>
        <v>-25</v>
      </c>
      <c r="E198" s="72">
        <f>(-$G$71/$J$71/12)</f>
        <v>-25</v>
      </c>
      <c r="F198" s="72">
        <f t="shared" ref="F198:O198" si="85">(-$G$71/$J$71/12)</f>
        <v>-25</v>
      </c>
      <c r="G198" s="72">
        <f t="shared" si="85"/>
        <v>-25</v>
      </c>
      <c r="H198" s="72">
        <f t="shared" si="85"/>
        <v>-25</v>
      </c>
      <c r="I198" s="72">
        <f t="shared" si="85"/>
        <v>-25</v>
      </c>
      <c r="J198" s="72">
        <f t="shared" si="85"/>
        <v>-25</v>
      </c>
      <c r="K198" s="72">
        <f t="shared" si="85"/>
        <v>-25</v>
      </c>
      <c r="L198" s="72">
        <f t="shared" si="85"/>
        <v>-25</v>
      </c>
      <c r="M198" s="72">
        <f t="shared" si="85"/>
        <v>-25</v>
      </c>
      <c r="N198" s="72">
        <f t="shared" si="85"/>
        <v>-25</v>
      </c>
      <c r="O198" s="72">
        <f t="shared" si="85"/>
        <v>-25</v>
      </c>
      <c r="P198" s="72">
        <f>(-$G$71/$J$71/12)-($H$71/$J$71/12)</f>
        <v>-27.083333333333332</v>
      </c>
      <c r="Q198" s="72">
        <f t="shared" ref="Q198:AA198" si="86">(-$G$71/$J$71/12)-($H$71/$J$71/12)</f>
        <v>-27.083333333333332</v>
      </c>
      <c r="R198" s="72">
        <f t="shared" si="86"/>
        <v>-27.083333333333332</v>
      </c>
      <c r="S198" s="72">
        <f t="shared" si="86"/>
        <v>-27.083333333333332</v>
      </c>
      <c r="T198" s="72">
        <f t="shared" si="86"/>
        <v>-27.083333333333332</v>
      </c>
      <c r="U198" s="72">
        <f t="shared" si="86"/>
        <v>-27.083333333333332</v>
      </c>
      <c r="V198" s="72">
        <f t="shared" si="86"/>
        <v>-27.083333333333332</v>
      </c>
      <c r="W198" s="72">
        <f t="shared" si="86"/>
        <v>-27.083333333333332</v>
      </c>
      <c r="X198" s="72">
        <f t="shared" si="86"/>
        <v>-27.083333333333332</v>
      </c>
      <c r="Y198" s="72">
        <f t="shared" si="86"/>
        <v>-27.083333333333332</v>
      </c>
      <c r="Z198" s="72">
        <f t="shared" si="86"/>
        <v>-27.083333333333332</v>
      </c>
      <c r="AA198" s="72">
        <f t="shared" si="86"/>
        <v>-27.083333333333332</v>
      </c>
      <c r="AB198" s="72">
        <f>(-$G$71/$J$71/12)-($H$71/$J$71/12)-($I$71/$J$71/12)</f>
        <v>-47.916666666666664</v>
      </c>
      <c r="AC198" s="72">
        <f>(-$G$71/$J$71/12)-($H$71/$J$71/12)-($I$71/$J$71/12)</f>
        <v>-47.916666666666664</v>
      </c>
      <c r="AD198" s="72">
        <f t="shared" ref="AD198:AM198" si="87">(-$G$71/$J$71/12)-($H$71/$J$71/12)-($I$71/$J$71/12)</f>
        <v>-47.916666666666664</v>
      </c>
      <c r="AE198" s="72">
        <f t="shared" si="87"/>
        <v>-47.916666666666664</v>
      </c>
      <c r="AF198" s="72">
        <f t="shared" si="87"/>
        <v>-47.916666666666664</v>
      </c>
      <c r="AG198" s="72">
        <f t="shared" si="87"/>
        <v>-47.916666666666664</v>
      </c>
      <c r="AH198" s="72">
        <f t="shared" si="87"/>
        <v>-47.916666666666664</v>
      </c>
      <c r="AI198" s="72">
        <f t="shared" si="87"/>
        <v>-47.916666666666664</v>
      </c>
      <c r="AJ198" s="72">
        <f t="shared" si="87"/>
        <v>-47.916666666666664</v>
      </c>
      <c r="AK198" s="72">
        <f t="shared" si="87"/>
        <v>-47.916666666666664</v>
      </c>
      <c r="AL198" s="72">
        <f t="shared" si="87"/>
        <v>-47.916666666666664</v>
      </c>
      <c r="AM198" s="72">
        <f t="shared" si="87"/>
        <v>-47.916666666666664</v>
      </c>
      <c r="AN198" s="72"/>
      <c r="AO198" s="72"/>
      <c r="AP198" s="72"/>
      <c r="AQ198" s="72"/>
      <c r="AR198" s="72"/>
      <c r="AS198" s="72"/>
      <c r="AT198" s="72"/>
      <c r="AU198" s="72"/>
      <c r="AV198" s="72"/>
      <c r="AW198" s="72"/>
      <c r="AX198" s="72"/>
      <c r="AY198" s="72"/>
      <c r="AZ198" s="72"/>
      <c r="BA198" s="72"/>
      <c r="BB198" s="72"/>
      <c r="BC198" s="72"/>
      <c r="BD198" s="72"/>
      <c r="BE198" s="72"/>
      <c r="BF198" s="72"/>
      <c r="BG198" s="72"/>
      <c r="BH198" s="72"/>
    </row>
    <row r="199" spans="2:60">
      <c r="B199" s="167" t="s">
        <v>255</v>
      </c>
      <c r="C199" s="168"/>
      <c r="D199" s="72">
        <f>SUM(D197:D198)</f>
        <v>1175</v>
      </c>
      <c r="E199" s="72">
        <f t="shared" ref="E199:AM199" si="88">SUM(E197:E198)</f>
        <v>1150</v>
      </c>
      <c r="F199" s="72">
        <f t="shared" si="88"/>
        <v>1125</v>
      </c>
      <c r="G199" s="72">
        <f t="shared" si="88"/>
        <v>1100</v>
      </c>
      <c r="H199" s="72">
        <f t="shared" si="88"/>
        <v>1075</v>
      </c>
      <c r="I199" s="72">
        <f t="shared" si="88"/>
        <v>1050</v>
      </c>
      <c r="J199" s="72">
        <f t="shared" si="88"/>
        <v>1025</v>
      </c>
      <c r="K199" s="72">
        <f t="shared" si="88"/>
        <v>1000</v>
      </c>
      <c r="L199" s="72">
        <f t="shared" si="88"/>
        <v>975</v>
      </c>
      <c r="M199" s="72">
        <f t="shared" si="88"/>
        <v>950</v>
      </c>
      <c r="N199" s="72">
        <f t="shared" si="88"/>
        <v>925</v>
      </c>
      <c r="O199" s="73">
        <f t="shared" si="88"/>
        <v>900</v>
      </c>
      <c r="P199" s="72">
        <f t="shared" si="88"/>
        <v>972.91666666666663</v>
      </c>
      <c r="Q199" s="72">
        <f t="shared" si="88"/>
        <v>945.83333333333326</v>
      </c>
      <c r="R199" s="72">
        <f t="shared" si="88"/>
        <v>918.74999999999989</v>
      </c>
      <c r="S199" s="72">
        <f t="shared" si="88"/>
        <v>891.66666666666652</v>
      </c>
      <c r="T199" s="72">
        <f t="shared" si="88"/>
        <v>864.58333333333314</v>
      </c>
      <c r="U199" s="72">
        <f t="shared" si="88"/>
        <v>837.49999999999977</v>
      </c>
      <c r="V199" s="72">
        <f t="shared" si="88"/>
        <v>810.4166666666664</v>
      </c>
      <c r="W199" s="72">
        <f t="shared" si="88"/>
        <v>783.33333333333303</v>
      </c>
      <c r="X199" s="72">
        <f t="shared" si="88"/>
        <v>756.24999999999966</v>
      </c>
      <c r="Y199" s="72">
        <f t="shared" si="88"/>
        <v>729.16666666666629</v>
      </c>
      <c r="Z199" s="72">
        <f t="shared" si="88"/>
        <v>702.08333333333292</v>
      </c>
      <c r="AA199" s="73">
        <f t="shared" si="88"/>
        <v>674.99999999999955</v>
      </c>
      <c r="AB199" s="72">
        <f t="shared" si="88"/>
        <v>1627.0833333333328</v>
      </c>
      <c r="AC199" s="72">
        <f t="shared" si="88"/>
        <v>1579.1666666666661</v>
      </c>
      <c r="AD199" s="72">
        <f t="shared" si="88"/>
        <v>1531.2499999999993</v>
      </c>
      <c r="AE199" s="72">
        <f t="shared" si="88"/>
        <v>1483.3333333333326</v>
      </c>
      <c r="AF199" s="72">
        <f t="shared" si="88"/>
        <v>1435.4166666666658</v>
      </c>
      <c r="AG199" s="72">
        <f t="shared" si="88"/>
        <v>1387.4999999999991</v>
      </c>
      <c r="AH199" s="72">
        <f t="shared" si="88"/>
        <v>1339.5833333333323</v>
      </c>
      <c r="AI199" s="72">
        <f t="shared" si="88"/>
        <v>1291.6666666666656</v>
      </c>
      <c r="AJ199" s="72">
        <f t="shared" si="88"/>
        <v>1243.7499999999989</v>
      </c>
      <c r="AK199" s="72">
        <f t="shared" si="88"/>
        <v>1195.8333333333321</v>
      </c>
      <c r="AL199" s="72">
        <f t="shared" si="88"/>
        <v>1147.9166666666654</v>
      </c>
      <c r="AM199" s="72">
        <f t="shared" si="88"/>
        <v>1099.9999999999986</v>
      </c>
      <c r="AN199" s="72"/>
      <c r="AO199" s="72"/>
      <c r="AP199" s="72"/>
      <c r="AQ199" s="72"/>
      <c r="AR199" s="72"/>
      <c r="AS199" s="72"/>
      <c r="AT199" s="72"/>
      <c r="AU199" s="72"/>
      <c r="AV199" s="72"/>
      <c r="AW199" s="72"/>
      <c r="AX199" s="72"/>
      <c r="AY199" s="72"/>
      <c r="AZ199" s="72"/>
      <c r="BA199" s="72"/>
      <c r="BB199" s="72"/>
      <c r="BC199" s="72"/>
      <c r="BD199" s="72"/>
      <c r="BE199" s="72"/>
      <c r="BF199" s="72"/>
      <c r="BG199" s="72"/>
      <c r="BH199" s="72"/>
    </row>
    <row r="200" spans="2:60">
      <c r="B200" s="171"/>
      <c r="D200" s="72"/>
      <c r="E200" s="72"/>
      <c r="F200" s="72"/>
      <c r="G200" s="72"/>
      <c r="H200" s="72"/>
      <c r="I200" s="72"/>
      <c r="J200" s="72"/>
      <c r="K200" s="72"/>
      <c r="L200" s="72"/>
      <c r="M200" s="72"/>
      <c r="N200" s="72"/>
      <c r="O200" s="73"/>
      <c r="P200" s="72"/>
      <c r="Q200" s="72"/>
      <c r="R200" s="72"/>
      <c r="S200" s="72"/>
      <c r="T200" s="72"/>
      <c r="U200" s="72"/>
      <c r="V200" s="72"/>
      <c r="W200" s="72"/>
      <c r="X200" s="72"/>
      <c r="Y200" s="72"/>
      <c r="Z200" s="72"/>
      <c r="AA200" s="73"/>
      <c r="AB200" s="72"/>
      <c r="AC200" s="72"/>
      <c r="AD200" s="72"/>
      <c r="AE200" s="72"/>
      <c r="AF200" s="72"/>
      <c r="AG200" s="72"/>
      <c r="AH200" s="72"/>
      <c r="AI200" s="72"/>
      <c r="AJ200" s="72"/>
      <c r="AK200" s="72"/>
      <c r="AL200" s="72"/>
      <c r="AM200" s="72"/>
      <c r="AN200" s="72"/>
      <c r="AO200" s="72"/>
      <c r="AP200" s="72"/>
      <c r="AQ200" s="72"/>
      <c r="AR200" s="72"/>
      <c r="AS200" s="72"/>
      <c r="AT200" s="72"/>
      <c r="AU200" s="72"/>
      <c r="AV200" s="72"/>
      <c r="AW200" s="72"/>
      <c r="AX200" s="72"/>
      <c r="AY200" s="72"/>
      <c r="AZ200" s="72"/>
      <c r="BA200" s="72"/>
      <c r="BB200" s="72"/>
      <c r="BC200" s="72"/>
      <c r="BD200" s="72"/>
      <c r="BE200" s="72"/>
      <c r="BF200" s="72"/>
      <c r="BG200" s="72"/>
      <c r="BH200" s="72"/>
    </row>
    <row r="201" spans="2:60">
      <c r="B201" s="18" t="str">
        <f>B72</f>
        <v>Office Chairs</v>
      </c>
      <c r="D201" s="72"/>
      <c r="E201" s="72"/>
      <c r="F201" s="72"/>
      <c r="G201" s="72"/>
      <c r="H201" s="72"/>
      <c r="I201" s="72"/>
      <c r="J201" s="72"/>
      <c r="K201" s="72"/>
      <c r="L201" s="72"/>
      <c r="M201" s="72"/>
      <c r="N201" s="72"/>
      <c r="O201" s="73"/>
      <c r="P201" s="72"/>
      <c r="Q201" s="72"/>
      <c r="R201" s="72"/>
      <c r="S201" s="72"/>
      <c r="T201" s="72"/>
      <c r="U201" s="72"/>
      <c r="V201" s="72"/>
      <c r="W201" s="72"/>
      <c r="X201" s="72"/>
      <c r="Y201" s="72"/>
      <c r="Z201" s="72"/>
      <c r="AA201" s="73"/>
      <c r="AB201" s="72"/>
      <c r="AC201" s="72"/>
      <c r="AD201" s="72"/>
      <c r="AE201" s="72"/>
      <c r="AF201" s="72"/>
      <c r="AG201" s="72"/>
      <c r="AH201" s="72"/>
      <c r="AI201" s="72"/>
      <c r="AJ201" s="72"/>
      <c r="AK201" s="72"/>
      <c r="AL201" s="72"/>
      <c r="AM201" s="72"/>
      <c r="AN201" s="72"/>
      <c r="AO201" s="72"/>
      <c r="AP201" s="72"/>
      <c r="AQ201" s="72"/>
      <c r="AR201" s="72"/>
      <c r="AS201" s="72"/>
      <c r="AT201" s="72"/>
      <c r="AU201" s="72"/>
      <c r="AV201" s="72"/>
      <c r="AW201" s="72"/>
      <c r="AX201" s="72"/>
      <c r="AY201" s="72"/>
      <c r="AZ201" s="72"/>
      <c r="BA201" s="72"/>
      <c r="BB201" s="72"/>
      <c r="BC201" s="72"/>
      <c r="BD201" s="72"/>
      <c r="BE201" s="72"/>
      <c r="BF201" s="72"/>
      <c r="BG201" s="72"/>
      <c r="BH201" s="72"/>
    </row>
    <row r="202" spans="2:60">
      <c r="B202" s="166" t="s">
        <v>112</v>
      </c>
      <c r="D202" s="19">
        <v>0</v>
      </c>
      <c r="E202" s="72">
        <f>D206</f>
        <v>948.57142857142856</v>
      </c>
      <c r="F202" s="72">
        <f t="shared" ref="F202:AM202" si="89">E206</f>
        <v>937.14285714285711</v>
      </c>
      <c r="G202" s="72">
        <f t="shared" si="89"/>
        <v>925.71428571428567</v>
      </c>
      <c r="H202" s="72">
        <f t="shared" si="89"/>
        <v>914.28571428571422</v>
      </c>
      <c r="I202" s="72">
        <f t="shared" si="89"/>
        <v>902.85714285714278</v>
      </c>
      <c r="J202" s="72">
        <f t="shared" si="89"/>
        <v>891.42857142857133</v>
      </c>
      <c r="K202" s="72">
        <f t="shared" si="89"/>
        <v>879.99999999999989</v>
      </c>
      <c r="L202" s="72">
        <f t="shared" si="89"/>
        <v>868.57142857142844</v>
      </c>
      <c r="M202" s="72">
        <f t="shared" si="89"/>
        <v>857.142857142857</v>
      </c>
      <c r="N202" s="72">
        <f t="shared" si="89"/>
        <v>845.71428571428555</v>
      </c>
      <c r="O202" s="73">
        <f t="shared" si="89"/>
        <v>834.28571428571411</v>
      </c>
      <c r="P202" s="72">
        <f t="shared" si="89"/>
        <v>822.85714285714266</v>
      </c>
      <c r="Q202" s="72">
        <f t="shared" si="89"/>
        <v>890.47619047619025</v>
      </c>
      <c r="R202" s="72">
        <f t="shared" si="89"/>
        <v>878.09523809523785</v>
      </c>
      <c r="S202" s="72">
        <f t="shared" si="89"/>
        <v>865.71428571428544</v>
      </c>
      <c r="T202" s="72">
        <f t="shared" si="89"/>
        <v>853.33333333333303</v>
      </c>
      <c r="U202" s="72">
        <f t="shared" si="89"/>
        <v>840.95238095238062</v>
      </c>
      <c r="V202" s="72">
        <f t="shared" si="89"/>
        <v>828.57142857142821</v>
      </c>
      <c r="W202" s="72">
        <f t="shared" si="89"/>
        <v>816.19047619047581</v>
      </c>
      <c r="X202" s="72">
        <f t="shared" si="89"/>
        <v>803.8095238095234</v>
      </c>
      <c r="Y202" s="72">
        <f t="shared" si="89"/>
        <v>791.42857142857099</v>
      </c>
      <c r="Z202" s="72">
        <f t="shared" si="89"/>
        <v>779.04761904761858</v>
      </c>
      <c r="AA202" s="73">
        <f t="shared" si="89"/>
        <v>766.66666666666617</v>
      </c>
      <c r="AB202" s="72">
        <f t="shared" si="89"/>
        <v>754.28571428571377</v>
      </c>
      <c r="AC202" s="72">
        <f t="shared" si="89"/>
        <v>1532.3809523809518</v>
      </c>
      <c r="AD202" s="72">
        <f t="shared" si="89"/>
        <v>1510.4761904761899</v>
      </c>
      <c r="AE202" s="72">
        <f t="shared" si="89"/>
        <v>1488.571428571428</v>
      </c>
      <c r="AF202" s="72">
        <f t="shared" si="89"/>
        <v>1466.6666666666661</v>
      </c>
      <c r="AG202" s="72">
        <f t="shared" si="89"/>
        <v>1444.7619047619041</v>
      </c>
      <c r="AH202" s="72">
        <f t="shared" si="89"/>
        <v>1422.8571428571422</v>
      </c>
      <c r="AI202" s="72">
        <f t="shared" si="89"/>
        <v>1400.9523809523803</v>
      </c>
      <c r="AJ202" s="72">
        <f t="shared" si="89"/>
        <v>1379.0476190476184</v>
      </c>
      <c r="AK202" s="72">
        <f t="shared" si="89"/>
        <v>1357.1428571428564</v>
      </c>
      <c r="AL202" s="72">
        <f t="shared" si="89"/>
        <v>1335.2380952380945</v>
      </c>
      <c r="AM202" s="72">
        <f t="shared" si="89"/>
        <v>1313.3333333333326</v>
      </c>
      <c r="AN202" s="72"/>
      <c r="AO202" s="72"/>
      <c r="AP202" s="72"/>
      <c r="AQ202" s="72"/>
      <c r="AR202" s="72"/>
      <c r="AS202" s="72"/>
      <c r="AT202" s="72"/>
      <c r="AU202" s="72"/>
      <c r="AV202" s="72"/>
      <c r="AW202" s="72"/>
      <c r="AX202" s="72"/>
      <c r="AY202" s="72"/>
      <c r="AZ202" s="72"/>
      <c r="BA202" s="72"/>
      <c r="BB202" s="72"/>
      <c r="BC202" s="72"/>
      <c r="BD202" s="72"/>
      <c r="BE202" s="72"/>
      <c r="BF202" s="72"/>
      <c r="BG202" s="72"/>
      <c r="BH202" s="72"/>
    </row>
    <row r="203" spans="2:60">
      <c r="B203" s="166" t="s">
        <v>265</v>
      </c>
      <c r="D203" s="72">
        <f>G72</f>
        <v>960</v>
      </c>
      <c r="E203" s="72"/>
      <c r="F203" s="72"/>
      <c r="G203" s="72"/>
      <c r="H203" s="72"/>
      <c r="I203" s="72"/>
      <c r="J203" s="72"/>
      <c r="K203" s="72"/>
      <c r="L203" s="72"/>
      <c r="M203" s="72"/>
      <c r="N203" s="72"/>
      <c r="O203" s="73"/>
      <c r="P203" s="72">
        <f>H72</f>
        <v>80</v>
      </c>
      <c r="Q203" s="72"/>
      <c r="R203" s="72"/>
      <c r="S203" s="72"/>
      <c r="T203" s="72"/>
      <c r="U203" s="72"/>
      <c r="V203" s="72"/>
      <c r="W203" s="72"/>
      <c r="X203" s="72"/>
      <c r="Y203" s="72"/>
      <c r="Z203" s="72"/>
      <c r="AA203" s="73"/>
      <c r="AB203" s="72">
        <f>$I$72</f>
        <v>800</v>
      </c>
      <c r="AC203" s="72"/>
      <c r="AD203" s="72"/>
      <c r="AE203" s="72"/>
      <c r="AF203" s="72"/>
      <c r="AG203" s="72"/>
      <c r="AH203" s="72"/>
      <c r="AI203" s="72"/>
      <c r="AJ203" s="72"/>
      <c r="AK203" s="72"/>
      <c r="AL203" s="72"/>
      <c r="AM203" s="72"/>
      <c r="AN203" s="72"/>
      <c r="AO203" s="72"/>
      <c r="AP203" s="72"/>
      <c r="AQ203" s="72"/>
      <c r="AR203" s="72"/>
      <c r="AS203" s="72"/>
      <c r="AT203" s="72"/>
      <c r="AU203" s="72"/>
      <c r="AV203" s="72"/>
      <c r="AW203" s="72"/>
      <c r="AX203" s="72"/>
      <c r="AY203" s="72"/>
      <c r="AZ203" s="72"/>
      <c r="BA203" s="72"/>
      <c r="BB203" s="72"/>
      <c r="BC203" s="72"/>
      <c r="BD203" s="72"/>
      <c r="BE203" s="72"/>
      <c r="BF203" s="72"/>
      <c r="BG203" s="72"/>
      <c r="BH203" s="72"/>
    </row>
    <row r="204" spans="2:60">
      <c r="B204" s="166" t="s">
        <v>110</v>
      </c>
      <c r="D204" s="72">
        <f>SUM(D202:D203)</f>
        <v>960</v>
      </c>
      <c r="E204" s="72">
        <f t="shared" ref="E204:AM204" si="90">SUM(E202:E203)</f>
        <v>948.57142857142856</v>
      </c>
      <c r="F204" s="72">
        <f t="shared" si="90"/>
        <v>937.14285714285711</v>
      </c>
      <c r="G204" s="72">
        <f t="shared" si="90"/>
        <v>925.71428571428567</v>
      </c>
      <c r="H204" s="72">
        <f t="shared" si="90"/>
        <v>914.28571428571422</v>
      </c>
      <c r="I204" s="72">
        <f t="shared" si="90"/>
        <v>902.85714285714278</v>
      </c>
      <c r="J204" s="72">
        <f t="shared" si="90"/>
        <v>891.42857142857133</v>
      </c>
      <c r="K204" s="72">
        <f t="shared" si="90"/>
        <v>879.99999999999989</v>
      </c>
      <c r="L204" s="72">
        <f t="shared" si="90"/>
        <v>868.57142857142844</v>
      </c>
      <c r="M204" s="72">
        <f t="shared" si="90"/>
        <v>857.142857142857</v>
      </c>
      <c r="N204" s="72">
        <f t="shared" si="90"/>
        <v>845.71428571428555</v>
      </c>
      <c r="O204" s="73">
        <f t="shared" si="90"/>
        <v>834.28571428571411</v>
      </c>
      <c r="P204" s="72">
        <f t="shared" si="90"/>
        <v>902.85714285714266</v>
      </c>
      <c r="Q204" s="72">
        <f t="shared" si="90"/>
        <v>890.47619047619025</v>
      </c>
      <c r="R204" s="72">
        <f t="shared" si="90"/>
        <v>878.09523809523785</v>
      </c>
      <c r="S204" s="72">
        <f t="shared" si="90"/>
        <v>865.71428571428544</v>
      </c>
      <c r="T204" s="72">
        <f t="shared" si="90"/>
        <v>853.33333333333303</v>
      </c>
      <c r="U204" s="72">
        <f t="shared" si="90"/>
        <v>840.95238095238062</v>
      </c>
      <c r="V204" s="72">
        <f t="shared" si="90"/>
        <v>828.57142857142821</v>
      </c>
      <c r="W204" s="72">
        <f t="shared" si="90"/>
        <v>816.19047619047581</v>
      </c>
      <c r="X204" s="72">
        <f t="shared" si="90"/>
        <v>803.8095238095234</v>
      </c>
      <c r="Y204" s="72">
        <f t="shared" si="90"/>
        <v>791.42857142857099</v>
      </c>
      <c r="Z204" s="72">
        <f t="shared" si="90"/>
        <v>779.04761904761858</v>
      </c>
      <c r="AA204" s="73">
        <f t="shared" si="90"/>
        <v>766.66666666666617</v>
      </c>
      <c r="AB204" s="72">
        <f t="shared" si="90"/>
        <v>1554.2857142857138</v>
      </c>
      <c r="AC204" s="72">
        <f t="shared" si="90"/>
        <v>1532.3809523809518</v>
      </c>
      <c r="AD204" s="72">
        <f t="shared" si="90"/>
        <v>1510.4761904761899</v>
      </c>
      <c r="AE204" s="72">
        <f t="shared" si="90"/>
        <v>1488.571428571428</v>
      </c>
      <c r="AF204" s="72">
        <f t="shared" si="90"/>
        <v>1466.6666666666661</v>
      </c>
      <c r="AG204" s="72">
        <f t="shared" si="90"/>
        <v>1444.7619047619041</v>
      </c>
      <c r="AH204" s="72">
        <f t="shared" si="90"/>
        <v>1422.8571428571422</v>
      </c>
      <c r="AI204" s="72">
        <f t="shared" si="90"/>
        <v>1400.9523809523803</v>
      </c>
      <c r="AJ204" s="72">
        <f t="shared" si="90"/>
        <v>1379.0476190476184</v>
      </c>
      <c r="AK204" s="72">
        <f t="shared" si="90"/>
        <v>1357.1428571428564</v>
      </c>
      <c r="AL204" s="72">
        <f t="shared" si="90"/>
        <v>1335.2380952380945</v>
      </c>
      <c r="AM204" s="72">
        <f t="shared" si="90"/>
        <v>1313.3333333333326</v>
      </c>
      <c r="AN204" s="72"/>
      <c r="AO204" s="72"/>
      <c r="AP204" s="72"/>
      <c r="AQ204" s="72"/>
      <c r="AR204" s="72"/>
      <c r="AS204" s="72"/>
      <c r="AT204" s="72"/>
      <c r="AU204" s="72"/>
      <c r="AV204" s="72"/>
      <c r="AW204" s="72"/>
      <c r="AX204" s="72"/>
      <c r="AY204" s="72"/>
      <c r="AZ204" s="72"/>
      <c r="BA204" s="72"/>
      <c r="BB204" s="72"/>
      <c r="BC204" s="72"/>
      <c r="BD204" s="72"/>
      <c r="BE204" s="72"/>
      <c r="BF204" s="72"/>
      <c r="BG204" s="72"/>
      <c r="BH204" s="72"/>
    </row>
    <row r="205" spans="2:60">
      <c r="B205" s="166" t="s">
        <v>57</v>
      </c>
      <c r="D205" s="72">
        <f t="shared" ref="D205:O205" si="91">(-$D$203/$J$72/12)</f>
        <v>-11.428571428571429</v>
      </c>
      <c r="E205" s="72">
        <f t="shared" si="91"/>
        <v>-11.428571428571429</v>
      </c>
      <c r="F205" s="72">
        <f t="shared" si="91"/>
        <v>-11.428571428571429</v>
      </c>
      <c r="G205" s="72">
        <f t="shared" si="91"/>
        <v>-11.428571428571429</v>
      </c>
      <c r="H205" s="72">
        <f t="shared" si="91"/>
        <v>-11.428571428571429</v>
      </c>
      <c r="I205" s="72">
        <f t="shared" si="91"/>
        <v>-11.428571428571429</v>
      </c>
      <c r="J205" s="72">
        <f t="shared" si="91"/>
        <v>-11.428571428571429</v>
      </c>
      <c r="K205" s="72">
        <f t="shared" si="91"/>
        <v>-11.428571428571429</v>
      </c>
      <c r="L205" s="72">
        <f t="shared" si="91"/>
        <v>-11.428571428571429</v>
      </c>
      <c r="M205" s="72">
        <f t="shared" si="91"/>
        <v>-11.428571428571429</v>
      </c>
      <c r="N205" s="72">
        <f t="shared" si="91"/>
        <v>-11.428571428571429</v>
      </c>
      <c r="O205" s="72">
        <f t="shared" si="91"/>
        <v>-11.428571428571429</v>
      </c>
      <c r="P205" s="72">
        <f t="shared" ref="P205:AA205" si="92">(-$D$203/$J$72/12)-($H$72/$J$72/12)</f>
        <v>-12.380952380952381</v>
      </c>
      <c r="Q205" s="72">
        <f t="shared" si="92"/>
        <v>-12.380952380952381</v>
      </c>
      <c r="R205" s="72">
        <f t="shared" si="92"/>
        <v>-12.380952380952381</v>
      </c>
      <c r="S205" s="72">
        <f t="shared" si="92"/>
        <v>-12.380952380952381</v>
      </c>
      <c r="T205" s="72">
        <f t="shared" si="92"/>
        <v>-12.380952380952381</v>
      </c>
      <c r="U205" s="72">
        <f t="shared" si="92"/>
        <v>-12.380952380952381</v>
      </c>
      <c r="V205" s="72">
        <f t="shared" si="92"/>
        <v>-12.380952380952381</v>
      </c>
      <c r="W205" s="72">
        <f t="shared" si="92"/>
        <v>-12.380952380952381</v>
      </c>
      <c r="X205" s="72">
        <f t="shared" si="92"/>
        <v>-12.380952380952381</v>
      </c>
      <c r="Y205" s="72">
        <f t="shared" si="92"/>
        <v>-12.380952380952381</v>
      </c>
      <c r="Z205" s="72">
        <f t="shared" si="92"/>
        <v>-12.380952380952381</v>
      </c>
      <c r="AA205" s="72">
        <f t="shared" si="92"/>
        <v>-12.380952380952381</v>
      </c>
      <c r="AB205" s="72">
        <f t="shared" ref="AB205:AM205" si="93">(-$D$203/$J$72/12)-($H$72/$J$72/12)-($I$72/$J$72/12)</f>
        <v>-21.904761904761905</v>
      </c>
      <c r="AC205" s="72">
        <f t="shared" si="93"/>
        <v>-21.904761904761905</v>
      </c>
      <c r="AD205" s="72">
        <f t="shared" si="93"/>
        <v>-21.904761904761905</v>
      </c>
      <c r="AE205" s="72">
        <f t="shared" si="93"/>
        <v>-21.904761904761905</v>
      </c>
      <c r="AF205" s="72">
        <f t="shared" si="93"/>
        <v>-21.904761904761905</v>
      </c>
      <c r="AG205" s="72">
        <f t="shared" si="93"/>
        <v>-21.904761904761905</v>
      </c>
      <c r="AH205" s="72">
        <f t="shared" si="93"/>
        <v>-21.904761904761905</v>
      </c>
      <c r="AI205" s="72">
        <f t="shared" si="93"/>
        <v>-21.904761904761905</v>
      </c>
      <c r="AJ205" s="72">
        <f t="shared" si="93"/>
        <v>-21.904761904761905</v>
      </c>
      <c r="AK205" s="72">
        <f t="shared" si="93"/>
        <v>-21.904761904761905</v>
      </c>
      <c r="AL205" s="72">
        <f t="shared" si="93"/>
        <v>-21.904761904761905</v>
      </c>
      <c r="AM205" s="72">
        <f t="shared" si="93"/>
        <v>-21.904761904761905</v>
      </c>
      <c r="AN205" s="72"/>
      <c r="AO205" s="72"/>
      <c r="AP205" s="72"/>
      <c r="AQ205" s="72"/>
      <c r="AR205" s="72"/>
      <c r="AS205" s="72"/>
      <c r="AT205" s="72"/>
      <c r="AU205" s="72"/>
      <c r="AV205" s="72"/>
      <c r="AW205" s="72"/>
      <c r="AX205" s="72"/>
      <c r="AY205" s="72"/>
      <c r="AZ205" s="72"/>
      <c r="BA205" s="72"/>
      <c r="BB205" s="72"/>
      <c r="BC205" s="72"/>
      <c r="BD205" s="72"/>
      <c r="BE205" s="72"/>
      <c r="BF205" s="72"/>
      <c r="BG205" s="72"/>
      <c r="BH205" s="72"/>
    </row>
    <row r="206" spans="2:60" s="24" customFormat="1">
      <c r="B206" s="167" t="s">
        <v>255</v>
      </c>
      <c r="C206" s="168"/>
      <c r="D206" s="72">
        <f>SUM(D204:D205)</f>
        <v>948.57142857142856</v>
      </c>
      <c r="E206" s="72">
        <f t="shared" ref="E206:AM206" si="94">SUM(E204:E205)</f>
        <v>937.14285714285711</v>
      </c>
      <c r="F206" s="72">
        <f t="shared" si="94"/>
        <v>925.71428571428567</v>
      </c>
      <c r="G206" s="72">
        <f t="shared" si="94"/>
        <v>914.28571428571422</v>
      </c>
      <c r="H206" s="72">
        <f t="shared" si="94"/>
        <v>902.85714285714278</v>
      </c>
      <c r="I206" s="72">
        <f t="shared" si="94"/>
        <v>891.42857142857133</v>
      </c>
      <c r="J206" s="72">
        <f t="shared" si="94"/>
        <v>879.99999999999989</v>
      </c>
      <c r="K206" s="72">
        <f t="shared" si="94"/>
        <v>868.57142857142844</v>
      </c>
      <c r="L206" s="72">
        <f t="shared" si="94"/>
        <v>857.142857142857</v>
      </c>
      <c r="M206" s="72">
        <f t="shared" si="94"/>
        <v>845.71428571428555</v>
      </c>
      <c r="N206" s="72">
        <f t="shared" si="94"/>
        <v>834.28571428571411</v>
      </c>
      <c r="O206" s="73">
        <f t="shared" si="94"/>
        <v>822.85714285714266</v>
      </c>
      <c r="P206" s="72">
        <f t="shared" si="94"/>
        <v>890.47619047619025</v>
      </c>
      <c r="Q206" s="72">
        <f t="shared" si="94"/>
        <v>878.09523809523785</v>
      </c>
      <c r="R206" s="72">
        <f t="shared" si="94"/>
        <v>865.71428571428544</v>
      </c>
      <c r="S206" s="72">
        <f t="shared" si="94"/>
        <v>853.33333333333303</v>
      </c>
      <c r="T206" s="72">
        <f t="shared" si="94"/>
        <v>840.95238095238062</v>
      </c>
      <c r="U206" s="72">
        <f t="shared" si="94"/>
        <v>828.57142857142821</v>
      </c>
      <c r="V206" s="72">
        <f t="shared" si="94"/>
        <v>816.19047619047581</v>
      </c>
      <c r="W206" s="72">
        <f t="shared" si="94"/>
        <v>803.8095238095234</v>
      </c>
      <c r="X206" s="72">
        <f t="shared" si="94"/>
        <v>791.42857142857099</v>
      </c>
      <c r="Y206" s="72">
        <f t="shared" si="94"/>
        <v>779.04761904761858</v>
      </c>
      <c r="Z206" s="72">
        <f t="shared" si="94"/>
        <v>766.66666666666617</v>
      </c>
      <c r="AA206" s="73">
        <f t="shared" si="94"/>
        <v>754.28571428571377</v>
      </c>
      <c r="AB206" s="72">
        <f t="shared" si="94"/>
        <v>1532.3809523809518</v>
      </c>
      <c r="AC206" s="72">
        <f t="shared" si="94"/>
        <v>1510.4761904761899</v>
      </c>
      <c r="AD206" s="72">
        <f t="shared" si="94"/>
        <v>1488.571428571428</v>
      </c>
      <c r="AE206" s="72">
        <f t="shared" si="94"/>
        <v>1466.6666666666661</v>
      </c>
      <c r="AF206" s="72">
        <f t="shared" si="94"/>
        <v>1444.7619047619041</v>
      </c>
      <c r="AG206" s="72">
        <f t="shared" si="94"/>
        <v>1422.8571428571422</v>
      </c>
      <c r="AH206" s="72">
        <f t="shared" si="94"/>
        <v>1400.9523809523803</v>
      </c>
      <c r="AI206" s="72">
        <f t="shared" si="94"/>
        <v>1379.0476190476184</v>
      </c>
      <c r="AJ206" s="72">
        <f t="shared" si="94"/>
        <v>1357.1428571428564</v>
      </c>
      <c r="AK206" s="72">
        <f t="shared" si="94"/>
        <v>1335.2380952380945</v>
      </c>
      <c r="AL206" s="72">
        <f t="shared" si="94"/>
        <v>1313.3333333333326</v>
      </c>
      <c r="AM206" s="72">
        <f t="shared" si="94"/>
        <v>1291.4285714285706</v>
      </c>
    </row>
    <row r="207" spans="2:60" s="24" customFormat="1">
      <c r="B207" s="167"/>
      <c r="C207" s="168"/>
      <c r="D207" s="72"/>
      <c r="E207" s="72"/>
      <c r="F207" s="72"/>
      <c r="G207" s="72"/>
      <c r="H207" s="72"/>
      <c r="I207" s="72"/>
      <c r="J207" s="72"/>
      <c r="K207" s="72"/>
      <c r="L207" s="72"/>
      <c r="M207" s="72"/>
      <c r="N207" s="72"/>
      <c r="O207" s="73"/>
      <c r="P207" s="72"/>
      <c r="Q207" s="72"/>
      <c r="R207" s="72"/>
      <c r="S207" s="72"/>
      <c r="T207" s="72"/>
      <c r="U207" s="72"/>
      <c r="V207" s="72"/>
      <c r="W207" s="72"/>
      <c r="X207" s="72"/>
      <c r="Y207" s="72"/>
      <c r="Z207" s="72"/>
      <c r="AA207" s="73"/>
      <c r="AB207" s="72"/>
      <c r="AC207" s="72"/>
      <c r="AD207" s="72"/>
      <c r="AE207" s="72"/>
      <c r="AF207" s="72"/>
      <c r="AG207" s="72"/>
      <c r="AH207" s="72"/>
      <c r="AI207" s="72"/>
      <c r="AJ207" s="72"/>
      <c r="AK207" s="72"/>
      <c r="AL207" s="72"/>
      <c r="AM207" s="72"/>
    </row>
    <row r="208" spans="2:60" s="24" customFormat="1">
      <c r="B208" s="18" t="str">
        <f>B73</f>
        <v>Welding Apparatus</v>
      </c>
      <c r="C208" s="19"/>
      <c r="D208" s="72"/>
      <c r="E208" s="72"/>
      <c r="F208" s="72"/>
      <c r="G208" s="72"/>
      <c r="H208" s="72"/>
      <c r="I208" s="72"/>
      <c r="J208" s="72"/>
      <c r="K208" s="72"/>
      <c r="L208" s="72"/>
      <c r="M208" s="72"/>
      <c r="N208" s="72"/>
      <c r="O208" s="73"/>
      <c r="P208" s="72"/>
      <c r="Q208" s="72"/>
      <c r="R208" s="72"/>
      <c r="S208" s="72"/>
      <c r="T208" s="72"/>
      <c r="U208" s="72"/>
      <c r="V208" s="72"/>
      <c r="W208" s="72"/>
      <c r="X208" s="72"/>
      <c r="Y208" s="72"/>
      <c r="Z208" s="72"/>
      <c r="AA208" s="73"/>
      <c r="AB208" s="72"/>
      <c r="AC208" s="72"/>
      <c r="AD208" s="72"/>
      <c r="AE208" s="72"/>
      <c r="AF208" s="72"/>
      <c r="AG208" s="72"/>
      <c r="AH208" s="72"/>
      <c r="AI208" s="72"/>
      <c r="AJ208" s="72"/>
      <c r="AK208" s="72"/>
      <c r="AL208" s="72"/>
      <c r="AM208" s="72"/>
    </row>
    <row r="209" spans="2:39" s="24" customFormat="1">
      <c r="B209" s="166" t="s">
        <v>112</v>
      </c>
      <c r="C209" s="19"/>
      <c r="D209" s="19">
        <v>0</v>
      </c>
      <c r="E209" s="72">
        <f t="shared" ref="E209:AM209" si="95">D213</f>
        <v>1983.3333333333333</v>
      </c>
      <c r="F209" s="72">
        <f t="shared" si="95"/>
        <v>1966.6666666666665</v>
      </c>
      <c r="G209" s="72">
        <f t="shared" si="95"/>
        <v>1949.9999999999998</v>
      </c>
      <c r="H209" s="72">
        <f t="shared" si="95"/>
        <v>1933.333333333333</v>
      </c>
      <c r="I209" s="72">
        <f t="shared" si="95"/>
        <v>1916.6666666666663</v>
      </c>
      <c r="J209" s="72">
        <f t="shared" si="95"/>
        <v>1899.9999999999995</v>
      </c>
      <c r="K209" s="72">
        <f t="shared" si="95"/>
        <v>1883.3333333333328</v>
      </c>
      <c r="L209" s="72">
        <f t="shared" si="95"/>
        <v>1866.6666666666661</v>
      </c>
      <c r="M209" s="72">
        <f t="shared" si="95"/>
        <v>1849.9999999999993</v>
      </c>
      <c r="N209" s="72">
        <f t="shared" si="95"/>
        <v>1833.3333333333326</v>
      </c>
      <c r="O209" s="73">
        <f t="shared" si="95"/>
        <v>1816.6666666666658</v>
      </c>
      <c r="P209" s="72">
        <f t="shared" si="95"/>
        <v>1799.9999999999991</v>
      </c>
      <c r="Q209" s="72">
        <f t="shared" si="95"/>
        <v>3766.6666666666656</v>
      </c>
      <c r="R209" s="72">
        <f t="shared" si="95"/>
        <v>3733.3333333333321</v>
      </c>
      <c r="S209" s="72">
        <f t="shared" si="95"/>
        <v>3699.9999999999986</v>
      </c>
      <c r="T209" s="72">
        <f t="shared" si="95"/>
        <v>3666.6666666666652</v>
      </c>
      <c r="U209" s="72">
        <f t="shared" si="95"/>
        <v>3633.3333333333317</v>
      </c>
      <c r="V209" s="72">
        <f t="shared" si="95"/>
        <v>3599.9999999999982</v>
      </c>
      <c r="W209" s="72">
        <f t="shared" si="95"/>
        <v>3566.6666666666647</v>
      </c>
      <c r="X209" s="72">
        <f t="shared" si="95"/>
        <v>3533.3333333333312</v>
      </c>
      <c r="Y209" s="72">
        <f t="shared" si="95"/>
        <v>3499.9999999999977</v>
      </c>
      <c r="Z209" s="72">
        <f t="shared" si="95"/>
        <v>3466.6666666666642</v>
      </c>
      <c r="AA209" s="73">
        <f t="shared" si="95"/>
        <v>3433.3333333333308</v>
      </c>
      <c r="AB209" s="72">
        <f t="shared" si="95"/>
        <v>3399.9999999999973</v>
      </c>
      <c r="AC209" s="72">
        <f t="shared" si="95"/>
        <v>3366.6666666666638</v>
      </c>
      <c r="AD209" s="72">
        <f t="shared" si="95"/>
        <v>3333.3333333333303</v>
      </c>
      <c r="AE209" s="72">
        <f t="shared" si="95"/>
        <v>3299.9999999999968</v>
      </c>
      <c r="AF209" s="72">
        <f t="shared" si="95"/>
        <v>3266.6666666666633</v>
      </c>
      <c r="AG209" s="72">
        <f t="shared" si="95"/>
        <v>3233.3333333333298</v>
      </c>
      <c r="AH209" s="72">
        <f t="shared" si="95"/>
        <v>3199.9999999999964</v>
      </c>
      <c r="AI209" s="72">
        <f t="shared" si="95"/>
        <v>3166.6666666666629</v>
      </c>
      <c r="AJ209" s="72">
        <f t="shared" si="95"/>
        <v>3133.3333333333294</v>
      </c>
      <c r="AK209" s="72">
        <f t="shared" si="95"/>
        <v>3099.9999999999959</v>
      </c>
      <c r="AL209" s="72">
        <f t="shared" si="95"/>
        <v>3066.6666666666624</v>
      </c>
      <c r="AM209" s="72">
        <f t="shared" si="95"/>
        <v>3033.3333333333289</v>
      </c>
    </row>
    <row r="210" spans="2:39" s="24" customFormat="1">
      <c r="B210" s="166" t="s">
        <v>265</v>
      </c>
      <c r="C210" s="19"/>
      <c r="D210" s="72">
        <f>G73</f>
        <v>2000</v>
      </c>
      <c r="E210" s="72"/>
      <c r="F210" s="72"/>
      <c r="G210" s="72"/>
      <c r="H210" s="72"/>
      <c r="I210" s="72"/>
      <c r="J210" s="72"/>
      <c r="K210" s="72"/>
      <c r="L210" s="72"/>
      <c r="M210" s="72"/>
      <c r="N210" s="72"/>
      <c r="O210" s="73"/>
      <c r="P210" s="72">
        <f>H73</f>
        <v>2000</v>
      </c>
      <c r="Q210" s="72"/>
      <c r="R210" s="72"/>
      <c r="S210" s="72"/>
      <c r="T210" s="72"/>
      <c r="U210" s="72"/>
      <c r="V210" s="72"/>
      <c r="W210" s="72"/>
      <c r="X210" s="72"/>
      <c r="Y210" s="72"/>
      <c r="Z210" s="72"/>
      <c r="AA210" s="73"/>
      <c r="AB210" s="72"/>
      <c r="AC210" s="72"/>
      <c r="AD210" s="72"/>
      <c r="AE210" s="72"/>
      <c r="AF210" s="72"/>
      <c r="AG210" s="72"/>
      <c r="AH210" s="72"/>
      <c r="AI210" s="72"/>
      <c r="AJ210" s="72"/>
      <c r="AK210" s="72"/>
      <c r="AL210" s="72"/>
      <c r="AM210" s="72"/>
    </row>
    <row r="211" spans="2:39" s="24" customFormat="1">
      <c r="B211" s="166" t="s">
        <v>110</v>
      </c>
      <c r="C211" s="19"/>
      <c r="D211" s="72">
        <f t="shared" ref="D211:AM211" si="96">SUM(D209:D210)</f>
        <v>2000</v>
      </c>
      <c r="E211" s="72">
        <f t="shared" si="96"/>
        <v>1983.3333333333333</v>
      </c>
      <c r="F211" s="72">
        <f t="shared" si="96"/>
        <v>1966.6666666666665</v>
      </c>
      <c r="G211" s="72">
        <f t="shared" si="96"/>
        <v>1949.9999999999998</v>
      </c>
      <c r="H211" s="72">
        <f t="shared" si="96"/>
        <v>1933.333333333333</v>
      </c>
      <c r="I211" s="72">
        <f t="shared" si="96"/>
        <v>1916.6666666666663</v>
      </c>
      <c r="J211" s="72">
        <f t="shared" si="96"/>
        <v>1899.9999999999995</v>
      </c>
      <c r="K211" s="72">
        <f t="shared" si="96"/>
        <v>1883.3333333333328</v>
      </c>
      <c r="L211" s="72">
        <f t="shared" si="96"/>
        <v>1866.6666666666661</v>
      </c>
      <c r="M211" s="72">
        <f t="shared" si="96"/>
        <v>1849.9999999999993</v>
      </c>
      <c r="N211" s="72">
        <f t="shared" si="96"/>
        <v>1833.3333333333326</v>
      </c>
      <c r="O211" s="73">
        <f t="shared" si="96"/>
        <v>1816.6666666666658</v>
      </c>
      <c r="P211" s="72">
        <f t="shared" si="96"/>
        <v>3799.9999999999991</v>
      </c>
      <c r="Q211" s="72">
        <f t="shared" si="96"/>
        <v>3766.6666666666656</v>
      </c>
      <c r="R211" s="72">
        <f t="shared" si="96"/>
        <v>3733.3333333333321</v>
      </c>
      <c r="S211" s="72">
        <f t="shared" si="96"/>
        <v>3699.9999999999986</v>
      </c>
      <c r="T211" s="72">
        <f t="shared" si="96"/>
        <v>3666.6666666666652</v>
      </c>
      <c r="U211" s="72">
        <f t="shared" si="96"/>
        <v>3633.3333333333317</v>
      </c>
      <c r="V211" s="72">
        <f t="shared" si="96"/>
        <v>3599.9999999999982</v>
      </c>
      <c r="W211" s="72">
        <f t="shared" si="96"/>
        <v>3566.6666666666647</v>
      </c>
      <c r="X211" s="72">
        <f t="shared" si="96"/>
        <v>3533.3333333333312</v>
      </c>
      <c r="Y211" s="72">
        <f t="shared" si="96"/>
        <v>3499.9999999999977</v>
      </c>
      <c r="Z211" s="72">
        <f t="shared" si="96"/>
        <v>3466.6666666666642</v>
      </c>
      <c r="AA211" s="73">
        <f t="shared" si="96"/>
        <v>3433.3333333333308</v>
      </c>
      <c r="AB211" s="72">
        <f t="shared" si="96"/>
        <v>3399.9999999999973</v>
      </c>
      <c r="AC211" s="72">
        <f t="shared" si="96"/>
        <v>3366.6666666666638</v>
      </c>
      <c r="AD211" s="72">
        <f t="shared" si="96"/>
        <v>3333.3333333333303</v>
      </c>
      <c r="AE211" s="72">
        <f t="shared" si="96"/>
        <v>3299.9999999999968</v>
      </c>
      <c r="AF211" s="72">
        <f t="shared" si="96"/>
        <v>3266.6666666666633</v>
      </c>
      <c r="AG211" s="72">
        <f t="shared" si="96"/>
        <v>3233.3333333333298</v>
      </c>
      <c r="AH211" s="72">
        <f t="shared" si="96"/>
        <v>3199.9999999999964</v>
      </c>
      <c r="AI211" s="72">
        <f t="shared" si="96"/>
        <v>3166.6666666666629</v>
      </c>
      <c r="AJ211" s="72">
        <f t="shared" si="96"/>
        <v>3133.3333333333294</v>
      </c>
      <c r="AK211" s="72">
        <f t="shared" si="96"/>
        <v>3099.9999999999959</v>
      </c>
      <c r="AL211" s="72">
        <f t="shared" si="96"/>
        <v>3066.6666666666624</v>
      </c>
      <c r="AM211" s="72">
        <f t="shared" si="96"/>
        <v>3033.3333333333289</v>
      </c>
    </row>
    <row r="212" spans="2:39" s="24" customFormat="1">
      <c r="B212" s="166" t="s">
        <v>57</v>
      </c>
      <c r="C212" s="19"/>
      <c r="D212" s="72">
        <f t="shared" ref="D212:O212" si="97">-($D$210*$L$73/12)</f>
        <v>-16.666666666666668</v>
      </c>
      <c r="E212" s="72">
        <f t="shared" si="97"/>
        <v>-16.666666666666668</v>
      </c>
      <c r="F212" s="72">
        <f t="shared" si="97"/>
        <v>-16.666666666666668</v>
      </c>
      <c r="G212" s="72">
        <f t="shared" si="97"/>
        <v>-16.666666666666668</v>
      </c>
      <c r="H212" s="72">
        <f t="shared" si="97"/>
        <v>-16.666666666666668</v>
      </c>
      <c r="I212" s="72">
        <f t="shared" si="97"/>
        <v>-16.666666666666668</v>
      </c>
      <c r="J212" s="72">
        <f t="shared" si="97"/>
        <v>-16.666666666666668</v>
      </c>
      <c r="K212" s="72">
        <f t="shared" si="97"/>
        <v>-16.666666666666668</v>
      </c>
      <c r="L212" s="72">
        <f t="shared" si="97"/>
        <v>-16.666666666666668</v>
      </c>
      <c r="M212" s="72">
        <f t="shared" si="97"/>
        <v>-16.666666666666668</v>
      </c>
      <c r="N212" s="72">
        <f t="shared" si="97"/>
        <v>-16.666666666666668</v>
      </c>
      <c r="O212" s="72">
        <f t="shared" si="97"/>
        <v>-16.666666666666668</v>
      </c>
      <c r="P212" s="72">
        <f t="shared" ref="P212:AM212" si="98">-($D$210*$L$73/12)-($D$210*$L$73/12)</f>
        <v>-33.333333333333336</v>
      </c>
      <c r="Q212" s="72">
        <f t="shared" si="98"/>
        <v>-33.333333333333336</v>
      </c>
      <c r="R212" s="72">
        <f t="shared" si="98"/>
        <v>-33.333333333333336</v>
      </c>
      <c r="S212" s="72">
        <f t="shared" si="98"/>
        <v>-33.333333333333336</v>
      </c>
      <c r="T212" s="72">
        <f t="shared" si="98"/>
        <v>-33.333333333333336</v>
      </c>
      <c r="U212" s="72">
        <f t="shared" si="98"/>
        <v>-33.333333333333336</v>
      </c>
      <c r="V212" s="72">
        <f t="shared" si="98"/>
        <v>-33.333333333333336</v>
      </c>
      <c r="W212" s="72">
        <f t="shared" si="98"/>
        <v>-33.333333333333336</v>
      </c>
      <c r="X212" s="72">
        <f t="shared" si="98"/>
        <v>-33.333333333333336</v>
      </c>
      <c r="Y212" s="72">
        <f t="shared" si="98"/>
        <v>-33.333333333333336</v>
      </c>
      <c r="Z212" s="72">
        <f t="shared" si="98"/>
        <v>-33.333333333333336</v>
      </c>
      <c r="AA212" s="72">
        <f t="shared" si="98"/>
        <v>-33.333333333333336</v>
      </c>
      <c r="AB212" s="72">
        <f t="shared" si="98"/>
        <v>-33.333333333333336</v>
      </c>
      <c r="AC212" s="72">
        <f t="shared" si="98"/>
        <v>-33.333333333333336</v>
      </c>
      <c r="AD212" s="72">
        <f t="shared" si="98"/>
        <v>-33.333333333333336</v>
      </c>
      <c r="AE212" s="72">
        <f t="shared" si="98"/>
        <v>-33.333333333333336</v>
      </c>
      <c r="AF212" s="72">
        <f t="shared" si="98"/>
        <v>-33.333333333333336</v>
      </c>
      <c r="AG212" s="72">
        <f t="shared" si="98"/>
        <v>-33.333333333333336</v>
      </c>
      <c r="AH212" s="72">
        <f t="shared" si="98"/>
        <v>-33.333333333333336</v>
      </c>
      <c r="AI212" s="72">
        <f t="shared" si="98"/>
        <v>-33.333333333333336</v>
      </c>
      <c r="AJ212" s="72">
        <f t="shared" si="98"/>
        <v>-33.333333333333336</v>
      </c>
      <c r="AK212" s="72">
        <f t="shared" si="98"/>
        <v>-33.333333333333336</v>
      </c>
      <c r="AL212" s="72">
        <f t="shared" si="98"/>
        <v>-33.333333333333336</v>
      </c>
      <c r="AM212" s="72">
        <f t="shared" si="98"/>
        <v>-33.333333333333336</v>
      </c>
    </row>
    <row r="213" spans="2:39" s="24" customFormat="1">
      <c r="B213" s="167" t="s">
        <v>255</v>
      </c>
      <c r="C213" s="168"/>
      <c r="D213" s="72">
        <f t="shared" ref="D213:AM213" si="99">SUM(D211:D212)</f>
        <v>1983.3333333333333</v>
      </c>
      <c r="E213" s="72">
        <f t="shared" si="99"/>
        <v>1966.6666666666665</v>
      </c>
      <c r="F213" s="72">
        <f t="shared" si="99"/>
        <v>1949.9999999999998</v>
      </c>
      <c r="G213" s="72">
        <f t="shared" si="99"/>
        <v>1933.333333333333</v>
      </c>
      <c r="H213" s="72">
        <f t="shared" si="99"/>
        <v>1916.6666666666663</v>
      </c>
      <c r="I213" s="72">
        <f t="shared" si="99"/>
        <v>1899.9999999999995</v>
      </c>
      <c r="J213" s="72">
        <f t="shared" si="99"/>
        <v>1883.3333333333328</v>
      </c>
      <c r="K213" s="72">
        <f t="shared" si="99"/>
        <v>1866.6666666666661</v>
      </c>
      <c r="L213" s="72">
        <f t="shared" si="99"/>
        <v>1849.9999999999993</v>
      </c>
      <c r="M213" s="72">
        <f t="shared" si="99"/>
        <v>1833.3333333333326</v>
      </c>
      <c r="N213" s="72">
        <f t="shared" si="99"/>
        <v>1816.6666666666658</v>
      </c>
      <c r="O213" s="73">
        <f t="shared" si="99"/>
        <v>1799.9999999999991</v>
      </c>
      <c r="P213" s="72">
        <f t="shared" si="99"/>
        <v>3766.6666666666656</v>
      </c>
      <c r="Q213" s="72">
        <f t="shared" si="99"/>
        <v>3733.3333333333321</v>
      </c>
      <c r="R213" s="72">
        <f t="shared" si="99"/>
        <v>3699.9999999999986</v>
      </c>
      <c r="S213" s="72">
        <f t="shared" si="99"/>
        <v>3666.6666666666652</v>
      </c>
      <c r="T213" s="72">
        <f t="shared" si="99"/>
        <v>3633.3333333333317</v>
      </c>
      <c r="U213" s="72">
        <f t="shared" si="99"/>
        <v>3599.9999999999982</v>
      </c>
      <c r="V213" s="72">
        <f t="shared" si="99"/>
        <v>3566.6666666666647</v>
      </c>
      <c r="W213" s="72">
        <f t="shared" si="99"/>
        <v>3533.3333333333312</v>
      </c>
      <c r="X213" s="72">
        <f t="shared" si="99"/>
        <v>3499.9999999999977</v>
      </c>
      <c r="Y213" s="72">
        <f t="shared" si="99"/>
        <v>3466.6666666666642</v>
      </c>
      <c r="Z213" s="72">
        <f t="shared" si="99"/>
        <v>3433.3333333333308</v>
      </c>
      <c r="AA213" s="73">
        <f t="shared" si="99"/>
        <v>3399.9999999999973</v>
      </c>
      <c r="AB213" s="72">
        <f t="shared" si="99"/>
        <v>3366.6666666666638</v>
      </c>
      <c r="AC213" s="72">
        <f t="shared" si="99"/>
        <v>3333.3333333333303</v>
      </c>
      <c r="AD213" s="72">
        <f t="shared" si="99"/>
        <v>3299.9999999999968</v>
      </c>
      <c r="AE213" s="72">
        <f t="shared" si="99"/>
        <v>3266.6666666666633</v>
      </c>
      <c r="AF213" s="72">
        <f t="shared" si="99"/>
        <v>3233.3333333333298</v>
      </c>
      <c r="AG213" s="72">
        <f t="shared" si="99"/>
        <v>3199.9999999999964</v>
      </c>
      <c r="AH213" s="72">
        <f t="shared" si="99"/>
        <v>3166.6666666666629</v>
      </c>
      <c r="AI213" s="72">
        <f t="shared" si="99"/>
        <v>3133.3333333333294</v>
      </c>
      <c r="AJ213" s="72">
        <f t="shared" si="99"/>
        <v>3099.9999999999959</v>
      </c>
      <c r="AK213" s="72">
        <f t="shared" si="99"/>
        <v>3066.6666666666624</v>
      </c>
      <c r="AL213" s="72">
        <f t="shared" si="99"/>
        <v>3033.3333333333289</v>
      </c>
      <c r="AM213" s="72">
        <f t="shared" si="99"/>
        <v>2999.9999999999955</v>
      </c>
    </row>
    <row r="214" spans="2:39" s="24" customFormat="1">
      <c r="B214" s="167"/>
      <c r="C214" s="168"/>
      <c r="D214" s="72"/>
      <c r="E214" s="72"/>
      <c r="F214" s="72"/>
      <c r="G214" s="72"/>
      <c r="H214" s="72"/>
      <c r="I214" s="72"/>
      <c r="J214" s="72"/>
      <c r="K214" s="72"/>
      <c r="L214" s="72"/>
      <c r="M214" s="72"/>
      <c r="N214" s="72"/>
      <c r="O214" s="73"/>
      <c r="P214" s="72"/>
      <c r="Q214" s="72"/>
      <c r="R214" s="72"/>
      <c r="S214" s="72"/>
      <c r="T214" s="72"/>
      <c r="U214" s="72"/>
      <c r="V214" s="72"/>
      <c r="W214" s="72"/>
      <c r="X214" s="72"/>
      <c r="Y214" s="72"/>
      <c r="Z214" s="72"/>
      <c r="AA214" s="73"/>
      <c r="AB214" s="72"/>
      <c r="AC214" s="72"/>
      <c r="AD214" s="72"/>
      <c r="AE214" s="72"/>
      <c r="AF214" s="72"/>
      <c r="AG214" s="72"/>
      <c r="AH214" s="72"/>
      <c r="AI214" s="72"/>
      <c r="AJ214" s="72"/>
      <c r="AK214" s="72"/>
      <c r="AL214" s="72"/>
      <c r="AM214" s="72"/>
    </row>
    <row r="215" spans="2:39" s="24" customFormat="1">
      <c r="B215" s="18" t="str">
        <f>B74</f>
        <v>Painting Equipment</v>
      </c>
      <c r="C215" s="19"/>
      <c r="D215" s="72"/>
      <c r="E215" s="72"/>
      <c r="F215" s="72"/>
      <c r="G215" s="72"/>
      <c r="H215" s="72"/>
      <c r="I215" s="72"/>
      <c r="J215" s="72"/>
      <c r="K215" s="72"/>
      <c r="L215" s="72"/>
      <c r="M215" s="72"/>
      <c r="N215" s="72"/>
      <c r="O215" s="73"/>
      <c r="P215" s="72"/>
      <c r="Q215" s="72"/>
      <c r="R215" s="72"/>
      <c r="S215" s="72"/>
      <c r="T215" s="72"/>
      <c r="U215" s="72"/>
      <c r="V215" s="72"/>
      <c r="W215" s="72"/>
      <c r="X215" s="72"/>
      <c r="Y215" s="72"/>
      <c r="Z215" s="72"/>
      <c r="AA215" s="73"/>
      <c r="AB215" s="72"/>
      <c r="AC215" s="72"/>
      <c r="AD215" s="72"/>
      <c r="AE215" s="72"/>
      <c r="AF215" s="72"/>
      <c r="AG215" s="72"/>
      <c r="AH215" s="72"/>
      <c r="AI215" s="72"/>
      <c r="AJ215" s="72"/>
      <c r="AK215" s="72"/>
      <c r="AL215" s="72"/>
      <c r="AM215" s="72"/>
    </row>
    <row r="216" spans="2:39" s="24" customFormat="1">
      <c r="B216" s="166" t="s">
        <v>112</v>
      </c>
      <c r="C216" s="19"/>
      <c r="D216" s="19">
        <v>0</v>
      </c>
      <c r="E216" s="72">
        <f>D220</f>
        <v>3540</v>
      </c>
      <c r="F216" s="72">
        <f t="shared" ref="F216:AM216" si="100">E220</f>
        <v>3480</v>
      </c>
      <c r="G216" s="72">
        <f t="shared" si="100"/>
        <v>3420</v>
      </c>
      <c r="H216" s="72">
        <f t="shared" si="100"/>
        <v>3360</v>
      </c>
      <c r="I216" s="72">
        <f t="shared" si="100"/>
        <v>3300</v>
      </c>
      <c r="J216" s="72">
        <f t="shared" si="100"/>
        <v>3240</v>
      </c>
      <c r="K216" s="72">
        <f t="shared" si="100"/>
        <v>3180</v>
      </c>
      <c r="L216" s="72">
        <f t="shared" si="100"/>
        <v>3120</v>
      </c>
      <c r="M216" s="72">
        <f t="shared" si="100"/>
        <v>3060</v>
      </c>
      <c r="N216" s="72">
        <f t="shared" si="100"/>
        <v>3000</v>
      </c>
      <c r="O216" s="73">
        <f t="shared" si="100"/>
        <v>2940</v>
      </c>
      <c r="P216" s="72">
        <f t="shared" si="100"/>
        <v>2880</v>
      </c>
      <c r="Q216" s="72">
        <f t="shared" si="100"/>
        <v>2820</v>
      </c>
      <c r="R216" s="72">
        <f t="shared" si="100"/>
        <v>2760</v>
      </c>
      <c r="S216" s="72">
        <f t="shared" si="100"/>
        <v>2700</v>
      </c>
      <c r="T216" s="72">
        <f t="shared" si="100"/>
        <v>2640</v>
      </c>
      <c r="U216" s="72">
        <f t="shared" si="100"/>
        <v>2580</v>
      </c>
      <c r="V216" s="72">
        <f t="shared" si="100"/>
        <v>2520</v>
      </c>
      <c r="W216" s="72">
        <f t="shared" si="100"/>
        <v>2460</v>
      </c>
      <c r="X216" s="72">
        <f t="shared" si="100"/>
        <v>2400</v>
      </c>
      <c r="Y216" s="72">
        <f t="shared" si="100"/>
        <v>2340</v>
      </c>
      <c r="Z216" s="72">
        <f t="shared" si="100"/>
        <v>2280</v>
      </c>
      <c r="AA216" s="73">
        <f t="shared" si="100"/>
        <v>2220</v>
      </c>
      <c r="AB216" s="72">
        <f t="shared" si="100"/>
        <v>2160</v>
      </c>
      <c r="AC216" s="72">
        <f t="shared" si="100"/>
        <v>2100</v>
      </c>
      <c r="AD216" s="72">
        <f t="shared" si="100"/>
        <v>2040</v>
      </c>
      <c r="AE216" s="72">
        <f t="shared" si="100"/>
        <v>1980</v>
      </c>
      <c r="AF216" s="72">
        <f t="shared" si="100"/>
        <v>1920</v>
      </c>
      <c r="AG216" s="72">
        <f t="shared" si="100"/>
        <v>1860</v>
      </c>
      <c r="AH216" s="72">
        <f t="shared" si="100"/>
        <v>1800</v>
      </c>
      <c r="AI216" s="72">
        <f t="shared" si="100"/>
        <v>1740</v>
      </c>
      <c r="AJ216" s="72">
        <f t="shared" si="100"/>
        <v>1680</v>
      </c>
      <c r="AK216" s="72">
        <f t="shared" si="100"/>
        <v>1620</v>
      </c>
      <c r="AL216" s="72">
        <f t="shared" si="100"/>
        <v>1560</v>
      </c>
      <c r="AM216" s="72">
        <f t="shared" si="100"/>
        <v>1500</v>
      </c>
    </row>
    <row r="217" spans="2:39" s="24" customFormat="1">
      <c r="B217" s="166" t="s">
        <v>265</v>
      </c>
      <c r="C217" s="19"/>
      <c r="D217" s="72">
        <f>G74</f>
        <v>3600</v>
      </c>
      <c r="E217" s="72"/>
      <c r="F217" s="72"/>
      <c r="G217" s="72"/>
      <c r="H217" s="72"/>
      <c r="I217" s="72"/>
      <c r="J217" s="72"/>
      <c r="K217" s="72"/>
      <c r="L217" s="72"/>
      <c r="M217" s="72"/>
      <c r="N217" s="72"/>
      <c r="O217" s="73"/>
      <c r="P217" s="72">
        <f>H86</f>
        <v>0</v>
      </c>
      <c r="Q217" s="72"/>
      <c r="R217" s="72"/>
      <c r="S217" s="72"/>
      <c r="T217" s="72"/>
      <c r="U217" s="72"/>
      <c r="V217" s="72"/>
      <c r="W217" s="72"/>
      <c r="X217" s="72"/>
      <c r="Y217" s="72"/>
      <c r="Z217" s="72"/>
      <c r="AA217" s="73"/>
      <c r="AB217" s="72"/>
      <c r="AC217" s="72"/>
      <c r="AD217" s="72"/>
      <c r="AE217" s="72"/>
      <c r="AF217" s="72"/>
      <c r="AG217" s="72"/>
      <c r="AH217" s="72"/>
      <c r="AI217" s="72"/>
      <c r="AJ217" s="72"/>
      <c r="AK217" s="72"/>
      <c r="AL217" s="72"/>
      <c r="AM217" s="72"/>
    </row>
    <row r="218" spans="2:39" s="24" customFormat="1">
      <c r="B218" s="166" t="s">
        <v>110</v>
      </c>
      <c r="C218" s="19"/>
      <c r="D218" s="72">
        <f>SUM(D216:D217)</f>
        <v>3600</v>
      </c>
      <c r="E218" s="72">
        <f t="shared" ref="E218:AM218" si="101">SUM(E216:E217)</f>
        <v>3540</v>
      </c>
      <c r="F218" s="72">
        <f t="shared" si="101"/>
        <v>3480</v>
      </c>
      <c r="G218" s="72">
        <f t="shared" si="101"/>
        <v>3420</v>
      </c>
      <c r="H218" s="72">
        <f t="shared" si="101"/>
        <v>3360</v>
      </c>
      <c r="I218" s="72">
        <f t="shared" si="101"/>
        <v>3300</v>
      </c>
      <c r="J218" s="72">
        <f t="shared" si="101"/>
        <v>3240</v>
      </c>
      <c r="K218" s="72">
        <f t="shared" si="101"/>
        <v>3180</v>
      </c>
      <c r="L218" s="72">
        <f t="shared" si="101"/>
        <v>3120</v>
      </c>
      <c r="M218" s="72">
        <f t="shared" si="101"/>
        <v>3060</v>
      </c>
      <c r="N218" s="72">
        <f t="shared" si="101"/>
        <v>3000</v>
      </c>
      <c r="O218" s="73">
        <f t="shared" si="101"/>
        <v>2940</v>
      </c>
      <c r="P218" s="72">
        <f t="shared" si="101"/>
        <v>2880</v>
      </c>
      <c r="Q218" s="72">
        <f t="shared" si="101"/>
        <v>2820</v>
      </c>
      <c r="R218" s="72">
        <f t="shared" si="101"/>
        <v>2760</v>
      </c>
      <c r="S218" s="72">
        <f t="shared" si="101"/>
        <v>2700</v>
      </c>
      <c r="T218" s="72">
        <f t="shared" si="101"/>
        <v>2640</v>
      </c>
      <c r="U218" s="72">
        <f t="shared" si="101"/>
        <v>2580</v>
      </c>
      <c r="V218" s="72">
        <f t="shared" si="101"/>
        <v>2520</v>
      </c>
      <c r="W218" s="72">
        <f t="shared" si="101"/>
        <v>2460</v>
      </c>
      <c r="X218" s="72">
        <f t="shared" si="101"/>
        <v>2400</v>
      </c>
      <c r="Y218" s="72">
        <f t="shared" si="101"/>
        <v>2340</v>
      </c>
      <c r="Z218" s="72">
        <f t="shared" si="101"/>
        <v>2280</v>
      </c>
      <c r="AA218" s="73">
        <f t="shared" si="101"/>
        <v>2220</v>
      </c>
      <c r="AB218" s="72">
        <f t="shared" si="101"/>
        <v>2160</v>
      </c>
      <c r="AC218" s="72">
        <f t="shared" si="101"/>
        <v>2100</v>
      </c>
      <c r="AD218" s="72">
        <f t="shared" si="101"/>
        <v>2040</v>
      </c>
      <c r="AE218" s="72">
        <f t="shared" si="101"/>
        <v>1980</v>
      </c>
      <c r="AF218" s="72">
        <f t="shared" si="101"/>
        <v>1920</v>
      </c>
      <c r="AG218" s="72">
        <f t="shared" si="101"/>
        <v>1860</v>
      </c>
      <c r="AH218" s="72">
        <f t="shared" si="101"/>
        <v>1800</v>
      </c>
      <c r="AI218" s="72">
        <f t="shared" si="101"/>
        <v>1740</v>
      </c>
      <c r="AJ218" s="72">
        <f t="shared" si="101"/>
        <v>1680</v>
      </c>
      <c r="AK218" s="72">
        <f t="shared" si="101"/>
        <v>1620</v>
      </c>
      <c r="AL218" s="72">
        <f t="shared" si="101"/>
        <v>1560</v>
      </c>
      <c r="AM218" s="72">
        <f t="shared" si="101"/>
        <v>1500</v>
      </c>
    </row>
    <row r="219" spans="2:39" s="24" customFormat="1">
      <c r="B219" s="166" t="s">
        <v>57</v>
      </c>
      <c r="C219" s="19"/>
      <c r="D219" s="72">
        <f t="shared" ref="D219:AM219" si="102">(-$D$217/$J$74/12)</f>
        <v>-60</v>
      </c>
      <c r="E219" s="72">
        <f t="shared" si="102"/>
        <v>-60</v>
      </c>
      <c r="F219" s="72">
        <f t="shared" si="102"/>
        <v>-60</v>
      </c>
      <c r="G219" s="72">
        <f t="shared" si="102"/>
        <v>-60</v>
      </c>
      <c r="H219" s="72">
        <f t="shared" si="102"/>
        <v>-60</v>
      </c>
      <c r="I219" s="72">
        <f t="shared" si="102"/>
        <v>-60</v>
      </c>
      <c r="J219" s="72">
        <f t="shared" si="102"/>
        <v>-60</v>
      </c>
      <c r="K219" s="72">
        <f t="shared" si="102"/>
        <v>-60</v>
      </c>
      <c r="L219" s="72">
        <f t="shared" si="102"/>
        <v>-60</v>
      </c>
      <c r="M219" s="72">
        <f t="shared" si="102"/>
        <v>-60</v>
      </c>
      <c r="N219" s="72">
        <f t="shared" si="102"/>
        <v>-60</v>
      </c>
      <c r="O219" s="72">
        <f t="shared" si="102"/>
        <v>-60</v>
      </c>
      <c r="P219" s="72">
        <f t="shared" si="102"/>
        <v>-60</v>
      </c>
      <c r="Q219" s="72">
        <f t="shared" si="102"/>
        <v>-60</v>
      </c>
      <c r="R219" s="72">
        <f t="shared" si="102"/>
        <v>-60</v>
      </c>
      <c r="S219" s="72">
        <f t="shared" si="102"/>
        <v>-60</v>
      </c>
      <c r="T219" s="72">
        <f t="shared" si="102"/>
        <v>-60</v>
      </c>
      <c r="U219" s="72">
        <f t="shared" si="102"/>
        <v>-60</v>
      </c>
      <c r="V219" s="72">
        <f t="shared" si="102"/>
        <v>-60</v>
      </c>
      <c r="W219" s="72">
        <f t="shared" si="102"/>
        <v>-60</v>
      </c>
      <c r="X219" s="72">
        <f t="shared" si="102"/>
        <v>-60</v>
      </c>
      <c r="Y219" s="72">
        <f t="shared" si="102"/>
        <v>-60</v>
      </c>
      <c r="Z219" s="72">
        <f t="shared" si="102"/>
        <v>-60</v>
      </c>
      <c r="AA219" s="72">
        <f t="shared" si="102"/>
        <v>-60</v>
      </c>
      <c r="AB219" s="72">
        <f t="shared" si="102"/>
        <v>-60</v>
      </c>
      <c r="AC219" s="72">
        <f t="shared" si="102"/>
        <v>-60</v>
      </c>
      <c r="AD219" s="72">
        <f t="shared" si="102"/>
        <v>-60</v>
      </c>
      <c r="AE219" s="72">
        <f t="shared" si="102"/>
        <v>-60</v>
      </c>
      <c r="AF219" s="72">
        <f t="shared" si="102"/>
        <v>-60</v>
      </c>
      <c r="AG219" s="72">
        <f t="shared" si="102"/>
        <v>-60</v>
      </c>
      <c r="AH219" s="72">
        <f t="shared" si="102"/>
        <v>-60</v>
      </c>
      <c r="AI219" s="72">
        <f t="shared" si="102"/>
        <v>-60</v>
      </c>
      <c r="AJ219" s="72">
        <f t="shared" si="102"/>
        <v>-60</v>
      </c>
      <c r="AK219" s="72">
        <f t="shared" si="102"/>
        <v>-60</v>
      </c>
      <c r="AL219" s="72">
        <f t="shared" si="102"/>
        <v>-60</v>
      </c>
      <c r="AM219" s="72">
        <f t="shared" si="102"/>
        <v>-60</v>
      </c>
    </row>
    <row r="220" spans="2:39" s="24" customFormat="1">
      <c r="B220" s="167" t="s">
        <v>255</v>
      </c>
      <c r="C220" s="168"/>
      <c r="D220" s="72">
        <f>SUM(D218:D219)</f>
        <v>3540</v>
      </c>
      <c r="E220" s="72">
        <f t="shared" ref="E220:AM220" si="103">SUM(E218:E219)</f>
        <v>3480</v>
      </c>
      <c r="F220" s="72">
        <f t="shared" si="103"/>
        <v>3420</v>
      </c>
      <c r="G220" s="72">
        <f t="shared" si="103"/>
        <v>3360</v>
      </c>
      <c r="H220" s="72">
        <f t="shared" si="103"/>
        <v>3300</v>
      </c>
      <c r="I220" s="72">
        <f t="shared" si="103"/>
        <v>3240</v>
      </c>
      <c r="J220" s="72">
        <f t="shared" si="103"/>
        <v>3180</v>
      </c>
      <c r="K220" s="72">
        <f t="shared" si="103"/>
        <v>3120</v>
      </c>
      <c r="L220" s="72">
        <f t="shared" si="103"/>
        <v>3060</v>
      </c>
      <c r="M220" s="72">
        <f t="shared" si="103"/>
        <v>3000</v>
      </c>
      <c r="N220" s="72">
        <f t="shared" si="103"/>
        <v>2940</v>
      </c>
      <c r="O220" s="73">
        <f t="shared" si="103"/>
        <v>2880</v>
      </c>
      <c r="P220" s="72">
        <f t="shared" si="103"/>
        <v>2820</v>
      </c>
      <c r="Q220" s="72">
        <f t="shared" si="103"/>
        <v>2760</v>
      </c>
      <c r="R220" s="72">
        <f t="shared" si="103"/>
        <v>2700</v>
      </c>
      <c r="S220" s="72">
        <f t="shared" si="103"/>
        <v>2640</v>
      </c>
      <c r="T220" s="72">
        <f t="shared" si="103"/>
        <v>2580</v>
      </c>
      <c r="U220" s="72">
        <f t="shared" si="103"/>
        <v>2520</v>
      </c>
      <c r="V220" s="72">
        <f t="shared" si="103"/>
        <v>2460</v>
      </c>
      <c r="W220" s="72">
        <f t="shared" si="103"/>
        <v>2400</v>
      </c>
      <c r="X220" s="72">
        <f t="shared" si="103"/>
        <v>2340</v>
      </c>
      <c r="Y220" s="72">
        <f t="shared" si="103"/>
        <v>2280</v>
      </c>
      <c r="Z220" s="72">
        <f t="shared" si="103"/>
        <v>2220</v>
      </c>
      <c r="AA220" s="73">
        <f t="shared" si="103"/>
        <v>2160</v>
      </c>
      <c r="AB220" s="72">
        <f t="shared" si="103"/>
        <v>2100</v>
      </c>
      <c r="AC220" s="72">
        <f t="shared" si="103"/>
        <v>2040</v>
      </c>
      <c r="AD220" s="72">
        <f t="shared" si="103"/>
        <v>1980</v>
      </c>
      <c r="AE220" s="72">
        <f t="shared" si="103"/>
        <v>1920</v>
      </c>
      <c r="AF220" s="72">
        <f t="shared" si="103"/>
        <v>1860</v>
      </c>
      <c r="AG220" s="72">
        <f t="shared" si="103"/>
        <v>1800</v>
      </c>
      <c r="AH220" s="72">
        <f t="shared" si="103"/>
        <v>1740</v>
      </c>
      <c r="AI220" s="72">
        <f t="shared" si="103"/>
        <v>1680</v>
      </c>
      <c r="AJ220" s="72">
        <f t="shared" si="103"/>
        <v>1620</v>
      </c>
      <c r="AK220" s="72">
        <f t="shared" si="103"/>
        <v>1560</v>
      </c>
      <c r="AL220" s="72">
        <f t="shared" si="103"/>
        <v>1500</v>
      </c>
      <c r="AM220" s="72">
        <f t="shared" si="103"/>
        <v>1440</v>
      </c>
    </row>
    <row r="221" spans="2:39" s="24" customFormat="1">
      <c r="B221" s="167"/>
      <c r="C221" s="168"/>
      <c r="D221" s="72"/>
      <c r="E221" s="72"/>
      <c r="F221" s="72"/>
      <c r="G221" s="72"/>
      <c r="H221" s="72"/>
      <c r="I221" s="72"/>
      <c r="J221" s="72"/>
      <c r="K221" s="72"/>
      <c r="L221" s="72"/>
      <c r="M221" s="72"/>
      <c r="N221" s="72"/>
      <c r="O221" s="73"/>
      <c r="P221" s="72"/>
      <c r="Q221" s="72"/>
      <c r="R221" s="72"/>
      <c r="S221" s="72"/>
      <c r="T221" s="72"/>
      <c r="U221" s="72"/>
      <c r="V221" s="72"/>
      <c r="W221" s="72"/>
      <c r="X221" s="72"/>
      <c r="Y221" s="72"/>
      <c r="Z221" s="72"/>
      <c r="AA221" s="73"/>
      <c r="AB221" s="72"/>
      <c r="AC221" s="72"/>
      <c r="AD221" s="72"/>
      <c r="AE221" s="72"/>
      <c r="AF221" s="72"/>
      <c r="AG221" s="72"/>
      <c r="AH221" s="72"/>
      <c r="AI221" s="72"/>
      <c r="AJ221" s="72"/>
      <c r="AK221" s="72"/>
      <c r="AL221" s="72"/>
      <c r="AM221" s="72"/>
    </row>
    <row r="222" spans="2:39" s="24" customFormat="1">
      <c r="B222" s="18" t="str">
        <f>B75</f>
        <v>Walkie Talkies</v>
      </c>
      <c r="C222" s="19"/>
      <c r="D222" s="72"/>
      <c r="E222" s="72"/>
      <c r="F222" s="72"/>
      <c r="G222" s="72"/>
      <c r="H222" s="72"/>
      <c r="I222" s="72"/>
      <c r="J222" s="72"/>
      <c r="K222" s="72"/>
      <c r="L222" s="72"/>
      <c r="M222" s="72"/>
      <c r="N222" s="72"/>
      <c r="O222" s="73"/>
      <c r="P222" s="72"/>
      <c r="Q222" s="72"/>
      <c r="R222" s="72"/>
      <c r="S222" s="72"/>
      <c r="T222" s="72"/>
      <c r="U222" s="72"/>
      <c r="V222" s="72"/>
      <c r="W222" s="72"/>
      <c r="X222" s="72"/>
      <c r="Y222" s="72"/>
      <c r="Z222" s="72"/>
      <c r="AA222" s="73"/>
      <c r="AB222" s="72"/>
      <c r="AC222" s="72"/>
      <c r="AD222" s="72"/>
      <c r="AE222" s="72"/>
      <c r="AF222" s="72"/>
      <c r="AG222" s="72"/>
      <c r="AH222" s="72"/>
      <c r="AI222" s="72"/>
      <c r="AJ222" s="72"/>
      <c r="AK222" s="72"/>
      <c r="AL222" s="72"/>
      <c r="AM222" s="72"/>
    </row>
    <row r="223" spans="2:39" s="24" customFormat="1">
      <c r="B223" s="166" t="s">
        <v>112</v>
      </c>
      <c r="C223" s="19"/>
      <c r="D223" s="19">
        <v>0</v>
      </c>
      <c r="E223" s="72">
        <f>D227</f>
        <v>395.83333333333331</v>
      </c>
      <c r="F223" s="72">
        <f t="shared" ref="F223:AM223" si="104">E227</f>
        <v>391.66666666666663</v>
      </c>
      <c r="G223" s="72">
        <f t="shared" si="104"/>
        <v>387.49999999999994</v>
      </c>
      <c r="H223" s="72">
        <f t="shared" si="104"/>
        <v>383.33333333333326</v>
      </c>
      <c r="I223" s="72">
        <f t="shared" si="104"/>
        <v>379.16666666666657</v>
      </c>
      <c r="J223" s="72">
        <f t="shared" si="104"/>
        <v>374.99999999999989</v>
      </c>
      <c r="K223" s="72">
        <f t="shared" si="104"/>
        <v>370.8333333333332</v>
      </c>
      <c r="L223" s="72">
        <f t="shared" si="104"/>
        <v>366.66666666666652</v>
      </c>
      <c r="M223" s="72">
        <f t="shared" si="104"/>
        <v>362.49999999999983</v>
      </c>
      <c r="N223" s="72">
        <f t="shared" si="104"/>
        <v>358.33333333333314</v>
      </c>
      <c r="O223" s="73">
        <f t="shared" si="104"/>
        <v>354.16666666666646</v>
      </c>
      <c r="P223" s="72">
        <f t="shared" si="104"/>
        <v>349.99999999999977</v>
      </c>
      <c r="Q223" s="72">
        <f t="shared" si="104"/>
        <v>345.83333333333309</v>
      </c>
      <c r="R223" s="72">
        <f t="shared" si="104"/>
        <v>341.6666666666664</v>
      </c>
      <c r="S223" s="72">
        <f t="shared" si="104"/>
        <v>337.49999999999972</v>
      </c>
      <c r="T223" s="72">
        <f t="shared" si="104"/>
        <v>333.33333333333303</v>
      </c>
      <c r="U223" s="72">
        <f t="shared" si="104"/>
        <v>329.16666666666634</v>
      </c>
      <c r="V223" s="72">
        <f t="shared" si="104"/>
        <v>324.99999999999966</v>
      </c>
      <c r="W223" s="72">
        <f t="shared" si="104"/>
        <v>320.83333333333297</v>
      </c>
      <c r="X223" s="72">
        <f t="shared" si="104"/>
        <v>316.66666666666629</v>
      </c>
      <c r="Y223" s="72">
        <f t="shared" si="104"/>
        <v>312.4999999999996</v>
      </c>
      <c r="Z223" s="72">
        <f t="shared" si="104"/>
        <v>308.33333333333292</v>
      </c>
      <c r="AA223" s="73">
        <f t="shared" si="104"/>
        <v>304.16666666666623</v>
      </c>
      <c r="AB223" s="72">
        <f t="shared" si="104"/>
        <v>299.99999999999955</v>
      </c>
      <c r="AC223" s="72">
        <f t="shared" si="104"/>
        <v>295.83333333333286</v>
      </c>
      <c r="AD223" s="72">
        <f t="shared" si="104"/>
        <v>291.66666666666617</v>
      </c>
      <c r="AE223" s="72">
        <f t="shared" si="104"/>
        <v>287.49999999999949</v>
      </c>
      <c r="AF223" s="72">
        <f t="shared" si="104"/>
        <v>283.3333333333328</v>
      </c>
      <c r="AG223" s="72">
        <f t="shared" si="104"/>
        <v>279.16666666666612</v>
      </c>
      <c r="AH223" s="72">
        <f t="shared" si="104"/>
        <v>274.99999999999943</v>
      </c>
      <c r="AI223" s="72">
        <f t="shared" si="104"/>
        <v>270.83333333333275</v>
      </c>
      <c r="AJ223" s="72">
        <f t="shared" si="104"/>
        <v>266.66666666666606</v>
      </c>
      <c r="AK223" s="72">
        <f t="shared" si="104"/>
        <v>262.49999999999937</v>
      </c>
      <c r="AL223" s="72">
        <f t="shared" si="104"/>
        <v>258.33333333333269</v>
      </c>
      <c r="AM223" s="72">
        <f t="shared" si="104"/>
        <v>254.16666666666603</v>
      </c>
    </row>
    <row r="224" spans="2:39" s="24" customFormat="1">
      <c r="B224" s="166" t="s">
        <v>265</v>
      </c>
      <c r="C224" s="19"/>
      <c r="D224" s="72">
        <f>G75</f>
        <v>400</v>
      </c>
      <c r="E224" s="72"/>
      <c r="F224" s="72"/>
      <c r="G224" s="72"/>
      <c r="H224" s="72"/>
      <c r="I224" s="72"/>
      <c r="J224" s="72"/>
      <c r="K224" s="72"/>
      <c r="L224" s="72"/>
      <c r="M224" s="72"/>
      <c r="N224" s="72"/>
      <c r="O224" s="73"/>
      <c r="P224" s="72">
        <f>H93</f>
        <v>0</v>
      </c>
      <c r="Q224" s="72"/>
      <c r="R224" s="72"/>
      <c r="S224" s="72"/>
      <c r="T224" s="72"/>
      <c r="U224" s="72"/>
      <c r="V224" s="72"/>
      <c r="W224" s="72"/>
      <c r="X224" s="72"/>
      <c r="Y224" s="72"/>
      <c r="Z224" s="72"/>
      <c r="AA224" s="73"/>
      <c r="AB224" s="72"/>
      <c r="AC224" s="72"/>
      <c r="AD224" s="72"/>
      <c r="AE224" s="72"/>
      <c r="AF224" s="72"/>
      <c r="AG224" s="72"/>
      <c r="AH224" s="72"/>
      <c r="AI224" s="72"/>
      <c r="AJ224" s="72"/>
      <c r="AK224" s="72"/>
      <c r="AL224" s="72"/>
      <c r="AM224" s="72"/>
    </row>
    <row r="225" spans="2:70" s="24" customFormat="1">
      <c r="B225" s="166" t="s">
        <v>110</v>
      </c>
      <c r="C225" s="19"/>
      <c r="D225" s="72">
        <f>SUM(D223:D224)</f>
        <v>400</v>
      </c>
      <c r="E225" s="72">
        <f t="shared" ref="E225:AM225" si="105">SUM(E223:E224)</f>
        <v>395.83333333333331</v>
      </c>
      <c r="F225" s="72">
        <f t="shared" si="105"/>
        <v>391.66666666666663</v>
      </c>
      <c r="G225" s="72">
        <f t="shared" si="105"/>
        <v>387.49999999999994</v>
      </c>
      <c r="H225" s="72">
        <f t="shared" si="105"/>
        <v>383.33333333333326</v>
      </c>
      <c r="I225" s="72">
        <f t="shared" si="105"/>
        <v>379.16666666666657</v>
      </c>
      <c r="J225" s="72">
        <f t="shared" si="105"/>
        <v>374.99999999999989</v>
      </c>
      <c r="K225" s="72">
        <f t="shared" si="105"/>
        <v>370.8333333333332</v>
      </c>
      <c r="L225" s="72">
        <f t="shared" si="105"/>
        <v>366.66666666666652</v>
      </c>
      <c r="M225" s="72">
        <f t="shared" si="105"/>
        <v>362.49999999999983</v>
      </c>
      <c r="N225" s="72">
        <f t="shared" si="105"/>
        <v>358.33333333333314</v>
      </c>
      <c r="O225" s="73">
        <f t="shared" si="105"/>
        <v>354.16666666666646</v>
      </c>
      <c r="P225" s="72">
        <f t="shared" si="105"/>
        <v>349.99999999999977</v>
      </c>
      <c r="Q225" s="72">
        <f t="shared" si="105"/>
        <v>345.83333333333309</v>
      </c>
      <c r="R225" s="72">
        <f t="shared" si="105"/>
        <v>341.6666666666664</v>
      </c>
      <c r="S225" s="72">
        <f t="shared" si="105"/>
        <v>337.49999999999972</v>
      </c>
      <c r="T225" s="72">
        <f t="shared" si="105"/>
        <v>333.33333333333303</v>
      </c>
      <c r="U225" s="72">
        <f t="shared" si="105"/>
        <v>329.16666666666634</v>
      </c>
      <c r="V225" s="72">
        <f t="shared" si="105"/>
        <v>324.99999999999966</v>
      </c>
      <c r="W225" s="72">
        <f t="shared" si="105"/>
        <v>320.83333333333297</v>
      </c>
      <c r="X225" s="72">
        <f t="shared" si="105"/>
        <v>316.66666666666629</v>
      </c>
      <c r="Y225" s="72">
        <f t="shared" si="105"/>
        <v>312.4999999999996</v>
      </c>
      <c r="Z225" s="72">
        <f t="shared" si="105"/>
        <v>308.33333333333292</v>
      </c>
      <c r="AA225" s="73">
        <f t="shared" si="105"/>
        <v>304.16666666666623</v>
      </c>
      <c r="AB225" s="72">
        <f t="shared" si="105"/>
        <v>299.99999999999955</v>
      </c>
      <c r="AC225" s="72">
        <f t="shared" si="105"/>
        <v>295.83333333333286</v>
      </c>
      <c r="AD225" s="72">
        <f t="shared" si="105"/>
        <v>291.66666666666617</v>
      </c>
      <c r="AE225" s="72">
        <f t="shared" si="105"/>
        <v>287.49999999999949</v>
      </c>
      <c r="AF225" s="72">
        <f t="shared" si="105"/>
        <v>283.3333333333328</v>
      </c>
      <c r="AG225" s="72">
        <f t="shared" si="105"/>
        <v>279.16666666666612</v>
      </c>
      <c r="AH225" s="72">
        <f t="shared" si="105"/>
        <v>274.99999999999943</v>
      </c>
      <c r="AI225" s="72">
        <f t="shared" si="105"/>
        <v>270.83333333333275</v>
      </c>
      <c r="AJ225" s="72">
        <f t="shared" si="105"/>
        <v>266.66666666666606</v>
      </c>
      <c r="AK225" s="72">
        <f t="shared" si="105"/>
        <v>262.49999999999937</v>
      </c>
      <c r="AL225" s="72">
        <f t="shared" si="105"/>
        <v>258.33333333333269</v>
      </c>
      <c r="AM225" s="72">
        <f t="shared" si="105"/>
        <v>254.16666666666603</v>
      </c>
    </row>
    <row r="226" spans="2:70" s="24" customFormat="1">
      <c r="B226" s="166" t="s">
        <v>57</v>
      </c>
      <c r="C226" s="19"/>
      <c r="D226" s="72">
        <f t="shared" ref="D226:AM226" si="106">(-$D$224/$J$75/12)</f>
        <v>-4.166666666666667</v>
      </c>
      <c r="E226" s="72">
        <f t="shared" si="106"/>
        <v>-4.166666666666667</v>
      </c>
      <c r="F226" s="72">
        <f t="shared" si="106"/>
        <v>-4.166666666666667</v>
      </c>
      <c r="G226" s="72">
        <f t="shared" si="106"/>
        <v>-4.166666666666667</v>
      </c>
      <c r="H226" s="72">
        <f t="shared" si="106"/>
        <v>-4.166666666666667</v>
      </c>
      <c r="I226" s="72">
        <f t="shared" si="106"/>
        <v>-4.166666666666667</v>
      </c>
      <c r="J226" s="72">
        <f t="shared" si="106"/>
        <v>-4.166666666666667</v>
      </c>
      <c r="K226" s="72">
        <f t="shared" si="106"/>
        <v>-4.166666666666667</v>
      </c>
      <c r="L226" s="72">
        <f t="shared" si="106"/>
        <v>-4.166666666666667</v>
      </c>
      <c r="M226" s="72">
        <f t="shared" si="106"/>
        <v>-4.166666666666667</v>
      </c>
      <c r="N226" s="72">
        <f t="shared" si="106"/>
        <v>-4.166666666666667</v>
      </c>
      <c r="O226" s="72">
        <f t="shared" si="106"/>
        <v>-4.166666666666667</v>
      </c>
      <c r="P226" s="72">
        <f t="shared" si="106"/>
        <v>-4.166666666666667</v>
      </c>
      <c r="Q226" s="72">
        <f t="shared" si="106"/>
        <v>-4.166666666666667</v>
      </c>
      <c r="R226" s="72">
        <f t="shared" si="106"/>
        <v>-4.166666666666667</v>
      </c>
      <c r="S226" s="72">
        <f t="shared" si="106"/>
        <v>-4.166666666666667</v>
      </c>
      <c r="T226" s="72">
        <f t="shared" si="106"/>
        <v>-4.166666666666667</v>
      </c>
      <c r="U226" s="72">
        <f t="shared" si="106"/>
        <v>-4.166666666666667</v>
      </c>
      <c r="V226" s="72">
        <f t="shared" si="106"/>
        <v>-4.166666666666667</v>
      </c>
      <c r="W226" s="72">
        <f t="shared" si="106"/>
        <v>-4.166666666666667</v>
      </c>
      <c r="X226" s="72">
        <f t="shared" si="106"/>
        <v>-4.166666666666667</v>
      </c>
      <c r="Y226" s="72">
        <f t="shared" si="106"/>
        <v>-4.166666666666667</v>
      </c>
      <c r="Z226" s="72">
        <f t="shared" si="106"/>
        <v>-4.166666666666667</v>
      </c>
      <c r="AA226" s="72">
        <f t="shared" si="106"/>
        <v>-4.166666666666667</v>
      </c>
      <c r="AB226" s="72">
        <f t="shared" si="106"/>
        <v>-4.166666666666667</v>
      </c>
      <c r="AC226" s="72">
        <f t="shared" si="106"/>
        <v>-4.166666666666667</v>
      </c>
      <c r="AD226" s="72">
        <f t="shared" si="106"/>
        <v>-4.166666666666667</v>
      </c>
      <c r="AE226" s="72">
        <f t="shared" si="106"/>
        <v>-4.166666666666667</v>
      </c>
      <c r="AF226" s="72">
        <f t="shared" si="106"/>
        <v>-4.166666666666667</v>
      </c>
      <c r="AG226" s="72">
        <f t="shared" si="106"/>
        <v>-4.166666666666667</v>
      </c>
      <c r="AH226" s="72">
        <f t="shared" si="106"/>
        <v>-4.166666666666667</v>
      </c>
      <c r="AI226" s="72">
        <f t="shared" si="106"/>
        <v>-4.166666666666667</v>
      </c>
      <c r="AJ226" s="72">
        <f t="shared" si="106"/>
        <v>-4.166666666666667</v>
      </c>
      <c r="AK226" s="72">
        <f t="shared" si="106"/>
        <v>-4.166666666666667</v>
      </c>
      <c r="AL226" s="72">
        <f t="shared" si="106"/>
        <v>-4.166666666666667</v>
      </c>
      <c r="AM226" s="72">
        <f t="shared" si="106"/>
        <v>-4.166666666666667</v>
      </c>
    </row>
    <row r="227" spans="2:70" s="24" customFormat="1">
      <c r="B227" s="167" t="s">
        <v>255</v>
      </c>
      <c r="C227" s="168"/>
      <c r="D227" s="72">
        <f>SUM(D225:D226)</f>
        <v>395.83333333333331</v>
      </c>
      <c r="E227" s="72">
        <f t="shared" ref="E227:AM227" si="107">SUM(E225:E226)</f>
        <v>391.66666666666663</v>
      </c>
      <c r="F227" s="72">
        <f t="shared" si="107"/>
        <v>387.49999999999994</v>
      </c>
      <c r="G227" s="72">
        <f t="shared" si="107"/>
        <v>383.33333333333326</v>
      </c>
      <c r="H227" s="72">
        <f t="shared" si="107"/>
        <v>379.16666666666657</v>
      </c>
      <c r="I227" s="72">
        <f t="shared" si="107"/>
        <v>374.99999999999989</v>
      </c>
      <c r="J227" s="72">
        <f t="shared" si="107"/>
        <v>370.8333333333332</v>
      </c>
      <c r="K227" s="72">
        <f t="shared" si="107"/>
        <v>366.66666666666652</v>
      </c>
      <c r="L227" s="72">
        <f t="shared" si="107"/>
        <v>362.49999999999983</v>
      </c>
      <c r="M227" s="72">
        <f t="shared" si="107"/>
        <v>358.33333333333314</v>
      </c>
      <c r="N227" s="72">
        <f t="shared" si="107"/>
        <v>354.16666666666646</v>
      </c>
      <c r="O227" s="73">
        <f t="shared" si="107"/>
        <v>349.99999999999977</v>
      </c>
      <c r="P227" s="72">
        <f t="shared" si="107"/>
        <v>345.83333333333309</v>
      </c>
      <c r="Q227" s="72">
        <f t="shared" si="107"/>
        <v>341.6666666666664</v>
      </c>
      <c r="R227" s="72">
        <f t="shared" si="107"/>
        <v>337.49999999999972</v>
      </c>
      <c r="S227" s="72">
        <f t="shared" si="107"/>
        <v>333.33333333333303</v>
      </c>
      <c r="T227" s="72">
        <f t="shared" si="107"/>
        <v>329.16666666666634</v>
      </c>
      <c r="U227" s="72">
        <f t="shared" si="107"/>
        <v>324.99999999999966</v>
      </c>
      <c r="V227" s="72">
        <f t="shared" si="107"/>
        <v>320.83333333333297</v>
      </c>
      <c r="W227" s="72">
        <f t="shared" si="107"/>
        <v>316.66666666666629</v>
      </c>
      <c r="X227" s="72">
        <f t="shared" si="107"/>
        <v>312.4999999999996</v>
      </c>
      <c r="Y227" s="72">
        <f t="shared" si="107"/>
        <v>308.33333333333292</v>
      </c>
      <c r="Z227" s="72">
        <f t="shared" si="107"/>
        <v>304.16666666666623</v>
      </c>
      <c r="AA227" s="73">
        <f t="shared" si="107"/>
        <v>299.99999999999955</v>
      </c>
      <c r="AB227" s="72">
        <f t="shared" si="107"/>
        <v>295.83333333333286</v>
      </c>
      <c r="AC227" s="72">
        <f t="shared" si="107"/>
        <v>291.66666666666617</v>
      </c>
      <c r="AD227" s="72">
        <f t="shared" si="107"/>
        <v>287.49999999999949</v>
      </c>
      <c r="AE227" s="72">
        <f t="shared" si="107"/>
        <v>283.3333333333328</v>
      </c>
      <c r="AF227" s="72">
        <f t="shared" si="107"/>
        <v>279.16666666666612</v>
      </c>
      <c r="AG227" s="72">
        <f t="shared" si="107"/>
        <v>274.99999999999943</v>
      </c>
      <c r="AH227" s="72">
        <f t="shared" si="107"/>
        <v>270.83333333333275</v>
      </c>
      <c r="AI227" s="72">
        <f t="shared" si="107"/>
        <v>266.66666666666606</v>
      </c>
      <c r="AJ227" s="72">
        <f t="shared" si="107"/>
        <v>262.49999999999937</v>
      </c>
      <c r="AK227" s="72">
        <f t="shared" si="107"/>
        <v>258.33333333333269</v>
      </c>
      <c r="AL227" s="72">
        <f t="shared" si="107"/>
        <v>254.16666666666603</v>
      </c>
      <c r="AM227" s="72">
        <f t="shared" si="107"/>
        <v>249.99999999999937</v>
      </c>
    </row>
    <row r="228" spans="2:70" s="24" customFormat="1">
      <c r="B228" s="167"/>
      <c r="C228" s="168"/>
      <c r="D228" s="72"/>
      <c r="E228" s="72"/>
      <c r="F228" s="72"/>
      <c r="G228" s="72"/>
      <c r="H228" s="72"/>
      <c r="I228" s="72"/>
      <c r="J228" s="72"/>
      <c r="K228" s="72"/>
      <c r="L228" s="72"/>
      <c r="M228" s="72"/>
      <c r="N228" s="72"/>
      <c r="O228" s="73"/>
      <c r="P228" s="72"/>
      <c r="Q228" s="72"/>
      <c r="R228" s="72"/>
      <c r="S228" s="72"/>
      <c r="T228" s="72"/>
      <c r="U228" s="72"/>
      <c r="V228" s="72"/>
      <c r="W228" s="72"/>
      <c r="X228" s="72"/>
      <c r="Y228" s="72"/>
      <c r="Z228" s="72"/>
      <c r="AA228" s="73"/>
      <c r="AB228" s="72"/>
      <c r="AC228" s="72"/>
      <c r="AD228" s="72"/>
      <c r="AE228" s="72"/>
      <c r="AF228" s="72"/>
      <c r="AG228" s="72"/>
      <c r="AH228" s="72"/>
      <c r="AI228" s="72"/>
      <c r="AJ228" s="72"/>
      <c r="AK228" s="72"/>
      <c r="AL228" s="72"/>
      <c r="AM228" s="72"/>
    </row>
    <row r="229" spans="2:70" s="24" customFormat="1">
      <c r="B229" s="167"/>
      <c r="C229" s="168"/>
      <c r="D229" s="72"/>
      <c r="E229" s="72"/>
      <c r="F229" s="72"/>
      <c r="G229" s="72"/>
      <c r="H229" s="72"/>
      <c r="I229" s="72"/>
      <c r="J229" s="72"/>
      <c r="K229" s="72"/>
      <c r="L229" s="72"/>
      <c r="M229" s="72"/>
      <c r="N229" s="72"/>
      <c r="O229" s="73"/>
      <c r="P229" s="72"/>
      <c r="Q229" s="72"/>
      <c r="R229" s="72"/>
      <c r="S229" s="72"/>
      <c r="T229" s="72"/>
      <c r="U229" s="72"/>
      <c r="V229" s="72"/>
      <c r="W229" s="72"/>
      <c r="X229" s="72"/>
      <c r="Y229" s="72"/>
      <c r="Z229" s="72"/>
      <c r="AA229" s="73"/>
      <c r="AB229" s="72"/>
      <c r="AC229" s="72"/>
      <c r="AD229" s="72"/>
      <c r="AE229" s="72"/>
      <c r="AF229" s="72"/>
      <c r="AG229" s="72"/>
      <c r="AH229" s="72"/>
      <c r="AI229" s="72"/>
      <c r="AJ229" s="72"/>
      <c r="AK229" s="72"/>
      <c r="AL229" s="72"/>
      <c r="AM229" s="72"/>
    </row>
    <row r="230" spans="2:70" s="24" customFormat="1">
      <c r="B230" s="23" t="s">
        <v>256</v>
      </c>
      <c r="C230" s="47"/>
      <c r="D230" s="168">
        <f>D163+D170+D177+D184+D191+D198+D205+D212+D219+D226</f>
        <v>-1353.7619047619048</v>
      </c>
      <c r="E230" s="168">
        <f t="shared" ref="E230:AM230" si="108">E163+E170+E177+E184+E191+E198+E205+E212+E219+E226</f>
        <v>-1353.7619047619048</v>
      </c>
      <c r="F230" s="168">
        <f t="shared" si="108"/>
        <v>-1353.7619047619048</v>
      </c>
      <c r="G230" s="168">
        <f t="shared" si="108"/>
        <v>-1353.7619047619048</v>
      </c>
      <c r="H230" s="168">
        <f t="shared" si="108"/>
        <v>-1353.7619047619048</v>
      </c>
      <c r="I230" s="168">
        <f t="shared" si="108"/>
        <v>-1353.7619047619048</v>
      </c>
      <c r="J230" s="168">
        <f t="shared" si="108"/>
        <v>-1353.7619047619048</v>
      </c>
      <c r="K230" s="168">
        <f t="shared" si="108"/>
        <v>-1353.7619047619048</v>
      </c>
      <c r="L230" s="168">
        <f t="shared" si="108"/>
        <v>-1353.7619047619048</v>
      </c>
      <c r="M230" s="168">
        <f t="shared" si="108"/>
        <v>-1353.7619047619048</v>
      </c>
      <c r="N230" s="168">
        <f t="shared" si="108"/>
        <v>-1353.7619047619048</v>
      </c>
      <c r="O230" s="168">
        <f t="shared" si="108"/>
        <v>-1353.7619047619048</v>
      </c>
      <c r="P230" s="168">
        <f>P163+P170+P177+P184+P191+P198+P205+P212+P219+P226</f>
        <v>-2627.6309523809523</v>
      </c>
      <c r="Q230" s="168">
        <f t="shared" si="108"/>
        <v>-2627.6309523809523</v>
      </c>
      <c r="R230" s="168">
        <f t="shared" si="108"/>
        <v>-2627.6309523809523</v>
      </c>
      <c r="S230" s="168">
        <f t="shared" si="108"/>
        <v>-2627.6309523809523</v>
      </c>
      <c r="T230" s="168">
        <f t="shared" si="108"/>
        <v>-2627.6309523809523</v>
      </c>
      <c r="U230" s="168">
        <f t="shared" si="108"/>
        <v>-2627.6309523809523</v>
      </c>
      <c r="V230" s="168">
        <f t="shared" si="108"/>
        <v>-2627.6309523809523</v>
      </c>
      <c r="W230" s="168">
        <f t="shared" si="108"/>
        <v>-2627.6309523809523</v>
      </c>
      <c r="X230" s="168">
        <f t="shared" si="108"/>
        <v>-2627.6309523809523</v>
      </c>
      <c r="Y230" s="168">
        <f t="shared" si="108"/>
        <v>-2627.6309523809523</v>
      </c>
      <c r="Z230" s="168">
        <f t="shared" si="108"/>
        <v>-2627.6309523809523</v>
      </c>
      <c r="AA230" s="168">
        <f t="shared" si="108"/>
        <v>-2627.6309523809523</v>
      </c>
      <c r="AB230" s="168">
        <f>AB163+AB170+AB177+AB184+AB191+AB198+AB205+AB212+AB219+AB226</f>
        <v>-5088.4880952380954</v>
      </c>
      <c r="AC230" s="168">
        <f t="shared" si="108"/>
        <v>-5088.4880952380954</v>
      </c>
      <c r="AD230" s="168">
        <f t="shared" si="108"/>
        <v>-5088.4880952380954</v>
      </c>
      <c r="AE230" s="168">
        <f t="shared" si="108"/>
        <v>-5088.4880952380954</v>
      </c>
      <c r="AF230" s="168">
        <f>AF163+AF170+AF177+AF184+AF191+AF198+AF205+AF212+AF219+AF226</f>
        <v>-5088.4880952380954</v>
      </c>
      <c r="AG230" s="168">
        <f t="shared" si="108"/>
        <v>-5088.4880952380954</v>
      </c>
      <c r="AH230" s="168">
        <f t="shared" si="108"/>
        <v>-5088.4880952380954</v>
      </c>
      <c r="AI230" s="168">
        <f t="shared" si="108"/>
        <v>-5088.4880952380954</v>
      </c>
      <c r="AJ230" s="168">
        <f t="shared" si="108"/>
        <v>-5088.4880952380954</v>
      </c>
      <c r="AK230" s="168">
        <f t="shared" si="108"/>
        <v>-5088.4880952380954</v>
      </c>
      <c r="AL230" s="168">
        <f t="shared" si="108"/>
        <v>-5088.4880952380954</v>
      </c>
      <c r="AM230" s="168">
        <f t="shared" si="108"/>
        <v>-5088.4880952380954</v>
      </c>
    </row>
    <row r="231" spans="2:70" s="24" customFormat="1">
      <c r="B231" s="23"/>
      <c r="C231" s="47"/>
      <c r="D231" s="34"/>
      <c r="E231" s="34"/>
      <c r="F231" s="34"/>
      <c r="G231" s="34"/>
      <c r="H231" s="34"/>
      <c r="I231" s="34"/>
      <c r="J231" s="34"/>
      <c r="K231" s="34"/>
      <c r="L231" s="34"/>
      <c r="M231" s="34"/>
      <c r="N231" s="34"/>
      <c r="O231" s="35"/>
      <c r="P231" s="34"/>
      <c r="Q231" s="34"/>
      <c r="R231" s="34"/>
      <c r="S231" s="34"/>
      <c r="T231" s="34"/>
      <c r="U231" s="34"/>
      <c r="V231" s="34"/>
      <c r="W231" s="34"/>
      <c r="X231" s="34"/>
      <c r="Y231" s="34"/>
      <c r="Z231" s="34"/>
      <c r="AA231" s="35"/>
      <c r="AB231" s="34"/>
      <c r="AC231" s="34"/>
      <c r="AD231" s="34"/>
      <c r="AE231" s="34"/>
      <c r="AF231" s="34"/>
      <c r="AG231" s="34"/>
      <c r="AH231" s="34"/>
      <c r="AI231" s="34"/>
      <c r="AJ231" s="34"/>
      <c r="AK231" s="34"/>
      <c r="AL231" s="34"/>
      <c r="AM231" s="34"/>
    </row>
    <row r="232" spans="2:70" s="24" customFormat="1">
      <c r="B232" s="23"/>
      <c r="C232" s="47"/>
      <c r="D232" s="34"/>
      <c r="E232" s="34"/>
      <c r="F232" s="34"/>
      <c r="G232" s="34"/>
      <c r="H232" s="34"/>
      <c r="I232" s="34"/>
      <c r="J232" s="34"/>
      <c r="K232" s="34"/>
      <c r="L232" s="34"/>
      <c r="M232" s="34"/>
      <c r="N232" s="34"/>
      <c r="O232" s="35"/>
      <c r="P232" s="34"/>
      <c r="Q232" s="34"/>
      <c r="R232" s="34"/>
      <c r="S232" s="34"/>
      <c r="T232" s="34"/>
      <c r="U232" s="34"/>
      <c r="V232" s="34"/>
      <c r="W232" s="34"/>
      <c r="X232" s="34"/>
      <c r="Y232" s="34"/>
      <c r="Z232" s="34"/>
      <c r="AA232" s="35"/>
      <c r="AB232" s="34"/>
      <c r="AC232" s="34"/>
      <c r="AD232" s="34"/>
      <c r="AE232" s="34"/>
      <c r="AF232" s="34"/>
      <c r="AG232" s="34"/>
      <c r="AH232" s="34"/>
      <c r="AI232" s="34"/>
      <c r="AJ232" s="34"/>
      <c r="AK232" s="34"/>
      <c r="AL232" s="34"/>
      <c r="AM232" s="34"/>
    </row>
    <row r="233" spans="2:70" s="24" customFormat="1">
      <c r="B233" s="23"/>
      <c r="C233" s="47"/>
      <c r="D233" s="34"/>
      <c r="E233" s="34"/>
      <c r="F233" s="34"/>
      <c r="G233" s="34"/>
      <c r="H233" s="34"/>
      <c r="I233" s="34"/>
      <c r="J233" s="34"/>
      <c r="K233" s="34"/>
      <c r="L233" s="34"/>
      <c r="M233" s="34"/>
      <c r="N233" s="34"/>
      <c r="O233" s="35"/>
      <c r="P233" s="34"/>
      <c r="Q233" s="34"/>
      <c r="R233" s="34"/>
      <c r="S233" s="34"/>
      <c r="T233" s="34"/>
      <c r="U233" s="34"/>
      <c r="V233" s="34"/>
      <c r="W233" s="34"/>
      <c r="X233" s="34"/>
      <c r="Y233" s="34"/>
      <c r="Z233" s="34"/>
      <c r="AA233" s="35"/>
      <c r="AB233" s="34"/>
      <c r="AC233" s="34"/>
      <c r="AD233" s="34"/>
      <c r="AE233" s="34"/>
      <c r="AF233" s="34"/>
      <c r="AG233" s="34"/>
      <c r="AH233" s="34"/>
      <c r="AI233" s="34"/>
      <c r="AJ233" s="34"/>
      <c r="AK233" s="34"/>
      <c r="AL233" s="34"/>
      <c r="AM233" s="34"/>
    </row>
    <row r="234" spans="2:70">
      <c r="B234" s="57" t="s">
        <v>4</v>
      </c>
      <c r="D234" s="67"/>
      <c r="E234" s="143"/>
      <c r="F234" s="143"/>
      <c r="G234" s="143"/>
      <c r="H234" s="143"/>
      <c r="I234" s="143"/>
      <c r="J234" s="143"/>
      <c r="K234" s="143"/>
      <c r="L234" s="143"/>
      <c r="M234" s="143"/>
      <c r="N234" s="143"/>
      <c r="O234" s="157"/>
      <c r="P234" s="172"/>
      <c r="Q234" s="169"/>
      <c r="R234" s="169"/>
      <c r="S234" s="169"/>
      <c r="T234" s="169"/>
      <c r="U234" s="169"/>
      <c r="V234" s="169"/>
      <c r="W234" s="169"/>
      <c r="X234" s="169"/>
      <c r="Y234" s="169"/>
      <c r="Z234" s="169"/>
      <c r="AA234" s="173"/>
      <c r="AB234" s="172"/>
      <c r="AC234" s="143"/>
      <c r="AD234" s="143"/>
      <c r="AE234" s="143"/>
      <c r="AF234" s="143"/>
      <c r="AG234" s="143"/>
      <c r="AH234" s="143"/>
      <c r="AI234" s="143"/>
      <c r="AJ234" s="143"/>
      <c r="AK234" s="143"/>
      <c r="AL234" s="143"/>
      <c r="AM234" s="143"/>
      <c r="AN234" s="67"/>
      <c r="AO234" s="67"/>
      <c r="AP234" s="67"/>
      <c r="AQ234" s="67"/>
      <c r="AR234" s="67"/>
      <c r="AS234" s="67"/>
      <c r="AT234" s="67"/>
      <c r="AU234" s="67"/>
      <c r="AV234" s="67"/>
      <c r="AW234" s="67"/>
      <c r="AX234" s="67"/>
      <c r="AY234" s="67"/>
      <c r="AZ234" s="67"/>
      <c r="BA234" s="67"/>
      <c r="BB234" s="67"/>
      <c r="BC234" s="67"/>
      <c r="BD234" s="67"/>
      <c r="BE234" s="67"/>
      <c r="BF234" s="67"/>
      <c r="BG234" s="67"/>
      <c r="BH234" s="67"/>
      <c r="BI234" s="67"/>
      <c r="BJ234" s="67"/>
      <c r="BK234" s="67"/>
      <c r="BL234" s="67"/>
      <c r="BM234" s="67"/>
      <c r="BN234" s="67"/>
      <c r="BO234" s="67"/>
      <c r="BP234" s="67"/>
      <c r="BQ234" s="67"/>
      <c r="BR234" s="67"/>
    </row>
    <row r="235" spans="2:70">
      <c r="B235" s="166" t="s">
        <v>105</v>
      </c>
      <c r="D235" s="67">
        <f t="shared" ref="D235:AM235" si="109">D137</f>
        <v>-8977.7619047619028</v>
      </c>
      <c r="E235" s="67">
        <f t="shared" si="109"/>
        <v>-7058.4446474938359</v>
      </c>
      <c r="F235" s="143">
        <f t="shared" si="109"/>
        <v>-3586.8635683204889</v>
      </c>
      <c r="G235" s="143">
        <f t="shared" si="109"/>
        <v>-1889.218401317245</v>
      </c>
      <c r="H235" s="143">
        <f t="shared" si="109"/>
        <v>1629.8911205485067</v>
      </c>
      <c r="I235" s="143">
        <f t="shared" si="109"/>
        <v>4475.5652654220321</v>
      </c>
      <c r="J235" s="143">
        <f t="shared" si="109"/>
        <v>7956.1043025658673</v>
      </c>
      <c r="K235" s="143">
        <f t="shared" si="109"/>
        <v>7907.6235023644685</v>
      </c>
      <c r="L235" s="143">
        <f t="shared" si="109"/>
        <v>9701.0781363288934</v>
      </c>
      <c r="M235" s="143">
        <f t="shared" si="109"/>
        <v>12793.313477101499</v>
      </c>
      <c r="N235" s="143">
        <f t="shared" si="109"/>
        <v>15497.846798460669</v>
      </c>
      <c r="O235" s="157">
        <f t="shared" si="109"/>
        <v>18977.077375325494</v>
      </c>
      <c r="P235" s="172">
        <f t="shared" si="109"/>
        <v>15659.465436141538</v>
      </c>
      <c r="Q235" s="169">
        <f t="shared" si="109"/>
        <v>27468.419353361784</v>
      </c>
      <c r="R235" s="169">
        <f t="shared" si="109"/>
        <v>43114.311357737119</v>
      </c>
      <c r="S235" s="169">
        <f t="shared" si="109"/>
        <v>57550.641728797345</v>
      </c>
      <c r="T235" s="169">
        <f t="shared" si="109"/>
        <v>66040.867747236989</v>
      </c>
      <c r="U235" s="169">
        <f t="shared" si="109"/>
        <v>75624.136694920118</v>
      </c>
      <c r="V235" s="169">
        <f t="shared" si="109"/>
        <v>85407.715854885289</v>
      </c>
      <c r="W235" s="169">
        <f t="shared" si="109"/>
        <v>83251.931811350296</v>
      </c>
      <c r="X235" s="169">
        <f t="shared" si="109"/>
        <v>101074.21994971723</v>
      </c>
      <c r="Y235" s="169">
        <f t="shared" si="109"/>
        <v>113873.81745657737</v>
      </c>
      <c r="Z235" s="169">
        <f t="shared" si="109"/>
        <v>128024.59731971609</v>
      </c>
      <c r="AA235" s="173">
        <f t="shared" si="109"/>
        <v>127143.61402811793</v>
      </c>
      <c r="AB235" s="172">
        <f t="shared" si="109"/>
        <v>131590.68013578092</v>
      </c>
      <c r="AC235" s="143">
        <f t="shared" si="109"/>
        <v>153902.31214648375</v>
      </c>
      <c r="AD235" s="143">
        <f t="shared" si="109"/>
        <v>194429.12389664788</v>
      </c>
      <c r="AE235" s="143">
        <f t="shared" si="109"/>
        <v>205070.26534010441</v>
      </c>
      <c r="AF235" s="143">
        <f t="shared" si="109"/>
        <v>237289.58951190853</v>
      </c>
      <c r="AG235" s="143">
        <f t="shared" si="109"/>
        <v>290874.64898834535</v>
      </c>
      <c r="AH235" s="143">
        <f t="shared" si="109"/>
        <v>328437.97588693385</v>
      </c>
      <c r="AI235" s="143">
        <f t="shared" si="109"/>
        <v>345098.96105943323</v>
      </c>
      <c r="AJ235" s="143">
        <f t="shared" si="109"/>
        <v>352911.35538684711</v>
      </c>
      <c r="AK235" s="143">
        <f t="shared" si="109"/>
        <v>402329.55664942949</v>
      </c>
      <c r="AL235" s="143">
        <f t="shared" si="109"/>
        <v>435897.33553428919</v>
      </c>
      <c r="AM235" s="143">
        <f t="shared" si="109"/>
        <v>466804.55564939592</v>
      </c>
      <c r="AN235" s="67"/>
      <c r="AO235" s="67"/>
      <c r="AP235" s="67"/>
      <c r="AQ235" s="67"/>
      <c r="AR235" s="67"/>
      <c r="AS235" s="67"/>
      <c r="AT235" s="67"/>
      <c r="AU235" s="67"/>
      <c r="AV235" s="67"/>
      <c r="AW235" s="67"/>
      <c r="AX235" s="67"/>
      <c r="AY235" s="67"/>
      <c r="AZ235" s="67"/>
      <c r="BA235" s="67"/>
      <c r="BB235" s="67"/>
      <c r="BC235" s="67"/>
      <c r="BD235" s="67"/>
      <c r="BE235" s="67"/>
      <c r="BF235" s="67"/>
      <c r="BG235" s="67"/>
      <c r="BH235" s="67"/>
      <c r="BI235" s="67"/>
      <c r="BJ235" s="67"/>
      <c r="BK235" s="67"/>
      <c r="BL235" s="67"/>
      <c r="BM235" s="67"/>
      <c r="BN235" s="67"/>
      <c r="BO235" s="67"/>
      <c r="BP235" s="67"/>
      <c r="BQ235" s="67"/>
      <c r="BR235" s="67"/>
    </row>
    <row r="236" spans="2:70">
      <c r="B236" s="174" t="s">
        <v>214</v>
      </c>
      <c r="D236" s="175">
        <f>-D133</f>
        <v>1353.7619047619048</v>
      </c>
      <c r="E236" s="175">
        <f t="shared" ref="E236:AM236" si="110">-E133</f>
        <v>1353.7619047619048</v>
      </c>
      <c r="F236" s="175">
        <f t="shared" si="110"/>
        <v>1353.7619047619048</v>
      </c>
      <c r="G236" s="175">
        <f t="shared" si="110"/>
        <v>1353.7619047619048</v>
      </c>
      <c r="H236" s="175">
        <f t="shared" si="110"/>
        <v>1353.7619047619048</v>
      </c>
      <c r="I236" s="175">
        <f t="shared" si="110"/>
        <v>1353.7619047619048</v>
      </c>
      <c r="J236" s="175">
        <f t="shared" si="110"/>
        <v>1353.7619047619048</v>
      </c>
      <c r="K236" s="175">
        <f t="shared" si="110"/>
        <v>1353.7619047619048</v>
      </c>
      <c r="L236" s="175">
        <f t="shared" si="110"/>
        <v>1353.7619047619048</v>
      </c>
      <c r="M236" s="175">
        <f t="shared" si="110"/>
        <v>1353.7619047619048</v>
      </c>
      <c r="N236" s="175">
        <f t="shared" si="110"/>
        <v>1353.7619047619048</v>
      </c>
      <c r="O236" s="176">
        <f t="shared" si="110"/>
        <v>1353.7619047619048</v>
      </c>
      <c r="P236" s="177">
        <f t="shared" si="110"/>
        <v>2627.6309523809523</v>
      </c>
      <c r="Q236" s="170">
        <f t="shared" si="110"/>
        <v>2627.6309523809523</v>
      </c>
      <c r="R236" s="170">
        <f t="shared" si="110"/>
        <v>2627.6309523809523</v>
      </c>
      <c r="S236" s="170">
        <f t="shared" si="110"/>
        <v>2627.6309523809523</v>
      </c>
      <c r="T236" s="170">
        <f t="shared" si="110"/>
        <v>2627.6309523809523</v>
      </c>
      <c r="U236" s="170">
        <f t="shared" si="110"/>
        <v>2627.6309523809523</v>
      </c>
      <c r="V236" s="170">
        <f t="shared" si="110"/>
        <v>2627.6309523809523</v>
      </c>
      <c r="W236" s="170">
        <f t="shared" si="110"/>
        <v>2627.6309523809523</v>
      </c>
      <c r="X236" s="170">
        <f t="shared" si="110"/>
        <v>2627.6309523809523</v>
      </c>
      <c r="Y236" s="170">
        <f t="shared" si="110"/>
        <v>2627.6309523809523</v>
      </c>
      <c r="Z236" s="170">
        <f t="shared" si="110"/>
        <v>2627.6309523809523</v>
      </c>
      <c r="AA236" s="178">
        <f t="shared" si="110"/>
        <v>2627.6309523809523</v>
      </c>
      <c r="AB236" s="177">
        <f t="shared" si="110"/>
        <v>5088.4880952380954</v>
      </c>
      <c r="AC236" s="175">
        <f t="shared" si="110"/>
        <v>5088.4880952380954</v>
      </c>
      <c r="AD236" s="175">
        <f t="shared" si="110"/>
        <v>5088.4880952380954</v>
      </c>
      <c r="AE236" s="175">
        <f t="shared" si="110"/>
        <v>5088.4880952380954</v>
      </c>
      <c r="AF236" s="175">
        <f t="shared" si="110"/>
        <v>5088.4880952380954</v>
      </c>
      <c r="AG236" s="175">
        <f t="shared" si="110"/>
        <v>5088.4880952380954</v>
      </c>
      <c r="AH236" s="175">
        <f t="shared" si="110"/>
        <v>5088.4880952380954</v>
      </c>
      <c r="AI236" s="175">
        <f t="shared" si="110"/>
        <v>5088.4880952380954</v>
      </c>
      <c r="AJ236" s="175">
        <f t="shared" si="110"/>
        <v>5088.4880952380954</v>
      </c>
      <c r="AK236" s="175">
        <f t="shared" si="110"/>
        <v>5088.4880952380954</v>
      </c>
      <c r="AL236" s="175">
        <f t="shared" si="110"/>
        <v>5088.4880952380954</v>
      </c>
      <c r="AM236" s="175">
        <f t="shared" si="110"/>
        <v>5088.4880952380954</v>
      </c>
      <c r="AN236" s="175"/>
      <c r="AO236" s="175"/>
      <c r="AP236" s="175"/>
      <c r="AQ236" s="175"/>
      <c r="AR236" s="175"/>
      <c r="AS236" s="175"/>
      <c r="AT236" s="175"/>
      <c r="AU236" s="175"/>
      <c r="AV236" s="175"/>
      <c r="AW236" s="175"/>
      <c r="AX236" s="175"/>
      <c r="AY236" s="175"/>
      <c r="AZ236" s="175"/>
      <c r="BA236" s="175"/>
      <c r="BB236" s="175"/>
      <c r="BC236" s="175"/>
      <c r="BD236" s="175"/>
      <c r="BE236" s="175"/>
      <c r="BF236" s="175"/>
      <c r="BG236" s="175"/>
      <c r="BH236" s="175"/>
      <c r="BI236" s="175"/>
      <c r="BJ236" s="175"/>
      <c r="BK236" s="175"/>
      <c r="BL236" s="175"/>
      <c r="BM236" s="175"/>
      <c r="BN236" s="175"/>
      <c r="BO236" s="175"/>
      <c r="BP236" s="175"/>
      <c r="BQ236" s="175"/>
      <c r="BR236" s="175"/>
    </row>
    <row r="237" spans="2:70">
      <c r="B237" s="174" t="s">
        <v>215</v>
      </c>
      <c r="D237" s="175">
        <f>-G76</f>
        <v>-49800</v>
      </c>
      <c r="E237" s="175"/>
      <c r="F237" s="175"/>
      <c r="G237" s="175"/>
      <c r="H237" s="175"/>
      <c r="I237" s="175"/>
      <c r="J237" s="175"/>
      <c r="K237" s="175"/>
      <c r="L237" s="175"/>
      <c r="M237" s="175"/>
      <c r="N237" s="175"/>
      <c r="O237" s="176"/>
      <c r="P237" s="177">
        <f>-H76</f>
        <v>-44380</v>
      </c>
      <c r="Q237" s="170"/>
      <c r="R237" s="170"/>
      <c r="S237" s="170"/>
      <c r="T237" s="170"/>
      <c r="U237" s="170"/>
      <c r="V237" s="170"/>
      <c r="W237" s="170"/>
      <c r="X237" s="170"/>
      <c r="Y237" s="170"/>
      <c r="Z237" s="170"/>
      <c r="AA237" s="178"/>
      <c r="AB237" s="177">
        <f>-I76</f>
        <v>-82480</v>
      </c>
      <c r="AC237" s="175"/>
      <c r="AD237" s="175"/>
      <c r="AE237" s="175"/>
      <c r="AF237" s="175"/>
      <c r="AG237" s="175"/>
      <c r="AH237" s="175"/>
      <c r="AI237" s="175"/>
      <c r="AJ237" s="175"/>
      <c r="AK237" s="175"/>
      <c r="AL237" s="175"/>
      <c r="AM237" s="175"/>
      <c r="AN237" s="175"/>
      <c r="AO237" s="175"/>
      <c r="AP237" s="175"/>
      <c r="AQ237" s="175"/>
      <c r="AR237" s="175"/>
      <c r="AS237" s="175"/>
      <c r="AT237" s="175"/>
      <c r="AU237" s="175"/>
      <c r="AV237" s="175"/>
      <c r="AW237" s="175"/>
      <c r="AX237" s="175"/>
      <c r="AY237" s="175"/>
      <c r="AZ237" s="175"/>
      <c r="BA237" s="175"/>
      <c r="BB237" s="175"/>
      <c r="BC237" s="175"/>
      <c r="BD237" s="175"/>
      <c r="BE237" s="175"/>
      <c r="BF237" s="175"/>
      <c r="BG237" s="175"/>
      <c r="BH237" s="175"/>
      <c r="BI237" s="175"/>
      <c r="BJ237" s="175"/>
      <c r="BK237" s="175"/>
      <c r="BL237" s="175"/>
      <c r="BM237" s="175"/>
      <c r="BN237" s="175"/>
      <c r="BO237" s="175"/>
      <c r="BP237" s="175"/>
      <c r="BQ237" s="175"/>
      <c r="BR237" s="175"/>
    </row>
    <row r="238" spans="2:70">
      <c r="B238" s="166" t="s">
        <v>62</v>
      </c>
      <c r="D238" s="175">
        <f>SUM(D235:D237)</f>
        <v>-57424</v>
      </c>
      <c r="E238" s="175">
        <f t="shared" ref="E238:AM238" si="111">SUM(E235:E237)</f>
        <v>-5704.6827427319313</v>
      </c>
      <c r="F238" s="175">
        <f t="shared" si="111"/>
        <v>-2233.1016635585838</v>
      </c>
      <c r="G238" s="175">
        <f t="shared" si="111"/>
        <v>-535.45649655534021</v>
      </c>
      <c r="H238" s="175">
        <f t="shared" si="111"/>
        <v>2983.6530253104115</v>
      </c>
      <c r="I238" s="175">
        <f t="shared" si="111"/>
        <v>5829.3271701839367</v>
      </c>
      <c r="J238" s="175">
        <f t="shared" si="111"/>
        <v>9309.8662073277719</v>
      </c>
      <c r="K238" s="175">
        <f t="shared" si="111"/>
        <v>9261.385407126374</v>
      </c>
      <c r="L238" s="175">
        <f t="shared" si="111"/>
        <v>11054.840041090798</v>
      </c>
      <c r="M238" s="175">
        <f t="shared" si="111"/>
        <v>14147.075381863404</v>
      </c>
      <c r="N238" s="175">
        <f t="shared" si="111"/>
        <v>16851.608703222573</v>
      </c>
      <c r="O238" s="176">
        <f t="shared" si="111"/>
        <v>20330.839280087399</v>
      </c>
      <c r="P238" s="175">
        <f>SUM(P235:P237)</f>
        <v>-26092.903611477508</v>
      </c>
      <c r="Q238" s="175">
        <f t="shared" si="111"/>
        <v>30096.050305742734</v>
      </c>
      <c r="R238" s="175">
        <f t="shared" si="111"/>
        <v>45741.942310118073</v>
      </c>
      <c r="S238" s="175">
        <f t="shared" si="111"/>
        <v>60178.2726811783</v>
      </c>
      <c r="T238" s="175">
        <f t="shared" si="111"/>
        <v>68668.498699617936</v>
      </c>
      <c r="U238" s="175">
        <f t="shared" si="111"/>
        <v>78251.767647301065</v>
      </c>
      <c r="V238" s="175">
        <f t="shared" si="111"/>
        <v>88035.346807266236</v>
      </c>
      <c r="W238" s="175">
        <f t="shared" si="111"/>
        <v>85879.562763731243</v>
      </c>
      <c r="X238" s="175">
        <f t="shared" si="111"/>
        <v>103701.85090209817</v>
      </c>
      <c r="Y238" s="175">
        <f t="shared" si="111"/>
        <v>116501.44840895831</v>
      </c>
      <c r="Z238" s="175">
        <f t="shared" si="111"/>
        <v>130652.22827209704</v>
      </c>
      <c r="AA238" s="176">
        <f t="shared" si="111"/>
        <v>129771.24498049887</v>
      </c>
      <c r="AB238" s="175">
        <f>SUM(AB235:AB237)</f>
        <v>54199.168231019023</v>
      </c>
      <c r="AC238" s="175">
        <f t="shared" si="111"/>
        <v>158990.80024172185</v>
      </c>
      <c r="AD238" s="175">
        <f t="shared" si="111"/>
        <v>199517.61199188599</v>
      </c>
      <c r="AE238" s="175">
        <f t="shared" si="111"/>
        <v>210158.75343534251</v>
      </c>
      <c r="AF238" s="175">
        <f t="shared" si="111"/>
        <v>242378.07760714664</v>
      </c>
      <c r="AG238" s="175">
        <f t="shared" si="111"/>
        <v>295963.13708358345</v>
      </c>
      <c r="AH238" s="175">
        <f t="shared" si="111"/>
        <v>333526.46398217196</v>
      </c>
      <c r="AI238" s="175">
        <f t="shared" si="111"/>
        <v>350187.44915467134</v>
      </c>
      <c r="AJ238" s="175">
        <f t="shared" si="111"/>
        <v>357999.84348208521</v>
      </c>
      <c r="AK238" s="175">
        <f t="shared" si="111"/>
        <v>407418.0447446676</v>
      </c>
      <c r="AL238" s="175">
        <f t="shared" si="111"/>
        <v>440985.82362952729</v>
      </c>
      <c r="AM238" s="175">
        <f t="shared" si="111"/>
        <v>471893.04374463402</v>
      </c>
      <c r="AN238" s="175"/>
      <c r="AO238" s="175"/>
      <c r="AP238" s="175"/>
      <c r="AQ238" s="175"/>
      <c r="AR238" s="175"/>
      <c r="AS238" s="175"/>
      <c r="AT238" s="175"/>
      <c r="AU238" s="175"/>
      <c r="AV238" s="175"/>
      <c r="AW238" s="175"/>
      <c r="AX238" s="175"/>
      <c r="AY238" s="175"/>
      <c r="AZ238" s="175"/>
      <c r="BA238" s="175"/>
      <c r="BB238" s="175"/>
      <c r="BC238" s="175"/>
      <c r="BD238" s="175"/>
      <c r="BE238" s="175"/>
      <c r="BF238" s="175"/>
      <c r="BG238" s="175"/>
      <c r="BH238" s="175"/>
      <c r="BI238" s="175"/>
      <c r="BJ238" s="175"/>
      <c r="BK238" s="175"/>
      <c r="BL238" s="175"/>
      <c r="BM238" s="175"/>
      <c r="BN238" s="175"/>
      <c r="BO238" s="175"/>
      <c r="BP238" s="175"/>
      <c r="BQ238" s="175"/>
      <c r="BR238" s="175"/>
    </row>
    <row r="239" spans="2:70">
      <c r="B239" s="166" t="s">
        <v>121</v>
      </c>
      <c r="D239" s="67">
        <f>MIN(SUM($D238:D238),0)</f>
        <v>-57424</v>
      </c>
      <c r="E239" s="67">
        <f>MIN(SUM($D238:E238),0)</f>
        <v>-63128.682742731929</v>
      </c>
      <c r="F239" s="67">
        <f>MIN(SUM($D238:F238),0)</f>
        <v>-65361.784406290513</v>
      </c>
      <c r="G239" s="67">
        <f>MIN(SUM($D238:G238),0)</f>
        <v>-65897.24090284585</v>
      </c>
      <c r="H239" s="67">
        <f>MIN(SUM($D238:H238),0)</f>
        <v>-62913.587877535436</v>
      </c>
      <c r="I239" s="67">
        <f>MIN(SUM($D238:I238),0)</f>
        <v>-57084.260707351496</v>
      </c>
      <c r="J239" s="67">
        <f>MIN(SUM($D238:J238),0)</f>
        <v>-47774.394500023722</v>
      </c>
      <c r="K239" s="67">
        <f>MIN(SUM($D238:K238),0)</f>
        <v>-38513.009092897351</v>
      </c>
      <c r="L239" s="67">
        <f>MIN(SUM($D238:L238),0)</f>
        <v>-27458.169051806552</v>
      </c>
      <c r="M239" s="67">
        <f>MIN(SUM($D238:M238),0)</f>
        <v>-13311.093669943148</v>
      </c>
      <c r="N239" s="67">
        <f>MIN(SUM($D238:N238),0)</f>
        <v>0</v>
      </c>
      <c r="O239" s="70">
        <f>MIN(SUM($D238:O238),0)</f>
        <v>0</v>
      </c>
      <c r="P239" s="67">
        <f>MIN(SUM($D238:P238),0)</f>
        <v>-2221.5492981106836</v>
      </c>
      <c r="Q239" s="67">
        <f>MIN(SUM($D238:Q238),0)</f>
        <v>0</v>
      </c>
      <c r="R239" s="67">
        <f>MIN(SUM($D238:R238),0)</f>
        <v>0</v>
      </c>
      <c r="S239" s="67">
        <f>MIN(SUM($D238:S238),0)</f>
        <v>0</v>
      </c>
      <c r="T239" s="67">
        <f>MIN(SUM($D238:T238),0)</f>
        <v>0</v>
      </c>
      <c r="U239" s="67">
        <f>MIN(SUM($D238:U238),0)</f>
        <v>0</v>
      </c>
      <c r="V239" s="67">
        <f>MIN(SUM($D238:V238),0)</f>
        <v>0</v>
      </c>
      <c r="W239" s="67">
        <f>MIN(SUM($D238:W238),0)</f>
        <v>0</v>
      </c>
      <c r="X239" s="67">
        <f>MIN(SUM($D238:X238),0)</f>
        <v>0</v>
      </c>
      <c r="Y239" s="67">
        <f>MIN(SUM($D238:Y238),0)</f>
        <v>0</v>
      </c>
      <c r="Z239" s="67">
        <f>MIN(SUM($D238:Z238),0)</f>
        <v>0</v>
      </c>
      <c r="AA239" s="70">
        <f>MIN(SUM($D238:AA238),0)</f>
        <v>0</v>
      </c>
      <c r="AB239" s="67">
        <f>MIN(SUM($D238:AB238),0)</f>
        <v>0</v>
      </c>
      <c r="AC239" s="67">
        <f>MIN(SUM($D238:AC238),0)</f>
        <v>0</v>
      </c>
      <c r="AD239" s="67">
        <f>MIN(SUM($D238:AD238),0)</f>
        <v>0</v>
      </c>
      <c r="AE239" s="67">
        <f>MIN(SUM($D238:AE238),0)</f>
        <v>0</v>
      </c>
      <c r="AF239" s="67">
        <f>MIN(SUM($D238:AF238),0)</f>
        <v>0</v>
      </c>
      <c r="AG239" s="67">
        <f>MIN(SUM($D238:AG238),0)</f>
        <v>0</v>
      </c>
      <c r="AH239" s="67">
        <f>MIN(SUM($D238:AH238),0)</f>
        <v>0</v>
      </c>
      <c r="AI239" s="67">
        <f>MIN(SUM($D238:AI238),0)</f>
        <v>0</v>
      </c>
      <c r="AJ239" s="67">
        <f>MIN(SUM($D238:AJ238),0)</f>
        <v>0</v>
      </c>
      <c r="AK239" s="67">
        <f>MIN(SUM($D238:AK238),0)</f>
        <v>0</v>
      </c>
      <c r="AL239" s="67">
        <f>MIN(SUM($D238:AL238),0)</f>
        <v>0</v>
      </c>
      <c r="AM239" s="67">
        <f>MIN(SUM($D238:AM238),0)</f>
        <v>0</v>
      </c>
      <c r="AN239" s="67"/>
      <c r="AO239" s="67"/>
      <c r="AP239" s="67"/>
      <c r="AQ239" s="67"/>
      <c r="AR239" s="67"/>
      <c r="AS239" s="67"/>
      <c r="AT239" s="67"/>
      <c r="AU239" s="67"/>
      <c r="AV239" s="67"/>
      <c r="AW239" s="67"/>
      <c r="AX239" s="67"/>
      <c r="AY239" s="67"/>
      <c r="AZ239" s="67"/>
      <c r="BA239" s="67"/>
      <c r="BB239" s="67"/>
      <c r="BC239" s="67"/>
      <c r="BD239" s="67"/>
      <c r="BE239" s="67"/>
      <c r="BF239" s="67"/>
      <c r="BG239" s="67"/>
      <c r="BH239" s="67"/>
      <c r="BI239" s="67"/>
      <c r="BJ239" s="67"/>
      <c r="BK239" s="67"/>
      <c r="BL239" s="67"/>
      <c r="BM239" s="67"/>
      <c r="BN239" s="67"/>
      <c r="BO239" s="67"/>
      <c r="BP239" s="67"/>
      <c r="BQ239" s="67"/>
      <c r="BR239" s="67"/>
    </row>
    <row r="240" spans="2:70">
      <c r="B240" s="166" t="s">
        <v>122</v>
      </c>
      <c r="D240" s="67">
        <f>MIN(MAX(SUM($D238:D238),0),MAX(D238,0))</f>
        <v>0</v>
      </c>
      <c r="E240" s="67">
        <f>MIN(MAX(SUM($D238:E238),0),MAX(E238,0))</f>
        <v>0</v>
      </c>
      <c r="F240" s="67">
        <f>MIN(MAX(SUM($D238:F238),0),MAX(F238,0))</f>
        <v>0</v>
      </c>
      <c r="G240" s="67">
        <f>MIN(MAX(SUM($D238:G238),0),MAX(G238,0))</f>
        <v>0</v>
      </c>
      <c r="H240" s="67">
        <f>MIN(MAX(SUM($D238:H238),0),MAX(H238,0))</f>
        <v>0</v>
      </c>
      <c r="I240" s="67">
        <f>MIN(MAX(SUM($D238:I238),0),MAX(I238,0))</f>
        <v>0</v>
      </c>
      <c r="J240" s="67">
        <f>MIN(MAX(SUM($D238:J238),0),MAX(J238,0))</f>
        <v>0</v>
      </c>
      <c r="K240" s="67">
        <f>MIN(MAX(SUM($D238:K238),0),MAX(K238,0))</f>
        <v>0</v>
      </c>
      <c r="L240" s="67">
        <f>MIN(MAX(SUM($D238:L238),0),MAX(L238,0))</f>
        <v>0</v>
      </c>
      <c r="M240" s="67">
        <f>MIN(MAX(SUM($D238:M238),0),MAX(M238,0))</f>
        <v>0</v>
      </c>
      <c r="N240" s="67">
        <f>MIN(MAX(SUM($D238:N238),0),MAX(N238,0))</f>
        <v>3540.5150332794256</v>
      </c>
      <c r="O240" s="70">
        <f>MIN(MAX(SUM($D238:O238),0),MAX(O238,0))</f>
        <v>20330.839280087399</v>
      </c>
      <c r="P240" s="67">
        <f>MIN(MAX(SUM($D238:P238),0),MAX(P238,0))</f>
        <v>0</v>
      </c>
      <c r="Q240" s="67">
        <f>MIN(MAX(SUM($D238:Q238),0),MAX(Q238,0))</f>
        <v>27874.50100763205</v>
      </c>
      <c r="R240" s="67">
        <f>MIN(MAX(SUM($D238:R238),0),MAX(R238,0))</f>
        <v>45741.942310118073</v>
      </c>
      <c r="S240" s="67">
        <f>MIN(MAX(SUM($D238:S238),0),MAX(S238,0))</f>
        <v>60178.2726811783</v>
      </c>
      <c r="T240" s="67">
        <f>MIN(MAX(SUM($D238:T238),0),MAX(T238,0))</f>
        <v>68668.498699617936</v>
      </c>
      <c r="U240" s="67">
        <f>MIN(MAX(SUM($D238:U238),0),MAX(U238,0))</f>
        <v>78251.767647301065</v>
      </c>
      <c r="V240" s="67">
        <f>MIN(MAX(SUM($D238:V238),0),MAX(V238,0))</f>
        <v>88035.346807266236</v>
      </c>
      <c r="W240" s="67">
        <f>MIN(MAX(SUM($D238:W238),0),MAX(W238,0))</f>
        <v>85879.562763731243</v>
      </c>
      <c r="X240" s="67">
        <f>MIN(MAX(SUM($D238:X238),0),MAX(X238,0))</f>
        <v>103701.85090209817</v>
      </c>
      <c r="Y240" s="67">
        <f>MIN(MAX(SUM($D238:Y238),0),MAX(Y238,0))</f>
        <v>116501.44840895831</v>
      </c>
      <c r="Z240" s="67">
        <f>MIN(MAX(SUM($D238:Z238),0),MAX(Z238,0))</f>
        <v>130652.22827209704</v>
      </c>
      <c r="AA240" s="70">
        <f>MIN(MAX(SUM($D238:AA238),0),MAX(AA238,0))</f>
        <v>129771.24498049887</v>
      </c>
      <c r="AB240" s="67">
        <f>MIN(MAX(SUM($D238:AB238),0),MAX(AB238,0))</f>
        <v>54199.168231019023</v>
      </c>
      <c r="AC240" s="67">
        <f>MIN(MAX(SUM($D238:AC238),0),MAX(AC238,0))</f>
        <v>158990.80024172185</v>
      </c>
      <c r="AD240" s="67">
        <f>MIN(MAX(SUM($D238:AD238),0),MAX(AD238,0))</f>
        <v>199517.61199188599</v>
      </c>
      <c r="AE240" s="67">
        <f>MIN(MAX(SUM($D238:AE238),0),MAX(AE238,0))</f>
        <v>210158.75343534251</v>
      </c>
      <c r="AF240" s="67">
        <f>MIN(MAX(SUM($D238:AF238),0),MAX(AF238,0))</f>
        <v>242378.07760714664</v>
      </c>
      <c r="AG240" s="67">
        <f>MIN(MAX(SUM($D238:AG238),0),MAX(AG238,0))</f>
        <v>295963.13708358345</v>
      </c>
      <c r="AH240" s="67">
        <f>MIN(MAX(SUM($D238:AH238),0),MAX(AH238,0))</f>
        <v>333526.46398217196</v>
      </c>
      <c r="AI240" s="67">
        <f>MIN(MAX(SUM($D238:AI238),0),MAX(AI238,0))</f>
        <v>350187.44915467134</v>
      </c>
      <c r="AJ240" s="67">
        <f>MIN(MAX(SUM($D238:AJ238),0),MAX(AJ238,0))</f>
        <v>357999.84348208521</v>
      </c>
      <c r="AK240" s="67">
        <f>MIN(MAX(SUM($D238:AK238),0),MAX(AK238,0))</f>
        <v>407418.0447446676</v>
      </c>
      <c r="AL240" s="67">
        <f>MIN(MAX(SUM($D238:AL238),0),MAX(AL238,0))</f>
        <v>440985.82362952729</v>
      </c>
      <c r="AM240" s="67">
        <f>MIN(MAX(SUM($D238:AM238),0),MAX(AM238,0))</f>
        <v>471893.04374463402</v>
      </c>
      <c r="AN240" s="67"/>
      <c r="AO240" s="67"/>
      <c r="AP240" s="67"/>
      <c r="AQ240" s="67"/>
      <c r="AR240" s="67"/>
      <c r="AS240" s="67"/>
      <c r="AT240" s="67"/>
      <c r="AU240" s="67"/>
      <c r="AV240" s="67"/>
      <c r="AW240" s="67"/>
      <c r="AX240" s="67"/>
      <c r="AY240" s="67"/>
      <c r="AZ240" s="67"/>
      <c r="BA240" s="67"/>
      <c r="BB240" s="67"/>
      <c r="BC240" s="67"/>
      <c r="BD240" s="67"/>
      <c r="BE240" s="67"/>
      <c r="BF240" s="67"/>
      <c r="BG240" s="67"/>
      <c r="BH240" s="67"/>
      <c r="BI240" s="67"/>
      <c r="BJ240" s="67"/>
      <c r="BK240" s="67"/>
      <c r="BL240" s="67"/>
      <c r="BM240" s="67"/>
      <c r="BN240" s="67"/>
      <c r="BO240" s="67"/>
      <c r="BP240" s="67"/>
      <c r="BQ240" s="67"/>
      <c r="BR240" s="67"/>
    </row>
    <row r="241" spans="2:70">
      <c r="B241" s="166" t="s">
        <v>162</v>
      </c>
      <c r="D241" s="67">
        <f>$M$106*D240</f>
        <v>0</v>
      </c>
      <c r="E241" s="67">
        <f t="shared" ref="E241:AM241" si="112">$M$106*E240</f>
        <v>0</v>
      </c>
      <c r="F241" s="67">
        <f t="shared" si="112"/>
        <v>0</v>
      </c>
      <c r="G241" s="67">
        <f t="shared" si="112"/>
        <v>0</v>
      </c>
      <c r="H241" s="67">
        <f t="shared" si="112"/>
        <v>0</v>
      </c>
      <c r="I241" s="67">
        <f t="shared" si="112"/>
        <v>0</v>
      </c>
      <c r="J241" s="67">
        <f t="shared" si="112"/>
        <v>0</v>
      </c>
      <c r="K241" s="67">
        <f t="shared" si="112"/>
        <v>0</v>
      </c>
      <c r="L241" s="67">
        <f t="shared" si="112"/>
        <v>0</v>
      </c>
      <c r="M241" s="67">
        <f t="shared" si="112"/>
        <v>0</v>
      </c>
      <c r="N241" s="67">
        <f t="shared" si="112"/>
        <v>885.12875831985639</v>
      </c>
      <c r="O241" s="70">
        <f t="shared" si="112"/>
        <v>5082.7098200218497</v>
      </c>
      <c r="P241" s="67">
        <f t="shared" si="112"/>
        <v>0</v>
      </c>
      <c r="Q241" s="67">
        <f t="shared" si="112"/>
        <v>6968.6252519080126</v>
      </c>
      <c r="R241" s="67">
        <f t="shared" si="112"/>
        <v>11435.485577529518</v>
      </c>
      <c r="S241" s="67">
        <f t="shared" si="112"/>
        <v>15044.568170294575</v>
      </c>
      <c r="T241" s="67">
        <f t="shared" si="112"/>
        <v>17167.124674904484</v>
      </c>
      <c r="U241" s="67">
        <f t="shared" si="112"/>
        <v>19562.941911825266</v>
      </c>
      <c r="V241" s="67">
        <f t="shared" si="112"/>
        <v>22008.836701816559</v>
      </c>
      <c r="W241" s="67">
        <f t="shared" si="112"/>
        <v>21469.890690932811</v>
      </c>
      <c r="X241" s="67">
        <f t="shared" si="112"/>
        <v>25925.462725524543</v>
      </c>
      <c r="Y241" s="67">
        <f t="shared" si="112"/>
        <v>29125.362102239578</v>
      </c>
      <c r="Z241" s="67">
        <f t="shared" si="112"/>
        <v>32663.05706802426</v>
      </c>
      <c r="AA241" s="70">
        <f t="shared" si="112"/>
        <v>32442.811245124718</v>
      </c>
      <c r="AB241" s="67">
        <f t="shared" si="112"/>
        <v>13549.792057754756</v>
      </c>
      <c r="AC241" s="67">
        <f t="shared" si="112"/>
        <v>39747.700060430463</v>
      </c>
      <c r="AD241" s="67">
        <f t="shared" si="112"/>
        <v>49879.402997971498</v>
      </c>
      <c r="AE241" s="67">
        <f t="shared" si="112"/>
        <v>52539.688358835629</v>
      </c>
      <c r="AF241" s="67">
        <f t="shared" si="112"/>
        <v>60594.51940178666</v>
      </c>
      <c r="AG241" s="67">
        <f t="shared" si="112"/>
        <v>73990.784270895863</v>
      </c>
      <c r="AH241" s="67">
        <f t="shared" si="112"/>
        <v>83381.61599554299</v>
      </c>
      <c r="AI241" s="67">
        <f t="shared" si="112"/>
        <v>87546.862288667835</v>
      </c>
      <c r="AJ241" s="67">
        <f t="shared" si="112"/>
        <v>89499.960870521303</v>
      </c>
      <c r="AK241" s="67">
        <f t="shared" si="112"/>
        <v>101854.5111861669</v>
      </c>
      <c r="AL241" s="67">
        <f t="shared" si="112"/>
        <v>110246.45590738182</v>
      </c>
      <c r="AM241" s="67">
        <f t="shared" si="112"/>
        <v>117973.26093615851</v>
      </c>
      <c r="AN241" s="67"/>
      <c r="AO241" s="67"/>
      <c r="AP241" s="67"/>
      <c r="AQ241" s="67"/>
      <c r="AR241" s="67"/>
      <c r="AS241" s="67"/>
      <c r="AT241" s="67"/>
      <c r="AU241" s="67"/>
      <c r="AV241" s="67"/>
      <c r="AW241" s="67"/>
      <c r="AX241" s="67"/>
      <c r="AY241" s="67"/>
      <c r="AZ241" s="67"/>
      <c r="BA241" s="67"/>
      <c r="BB241" s="67"/>
      <c r="BC241" s="67"/>
      <c r="BD241" s="67"/>
      <c r="BE241" s="67"/>
      <c r="BF241" s="67"/>
      <c r="BG241" s="67"/>
      <c r="BH241" s="67"/>
      <c r="BI241" s="67"/>
      <c r="BJ241" s="67"/>
      <c r="BK241" s="67"/>
      <c r="BL241" s="67"/>
      <c r="BM241" s="67"/>
      <c r="BN241" s="67"/>
      <c r="BO241" s="67"/>
      <c r="BP241" s="67"/>
      <c r="BQ241" s="67"/>
      <c r="BR241" s="67"/>
    </row>
    <row r="242" spans="2:70">
      <c r="D242" s="67"/>
      <c r="E242" s="67"/>
      <c r="F242" s="67"/>
      <c r="G242" s="67"/>
      <c r="H242" s="67"/>
      <c r="I242" s="67"/>
      <c r="J242" s="67"/>
      <c r="K242" s="67"/>
      <c r="L242" s="67"/>
      <c r="M242" s="67"/>
      <c r="N242" s="67"/>
      <c r="O242" s="70"/>
      <c r="P242" s="67"/>
      <c r="Q242" s="67"/>
      <c r="R242" s="67"/>
      <c r="S242" s="67"/>
      <c r="T242" s="67"/>
      <c r="U242" s="67"/>
      <c r="V242" s="67"/>
      <c r="W242" s="67"/>
      <c r="X242" s="67"/>
      <c r="Y242" s="67"/>
      <c r="Z242" s="67"/>
      <c r="AA242" s="70"/>
      <c r="AB242" s="67"/>
      <c r="AC242" s="67"/>
      <c r="AD242" s="67"/>
      <c r="AE242" s="67"/>
      <c r="AF242" s="67"/>
      <c r="AG242" s="67"/>
      <c r="AH242" s="67"/>
      <c r="AI242" s="67"/>
      <c r="AJ242" s="67"/>
      <c r="AK242" s="67"/>
      <c r="AL242" s="67"/>
      <c r="AM242" s="67"/>
      <c r="AN242" s="67"/>
      <c r="AO242" s="67"/>
      <c r="AP242" s="67"/>
      <c r="AQ242" s="67"/>
      <c r="AR242" s="67"/>
      <c r="AS242" s="67"/>
      <c r="AT242" s="67"/>
      <c r="AU242" s="67"/>
      <c r="AV242" s="67"/>
      <c r="AW242" s="67"/>
      <c r="AX242" s="67"/>
      <c r="AY242" s="67"/>
      <c r="AZ242" s="67"/>
      <c r="BA242" s="67"/>
      <c r="BB242" s="67"/>
      <c r="BC242" s="67"/>
      <c r="BD242" s="67"/>
      <c r="BE242" s="67"/>
      <c r="BF242" s="67"/>
      <c r="BG242" s="67"/>
      <c r="BH242" s="67"/>
      <c r="BI242" s="67"/>
      <c r="BJ242" s="67"/>
      <c r="BK242" s="67"/>
      <c r="BL242" s="67"/>
      <c r="BM242" s="67"/>
      <c r="BN242" s="67"/>
      <c r="BO242" s="67"/>
      <c r="BP242" s="67"/>
      <c r="BQ242" s="67"/>
      <c r="BR242" s="67"/>
    </row>
    <row r="243" spans="2:70">
      <c r="D243" s="67"/>
      <c r="E243" s="67"/>
      <c r="F243" s="67"/>
      <c r="G243" s="67"/>
      <c r="H243" s="67"/>
      <c r="I243" s="67"/>
      <c r="J243" s="67"/>
      <c r="K243" s="67"/>
      <c r="L243" s="67"/>
      <c r="M243" s="67"/>
      <c r="N243" s="67"/>
      <c r="O243" s="70"/>
      <c r="P243" s="67"/>
      <c r="Q243" s="67"/>
      <c r="R243" s="67"/>
      <c r="S243" s="67"/>
      <c r="T243" s="67"/>
      <c r="U243" s="67"/>
      <c r="V243" s="67"/>
      <c r="W243" s="67"/>
      <c r="X243" s="67"/>
      <c r="Y243" s="67"/>
      <c r="Z243" s="67"/>
      <c r="AA243" s="70"/>
      <c r="AB243" s="67"/>
      <c r="AC243" s="67"/>
      <c r="AD243" s="67"/>
      <c r="AE243" s="67"/>
      <c r="AF243" s="67"/>
      <c r="AG243" s="67"/>
      <c r="AH243" s="67"/>
      <c r="AI243" s="67"/>
      <c r="AJ243" s="67"/>
      <c r="AK243" s="67"/>
      <c r="AL243" s="67"/>
      <c r="AM243" s="67"/>
      <c r="AN243" s="67"/>
      <c r="AO243" s="67"/>
      <c r="AP243" s="67"/>
      <c r="AQ243" s="67"/>
      <c r="AR243" s="67"/>
      <c r="AS243" s="67"/>
      <c r="AT243" s="67"/>
      <c r="AU243" s="67"/>
      <c r="AV243" s="67"/>
      <c r="AW243" s="67"/>
      <c r="AX243" s="67"/>
      <c r="AY243" s="67"/>
      <c r="AZ243" s="67"/>
      <c r="BA243" s="67"/>
      <c r="BB243" s="67"/>
      <c r="BC243" s="67"/>
      <c r="BD243" s="67"/>
      <c r="BE243" s="67"/>
      <c r="BF243" s="67"/>
      <c r="BG243" s="67"/>
      <c r="BH243" s="67"/>
      <c r="BI243" s="67"/>
      <c r="BJ243" s="67"/>
      <c r="BK243" s="67"/>
      <c r="BL243" s="67"/>
      <c r="BM243" s="67"/>
      <c r="BN243" s="67"/>
      <c r="BO243" s="67"/>
      <c r="BP243" s="67"/>
      <c r="BQ243" s="67"/>
      <c r="BR243" s="67"/>
    </row>
    <row r="244" spans="2:70">
      <c r="D244" s="67"/>
      <c r="E244" s="67"/>
      <c r="F244" s="67"/>
      <c r="G244" s="67"/>
      <c r="H244" s="67"/>
      <c r="I244" s="67"/>
      <c r="J244" s="67"/>
      <c r="K244" s="67"/>
      <c r="L244" s="67"/>
      <c r="M244" s="67"/>
      <c r="N244" s="67"/>
      <c r="O244" s="70"/>
      <c r="P244" s="67"/>
      <c r="Q244" s="67"/>
      <c r="R244" s="67"/>
      <c r="S244" s="67"/>
      <c r="T244" s="67"/>
      <c r="U244" s="67"/>
      <c r="V244" s="67"/>
      <c r="W244" s="67"/>
      <c r="X244" s="67"/>
      <c r="Y244" s="67"/>
      <c r="Z244" s="67"/>
      <c r="AA244" s="70"/>
      <c r="AB244" s="67"/>
      <c r="AC244" s="67"/>
      <c r="AD244" s="67"/>
      <c r="AE244" s="67"/>
      <c r="AF244" s="67"/>
      <c r="AG244" s="67"/>
      <c r="AH244" s="67"/>
      <c r="AI244" s="67"/>
      <c r="AJ244" s="67"/>
      <c r="AK244" s="67"/>
      <c r="AL244" s="67"/>
      <c r="AM244" s="67"/>
      <c r="AN244" s="67"/>
      <c r="AO244" s="67"/>
      <c r="AP244" s="67"/>
      <c r="AQ244" s="67"/>
      <c r="AR244" s="67"/>
      <c r="AS244" s="67"/>
      <c r="AT244" s="67"/>
      <c r="AU244" s="67"/>
      <c r="AV244" s="67"/>
      <c r="AW244" s="67"/>
      <c r="AX244" s="67"/>
      <c r="AY244" s="67"/>
      <c r="AZ244" s="67"/>
      <c r="BA244" s="67"/>
      <c r="BB244" s="67"/>
      <c r="BC244" s="67"/>
      <c r="BD244" s="67"/>
      <c r="BE244" s="67"/>
      <c r="BF244" s="67"/>
      <c r="BG244" s="67"/>
      <c r="BH244" s="67"/>
      <c r="BI244" s="67"/>
      <c r="BJ244" s="67"/>
      <c r="BK244" s="67"/>
      <c r="BL244" s="67"/>
      <c r="BM244" s="67"/>
      <c r="BN244" s="67"/>
      <c r="BO244" s="67"/>
      <c r="BP244" s="67"/>
      <c r="BQ244" s="67"/>
      <c r="BR244" s="67"/>
    </row>
    <row r="245" spans="2:70">
      <c r="D245" s="67"/>
      <c r="E245" s="67"/>
      <c r="F245" s="67" t="s">
        <v>342</v>
      </c>
      <c r="G245" s="67"/>
      <c r="H245" s="67"/>
      <c r="I245" s="67"/>
      <c r="J245" s="67"/>
      <c r="K245" s="67"/>
      <c r="L245" s="67"/>
      <c r="M245" s="67"/>
      <c r="N245" s="67"/>
      <c r="O245" s="70"/>
      <c r="P245" s="67"/>
      <c r="Q245" s="67"/>
      <c r="R245" s="67"/>
      <c r="S245" s="67"/>
      <c r="T245" s="67"/>
      <c r="U245" s="67"/>
      <c r="V245" s="67"/>
      <c r="W245" s="67"/>
      <c r="X245" s="67"/>
      <c r="Y245" s="67"/>
      <c r="Z245" s="67"/>
      <c r="AA245" s="70"/>
      <c r="AB245" s="67"/>
      <c r="AC245" s="67"/>
      <c r="AD245" s="67"/>
      <c r="AE245" s="67"/>
      <c r="AF245" s="67"/>
      <c r="AG245" s="67"/>
      <c r="AH245" s="67"/>
      <c r="AI245" s="67"/>
      <c r="AJ245" s="67"/>
      <c r="AK245" s="67"/>
      <c r="AL245" s="67"/>
      <c r="AM245" s="67"/>
      <c r="AN245" s="67"/>
      <c r="AO245" s="67"/>
      <c r="AP245" s="67"/>
      <c r="AQ245" s="67"/>
      <c r="AR245" s="67"/>
      <c r="AS245" s="67"/>
      <c r="AT245" s="67"/>
      <c r="AU245" s="67"/>
      <c r="AV245" s="67"/>
      <c r="AW245" s="67"/>
      <c r="AX245" s="67"/>
      <c r="AY245" s="67"/>
      <c r="AZ245" s="67"/>
      <c r="BA245" s="67"/>
      <c r="BB245" s="67"/>
      <c r="BC245" s="67"/>
      <c r="BD245" s="67"/>
      <c r="BE245" s="67"/>
      <c r="BF245" s="67"/>
      <c r="BG245" s="67"/>
      <c r="BH245" s="67"/>
      <c r="BI245" s="67"/>
      <c r="BJ245" s="67"/>
      <c r="BK245" s="67"/>
      <c r="BL245" s="67"/>
      <c r="BM245" s="67"/>
      <c r="BN245" s="67"/>
      <c r="BO245" s="67"/>
      <c r="BP245" s="67"/>
      <c r="BQ245" s="67"/>
      <c r="BR245" s="67"/>
    </row>
    <row r="246" spans="2:70">
      <c r="D246" s="67"/>
      <c r="E246" s="67"/>
      <c r="F246" s="67" t="s">
        <v>343</v>
      </c>
      <c r="G246" s="67"/>
      <c r="H246" s="67"/>
      <c r="I246" s="67"/>
      <c r="J246" s="67"/>
      <c r="K246" s="67"/>
      <c r="L246" s="67"/>
      <c r="M246" s="67"/>
      <c r="N246" s="67"/>
      <c r="O246" s="70"/>
      <c r="P246" s="67"/>
      <c r="Q246" s="67"/>
      <c r="R246" s="67"/>
      <c r="S246" s="67"/>
      <c r="T246" s="67"/>
      <c r="U246" s="67"/>
      <c r="V246" s="67"/>
      <c r="W246" s="67"/>
      <c r="X246" s="67"/>
      <c r="Y246" s="67"/>
      <c r="Z246" s="67"/>
      <c r="AA246" s="70"/>
      <c r="AB246" s="67"/>
      <c r="AC246" s="67"/>
      <c r="AD246" s="67"/>
      <c r="AE246" s="67"/>
      <c r="AF246" s="67"/>
      <c r="AG246" s="67"/>
      <c r="AH246" s="67"/>
      <c r="AI246" s="67"/>
      <c r="AJ246" s="67"/>
      <c r="AK246" s="67"/>
      <c r="AL246" s="67"/>
      <c r="AM246" s="67"/>
      <c r="AN246" s="67"/>
      <c r="AO246" s="67"/>
      <c r="AP246" s="67"/>
      <c r="AQ246" s="67"/>
      <c r="AR246" s="67"/>
      <c r="AS246" s="67"/>
      <c r="AT246" s="67"/>
      <c r="AU246" s="67"/>
      <c r="AV246" s="67"/>
      <c r="AW246" s="67"/>
      <c r="AX246" s="67"/>
      <c r="AY246" s="67"/>
      <c r="AZ246" s="67"/>
      <c r="BA246" s="67"/>
      <c r="BB246" s="67"/>
      <c r="BC246" s="67"/>
      <c r="BD246" s="67"/>
      <c r="BE246" s="67"/>
      <c r="BF246" s="67"/>
      <c r="BG246" s="67"/>
      <c r="BH246" s="67"/>
      <c r="BI246" s="67"/>
      <c r="BJ246" s="67"/>
      <c r="BK246" s="67"/>
      <c r="BL246" s="67"/>
      <c r="BM246" s="67"/>
      <c r="BN246" s="67"/>
      <c r="BO246" s="67"/>
      <c r="BP246" s="67"/>
      <c r="BQ246" s="67"/>
      <c r="BR246" s="67"/>
    </row>
    <row r="247" spans="2:70">
      <c r="D247" s="67"/>
      <c r="E247" s="67"/>
      <c r="F247" s="67"/>
      <c r="G247" s="67"/>
      <c r="H247" s="67"/>
      <c r="I247" s="67"/>
      <c r="J247" s="67"/>
      <c r="K247" s="67"/>
      <c r="L247" s="67"/>
      <c r="M247" s="67"/>
      <c r="N247" s="67"/>
      <c r="O247" s="70"/>
      <c r="P247" s="67"/>
      <c r="Q247" s="67"/>
      <c r="R247" s="67"/>
      <c r="S247" s="67"/>
      <c r="T247" s="67"/>
      <c r="U247" s="67"/>
      <c r="V247" s="67"/>
      <c r="W247" s="67"/>
      <c r="X247" s="67"/>
      <c r="Y247" s="67"/>
      <c r="Z247" s="67"/>
      <c r="AA247" s="70"/>
      <c r="AB247" s="67"/>
      <c r="AC247" s="67"/>
      <c r="AD247" s="67"/>
      <c r="AE247" s="67"/>
      <c r="AF247" s="67"/>
      <c r="AG247" s="67"/>
      <c r="AH247" s="67"/>
      <c r="AI247" s="67"/>
      <c r="AJ247" s="67"/>
      <c r="AK247" s="67"/>
      <c r="AL247" s="67"/>
      <c r="AM247" s="67"/>
      <c r="AN247" s="67"/>
      <c r="AO247" s="67"/>
      <c r="AP247" s="67"/>
      <c r="AQ247" s="67"/>
      <c r="AR247" s="67"/>
      <c r="AS247" s="67"/>
      <c r="AT247" s="67"/>
      <c r="AU247" s="67"/>
      <c r="AV247" s="67"/>
      <c r="AW247" s="67"/>
      <c r="AX247" s="67"/>
      <c r="AY247" s="67"/>
      <c r="AZ247" s="67"/>
      <c r="BA247" s="67"/>
      <c r="BB247" s="67"/>
      <c r="BC247" s="67"/>
      <c r="BD247" s="67"/>
      <c r="BE247" s="67"/>
      <c r="BF247" s="67"/>
      <c r="BG247" s="67"/>
      <c r="BH247" s="67"/>
      <c r="BI247" s="67"/>
      <c r="BJ247" s="67"/>
      <c r="BK247" s="67"/>
      <c r="BL247" s="67"/>
      <c r="BM247" s="67"/>
      <c r="BN247" s="67"/>
      <c r="BO247" s="67"/>
      <c r="BP247" s="67"/>
      <c r="BQ247" s="67"/>
      <c r="BR247" s="67"/>
    </row>
    <row r="248" spans="2:70">
      <c r="D248" s="67"/>
      <c r="E248" s="67"/>
      <c r="F248" s="67" t="s">
        <v>344</v>
      </c>
      <c r="G248" s="67"/>
      <c r="H248" s="67"/>
      <c r="I248" s="67"/>
      <c r="J248" s="67"/>
      <c r="K248" s="67"/>
      <c r="L248" s="67"/>
      <c r="M248" s="67"/>
      <c r="N248" s="67"/>
      <c r="O248" s="70"/>
      <c r="P248" s="67"/>
      <c r="Q248" s="67"/>
      <c r="R248" s="67"/>
      <c r="S248" s="67"/>
      <c r="T248" s="67"/>
      <c r="U248" s="67"/>
      <c r="V248" s="67"/>
      <c r="W248" s="67"/>
      <c r="X248" s="67"/>
      <c r="Y248" s="67"/>
      <c r="Z248" s="67"/>
      <c r="AA248" s="70"/>
      <c r="AB248" s="67"/>
      <c r="AC248" s="67"/>
      <c r="AD248" s="67"/>
      <c r="AE248" s="67"/>
      <c r="AF248" s="67"/>
      <c r="AG248" s="67"/>
      <c r="AH248" s="67"/>
      <c r="AI248" s="67"/>
      <c r="AJ248" s="67"/>
      <c r="AK248" s="67"/>
      <c r="AL248" s="67"/>
      <c r="AM248" s="67"/>
      <c r="AN248" s="67"/>
      <c r="AO248" s="67"/>
      <c r="AP248" s="67"/>
      <c r="AQ248" s="67"/>
      <c r="AR248" s="67"/>
      <c r="AS248" s="67"/>
      <c r="AT248" s="67"/>
      <c r="AU248" s="67"/>
      <c r="AV248" s="67"/>
      <c r="AW248" s="67"/>
      <c r="AX248" s="67"/>
      <c r="AY248" s="67"/>
      <c r="AZ248" s="67"/>
      <c r="BA248" s="67"/>
      <c r="BB248" s="67"/>
      <c r="BC248" s="67"/>
      <c r="BD248" s="67"/>
      <c r="BE248" s="67"/>
      <c r="BF248" s="67"/>
      <c r="BG248" s="67"/>
      <c r="BH248" s="67"/>
      <c r="BI248" s="67"/>
      <c r="BJ248" s="67"/>
      <c r="BK248" s="67"/>
      <c r="BL248" s="67"/>
      <c r="BM248" s="67"/>
      <c r="BN248" s="67"/>
      <c r="BO248" s="67"/>
      <c r="BP248" s="67"/>
      <c r="BQ248" s="67"/>
      <c r="BR248" s="67"/>
    </row>
    <row r="249" spans="2:70">
      <c r="D249" s="67"/>
      <c r="E249" s="67"/>
      <c r="F249" s="67"/>
      <c r="G249" s="67"/>
      <c r="H249" s="67"/>
      <c r="I249" s="67"/>
      <c r="J249" s="67"/>
      <c r="K249" s="67"/>
      <c r="L249" s="67"/>
      <c r="M249" s="67"/>
      <c r="N249" s="67"/>
      <c r="O249" s="70"/>
      <c r="P249" s="67"/>
      <c r="Q249" s="67"/>
      <c r="R249" s="67"/>
      <c r="S249" s="67"/>
      <c r="T249" s="67"/>
      <c r="U249" s="67"/>
      <c r="V249" s="67"/>
      <c r="W249" s="67"/>
      <c r="X249" s="67"/>
      <c r="Y249" s="67"/>
      <c r="Z249" s="67"/>
      <c r="AA249" s="70"/>
      <c r="AB249" s="67"/>
      <c r="AC249" s="67"/>
      <c r="AD249" s="67"/>
      <c r="AE249" s="67"/>
      <c r="AF249" s="67"/>
      <c r="AG249" s="67"/>
      <c r="AH249" s="67"/>
      <c r="AI249" s="67"/>
      <c r="AJ249" s="67"/>
      <c r="AK249" s="67"/>
      <c r="AL249" s="67"/>
      <c r="AM249" s="67"/>
      <c r="AN249" s="67"/>
      <c r="AO249" s="67"/>
      <c r="AP249" s="67"/>
      <c r="AQ249" s="67"/>
      <c r="AR249" s="67"/>
      <c r="AS249" s="67"/>
      <c r="AT249" s="67"/>
      <c r="AU249" s="67"/>
      <c r="AV249" s="67"/>
      <c r="AW249" s="67"/>
      <c r="AX249" s="67"/>
      <c r="AY249" s="67"/>
      <c r="AZ249" s="67"/>
      <c r="BA249" s="67"/>
      <c r="BB249" s="67"/>
      <c r="BC249" s="67"/>
      <c r="BD249" s="67"/>
      <c r="BE249" s="67"/>
      <c r="BF249" s="67"/>
      <c r="BG249" s="67"/>
      <c r="BH249" s="67"/>
      <c r="BI249" s="67"/>
      <c r="BJ249" s="67"/>
      <c r="BK249" s="67"/>
      <c r="BL249" s="67"/>
      <c r="BM249" s="67"/>
      <c r="BN249" s="67"/>
      <c r="BO249" s="67"/>
      <c r="BP249" s="67"/>
      <c r="BQ249" s="67"/>
      <c r="BR249" s="67"/>
    </row>
    <row r="250" spans="2:70" ht="17.399999999999999">
      <c r="D250" s="67"/>
      <c r="E250" s="67"/>
      <c r="F250" s="324" t="s">
        <v>345</v>
      </c>
      <c r="G250" s="67"/>
      <c r="H250" s="67"/>
      <c r="I250" s="67"/>
      <c r="J250" s="67"/>
      <c r="K250" s="67"/>
      <c r="L250" s="67"/>
      <c r="M250" s="67"/>
      <c r="N250" s="67"/>
      <c r="O250" s="70"/>
      <c r="P250" s="67"/>
      <c r="Q250" s="67"/>
      <c r="R250" s="67"/>
      <c r="S250" s="67"/>
      <c r="T250" s="67"/>
      <c r="U250" s="67"/>
      <c r="V250" s="67"/>
      <c r="W250" s="67"/>
      <c r="X250" s="67"/>
      <c r="Y250" s="67"/>
      <c r="Z250" s="67"/>
      <c r="AA250" s="70"/>
      <c r="AB250" s="67"/>
      <c r="AC250" s="67"/>
      <c r="AD250" s="67"/>
      <c r="AE250" s="67"/>
      <c r="AF250" s="67"/>
      <c r="AG250" s="67"/>
      <c r="AH250" s="67"/>
      <c r="AI250" s="67"/>
      <c r="AJ250" s="67"/>
      <c r="AK250" s="67"/>
      <c r="AL250" s="67"/>
      <c r="AM250" s="67"/>
      <c r="AN250" s="67"/>
      <c r="AO250" s="67"/>
      <c r="AP250" s="67"/>
      <c r="AQ250" s="67"/>
      <c r="AR250" s="67"/>
      <c r="AS250" s="67"/>
      <c r="AT250" s="67"/>
      <c r="AU250" s="67"/>
      <c r="AV250" s="67"/>
      <c r="AW250" s="67"/>
      <c r="AX250" s="67"/>
      <c r="AY250" s="67"/>
      <c r="AZ250" s="67"/>
      <c r="BA250" s="67"/>
      <c r="BB250" s="67"/>
      <c r="BC250" s="67"/>
      <c r="BD250" s="67"/>
      <c r="BE250" s="67"/>
      <c r="BF250" s="67"/>
      <c r="BG250" s="67"/>
      <c r="BH250" s="67"/>
      <c r="BI250" s="67"/>
      <c r="BJ250" s="67"/>
      <c r="BK250" s="67"/>
      <c r="BL250" s="67"/>
      <c r="BM250" s="67"/>
      <c r="BN250" s="67"/>
      <c r="BO250" s="67"/>
      <c r="BP250" s="67"/>
      <c r="BQ250" s="67"/>
      <c r="BR250" s="67"/>
    </row>
    <row r="251" spans="2:70">
      <c r="D251" s="67"/>
      <c r="E251" s="67"/>
      <c r="F251" s="67"/>
      <c r="G251" s="67"/>
      <c r="H251" s="67"/>
      <c r="I251" s="67"/>
      <c r="J251" s="67"/>
      <c r="K251" s="67"/>
      <c r="L251" s="67"/>
      <c r="M251" s="67"/>
      <c r="N251" s="67"/>
      <c r="O251" s="70"/>
      <c r="P251" s="67"/>
      <c r="Q251" s="67"/>
      <c r="R251" s="67"/>
      <c r="S251" s="67"/>
      <c r="T251" s="67"/>
      <c r="U251" s="67"/>
      <c r="V251" s="67"/>
      <c r="W251" s="67"/>
      <c r="X251" s="67"/>
      <c r="Y251" s="67"/>
      <c r="Z251" s="67"/>
      <c r="AA251" s="70"/>
      <c r="AB251" s="67"/>
      <c r="AC251" s="67"/>
      <c r="AD251" s="67"/>
      <c r="AE251" s="67"/>
      <c r="AF251" s="67"/>
      <c r="AG251" s="67"/>
      <c r="AH251" s="67"/>
      <c r="AI251" s="67"/>
      <c r="AJ251" s="67"/>
      <c r="AK251" s="67"/>
      <c r="AL251" s="67"/>
      <c r="AM251" s="67"/>
      <c r="AN251" s="67"/>
      <c r="AO251" s="67"/>
      <c r="AP251" s="67"/>
      <c r="AQ251" s="67"/>
      <c r="AR251" s="67"/>
      <c r="AS251" s="67"/>
      <c r="AT251" s="67"/>
      <c r="AU251" s="67"/>
      <c r="AV251" s="67"/>
      <c r="AW251" s="67"/>
      <c r="AX251" s="67"/>
      <c r="AY251" s="67"/>
      <c r="AZ251" s="67"/>
      <c r="BA251" s="67"/>
      <c r="BB251" s="67"/>
      <c r="BC251" s="67"/>
      <c r="BD251" s="67"/>
      <c r="BE251" s="67"/>
      <c r="BF251" s="67"/>
      <c r="BG251" s="67"/>
      <c r="BH251" s="67"/>
      <c r="BI251" s="67"/>
      <c r="BJ251" s="67"/>
      <c r="BK251" s="67"/>
      <c r="BL251" s="67"/>
      <c r="BM251" s="67"/>
      <c r="BN251" s="67"/>
      <c r="BO251" s="67"/>
      <c r="BP251" s="67"/>
      <c r="BQ251" s="67"/>
      <c r="BR251" s="67"/>
    </row>
    <row r="252" spans="2:70">
      <c r="D252" s="67"/>
      <c r="E252" s="67"/>
      <c r="F252" s="67" t="s">
        <v>346</v>
      </c>
      <c r="G252" s="67"/>
      <c r="H252" s="67"/>
      <c r="I252" s="67"/>
      <c r="J252" s="67"/>
      <c r="K252" s="67"/>
      <c r="L252" s="67"/>
      <c r="M252" s="67"/>
      <c r="N252" s="67"/>
      <c r="O252" s="70"/>
      <c r="P252" s="67"/>
      <c r="Q252" s="67"/>
      <c r="R252" s="67"/>
      <c r="S252" s="67"/>
      <c r="T252" s="67"/>
      <c r="U252" s="67"/>
      <c r="V252" s="67"/>
      <c r="W252" s="67"/>
      <c r="X252" s="67"/>
      <c r="Y252" s="67"/>
      <c r="Z252" s="67"/>
      <c r="AA252" s="70"/>
      <c r="AB252" s="67"/>
      <c r="AC252" s="67"/>
      <c r="AD252" s="67"/>
      <c r="AE252" s="67"/>
      <c r="AF252" s="67"/>
      <c r="AG252" s="67"/>
      <c r="AH252" s="67"/>
      <c r="AI252" s="67"/>
      <c r="AJ252" s="67"/>
      <c r="AK252" s="67"/>
      <c r="AL252" s="67"/>
      <c r="AM252" s="67"/>
      <c r="AN252" s="67"/>
      <c r="AO252" s="67"/>
      <c r="AP252" s="67"/>
      <c r="AQ252" s="67"/>
      <c r="AR252" s="67"/>
      <c r="AS252" s="67"/>
      <c r="AT252" s="67"/>
      <c r="AU252" s="67"/>
      <c r="AV252" s="67"/>
      <c r="AW252" s="67"/>
      <c r="AX252" s="67"/>
      <c r="AY252" s="67"/>
      <c r="AZ252" s="67"/>
      <c r="BA252" s="67"/>
      <c r="BB252" s="67"/>
      <c r="BC252" s="67"/>
      <c r="BD252" s="67"/>
      <c r="BE252" s="67"/>
      <c r="BF252" s="67"/>
      <c r="BG252" s="67"/>
      <c r="BH252" s="67"/>
      <c r="BI252" s="67"/>
      <c r="BJ252" s="67"/>
      <c r="BK252" s="67"/>
      <c r="BL252" s="67"/>
      <c r="BM252" s="67"/>
      <c r="BN252" s="67"/>
      <c r="BO252" s="67"/>
      <c r="BP252" s="67"/>
      <c r="BQ252" s="67"/>
      <c r="BR252" s="67"/>
    </row>
    <row r="253" spans="2:70">
      <c r="D253" s="67"/>
      <c r="E253" s="67"/>
      <c r="F253" s="67"/>
      <c r="G253" s="67"/>
      <c r="H253" s="67"/>
      <c r="I253" s="67"/>
      <c r="J253" s="67"/>
      <c r="K253" s="67"/>
      <c r="L253" s="67"/>
      <c r="M253" s="67"/>
      <c r="N253" s="67"/>
      <c r="O253" s="70"/>
      <c r="P253" s="67"/>
      <c r="Q253" s="67"/>
      <c r="R253" s="67"/>
      <c r="S253" s="67"/>
      <c r="T253" s="67"/>
      <c r="U253" s="67"/>
      <c r="V253" s="67"/>
      <c r="W253" s="67"/>
      <c r="X253" s="67"/>
      <c r="Y253" s="67"/>
      <c r="Z253" s="67"/>
      <c r="AA253" s="70"/>
      <c r="AB253" s="67"/>
      <c r="AC253" s="67"/>
      <c r="AD253" s="67"/>
      <c r="AE253" s="67"/>
      <c r="AF253" s="67"/>
      <c r="AG253" s="67"/>
      <c r="AH253" s="67"/>
      <c r="AI253" s="67"/>
      <c r="AJ253" s="67"/>
      <c r="AK253" s="67"/>
      <c r="AL253" s="67"/>
      <c r="AM253" s="67"/>
      <c r="AN253" s="67"/>
      <c r="AO253" s="67"/>
      <c r="AP253" s="67"/>
      <c r="AQ253" s="67"/>
      <c r="AR253" s="67"/>
      <c r="AS253" s="67"/>
      <c r="AT253" s="67"/>
      <c r="AU253" s="67"/>
      <c r="AV253" s="67"/>
      <c r="AW253" s="67"/>
      <c r="AX253" s="67"/>
      <c r="AY253" s="67"/>
      <c r="AZ253" s="67"/>
      <c r="BA253" s="67"/>
      <c r="BB253" s="67"/>
      <c r="BC253" s="67"/>
      <c r="BD253" s="67"/>
      <c r="BE253" s="67"/>
      <c r="BF253" s="67"/>
      <c r="BG253" s="67"/>
      <c r="BH253" s="67"/>
      <c r="BI253" s="67"/>
      <c r="BJ253" s="67"/>
      <c r="BK253" s="67"/>
      <c r="BL253" s="67"/>
      <c r="BM253" s="67"/>
      <c r="BN253" s="67"/>
      <c r="BO253" s="67"/>
      <c r="BP253" s="67"/>
      <c r="BQ253" s="67"/>
      <c r="BR253" s="67"/>
    </row>
    <row r="254" spans="2:70">
      <c r="D254" s="67"/>
      <c r="E254" s="67"/>
      <c r="F254" s="67"/>
      <c r="G254" s="67"/>
      <c r="H254" s="67"/>
      <c r="I254" s="67"/>
      <c r="J254" s="67"/>
      <c r="K254" s="67"/>
      <c r="L254" s="67"/>
      <c r="M254" s="67"/>
      <c r="N254" s="67"/>
      <c r="O254" s="70"/>
      <c r="P254" s="67"/>
      <c r="Q254" s="67"/>
      <c r="R254" s="67"/>
      <c r="S254" s="67"/>
      <c r="T254" s="67"/>
      <c r="U254" s="67"/>
      <c r="V254" s="67"/>
      <c r="W254" s="67"/>
      <c r="X254" s="67"/>
      <c r="Y254" s="67"/>
      <c r="Z254" s="67"/>
      <c r="AA254" s="70"/>
      <c r="AB254" s="67"/>
      <c r="AC254" s="67"/>
      <c r="AD254" s="67"/>
      <c r="AE254" s="67"/>
      <c r="AF254" s="67"/>
      <c r="AG254" s="67"/>
      <c r="AH254" s="67"/>
      <c r="AI254" s="67"/>
      <c r="AJ254" s="67"/>
      <c r="AK254" s="67"/>
      <c r="AL254" s="67"/>
      <c r="AM254" s="67"/>
      <c r="AN254" s="67"/>
      <c r="AO254" s="67"/>
      <c r="AP254" s="67"/>
      <c r="AQ254" s="67"/>
      <c r="AR254" s="67"/>
      <c r="AS254" s="67"/>
      <c r="AT254" s="67"/>
      <c r="AU254" s="67"/>
      <c r="AV254" s="67"/>
      <c r="AW254" s="67"/>
      <c r="AX254" s="67"/>
      <c r="AY254" s="67"/>
      <c r="AZ254" s="67"/>
      <c r="BA254" s="67"/>
      <c r="BB254" s="67"/>
      <c r="BC254" s="67"/>
      <c r="BD254" s="67"/>
      <c r="BE254" s="67"/>
      <c r="BF254" s="67"/>
      <c r="BG254" s="67"/>
      <c r="BH254" s="67"/>
      <c r="BI254" s="67"/>
      <c r="BJ254" s="67"/>
      <c r="BK254" s="67"/>
      <c r="BL254" s="67"/>
      <c r="BM254" s="67"/>
      <c r="BN254" s="67"/>
      <c r="BO254" s="67"/>
      <c r="BP254" s="67"/>
      <c r="BQ254" s="67"/>
      <c r="BR254" s="67"/>
    </row>
    <row r="255" spans="2:70">
      <c r="D255" s="67"/>
      <c r="E255" s="67"/>
      <c r="F255" s="67"/>
      <c r="G255" s="67"/>
      <c r="H255" s="67"/>
      <c r="I255" s="67"/>
      <c r="J255" s="67"/>
      <c r="K255" s="67"/>
      <c r="L255" s="67"/>
      <c r="M255" s="67"/>
      <c r="N255" s="67"/>
      <c r="O255" s="70"/>
      <c r="P255" s="67"/>
      <c r="Q255" s="67"/>
      <c r="R255" s="67"/>
      <c r="S255" s="67"/>
      <c r="T255" s="67"/>
      <c r="U255" s="67"/>
      <c r="V255" s="67"/>
      <c r="W255" s="67"/>
      <c r="X255" s="67"/>
      <c r="Y255" s="67"/>
      <c r="Z255" s="67"/>
      <c r="AA255" s="70"/>
      <c r="AB255" s="67"/>
      <c r="AC255" s="67"/>
      <c r="AD255" s="67"/>
      <c r="AE255" s="67"/>
      <c r="AF255" s="67"/>
      <c r="AG255" s="67"/>
      <c r="AH255" s="67"/>
      <c r="AI255" s="67"/>
      <c r="AJ255" s="67"/>
      <c r="AK255" s="67"/>
      <c r="AL255" s="67"/>
      <c r="AM255" s="67"/>
      <c r="AN255" s="67"/>
      <c r="AO255" s="67"/>
      <c r="AP255" s="67"/>
      <c r="AQ255" s="67"/>
      <c r="AR255" s="67"/>
      <c r="AS255" s="67"/>
      <c r="AT255" s="67"/>
      <c r="AU255" s="67"/>
      <c r="AV255" s="67"/>
      <c r="AW255" s="67"/>
      <c r="AX255" s="67"/>
      <c r="AY255" s="67"/>
      <c r="AZ255" s="67"/>
      <c r="BA255" s="67"/>
      <c r="BB255" s="67"/>
      <c r="BC255" s="67"/>
      <c r="BD255" s="67"/>
      <c r="BE255" s="67"/>
      <c r="BF255" s="67"/>
      <c r="BG255" s="67"/>
      <c r="BH255" s="67"/>
      <c r="BI255" s="67"/>
      <c r="BJ255" s="67"/>
      <c r="BK255" s="67"/>
      <c r="BL255" s="67"/>
      <c r="BM255" s="67"/>
      <c r="BN255" s="67"/>
      <c r="BO255" s="67"/>
      <c r="BP255" s="67"/>
      <c r="BQ255" s="67"/>
      <c r="BR255" s="67"/>
    </row>
    <row r="256" spans="2:70">
      <c r="D256" s="67"/>
      <c r="E256" s="67"/>
      <c r="F256" s="67"/>
      <c r="G256" s="67"/>
      <c r="H256" s="67"/>
      <c r="I256" s="67"/>
      <c r="J256" s="67"/>
      <c r="K256" s="67"/>
      <c r="L256" s="67"/>
      <c r="M256" s="67"/>
      <c r="N256" s="67"/>
      <c r="O256" s="70"/>
      <c r="P256" s="67"/>
      <c r="Q256" s="67"/>
      <c r="R256" s="67"/>
      <c r="S256" s="67"/>
      <c r="T256" s="67"/>
      <c r="U256" s="67"/>
      <c r="V256" s="67"/>
      <c r="W256" s="67"/>
      <c r="X256" s="67"/>
      <c r="Y256" s="67"/>
      <c r="Z256" s="67"/>
      <c r="AA256" s="70"/>
      <c r="AB256" s="67"/>
      <c r="AC256" s="67"/>
      <c r="AD256" s="67"/>
      <c r="AE256" s="67"/>
      <c r="AF256" s="67"/>
      <c r="AG256" s="67"/>
      <c r="AH256" s="67"/>
      <c r="AI256" s="67"/>
      <c r="AJ256" s="67"/>
      <c r="AK256" s="67"/>
      <c r="AL256" s="67"/>
      <c r="AM256" s="67"/>
      <c r="AN256" s="67"/>
      <c r="AO256" s="67"/>
      <c r="AP256" s="67"/>
      <c r="AQ256" s="67"/>
      <c r="AR256" s="67"/>
      <c r="AS256" s="67"/>
      <c r="AT256" s="67"/>
      <c r="AU256" s="67"/>
      <c r="AV256" s="67"/>
      <c r="AW256" s="67"/>
      <c r="AX256" s="67"/>
      <c r="AY256" s="67"/>
      <c r="AZ256" s="67"/>
      <c r="BA256" s="67"/>
      <c r="BB256" s="67"/>
      <c r="BC256" s="67"/>
      <c r="BD256" s="67"/>
      <c r="BE256" s="67"/>
      <c r="BF256" s="67"/>
      <c r="BG256" s="67"/>
      <c r="BH256" s="67"/>
      <c r="BI256" s="67"/>
      <c r="BJ256" s="67"/>
      <c r="BK256" s="67"/>
      <c r="BL256" s="67"/>
      <c r="BM256" s="67"/>
      <c r="BN256" s="67"/>
      <c r="BO256" s="67"/>
      <c r="BP256" s="67"/>
      <c r="BQ256" s="67"/>
      <c r="BR256" s="67"/>
    </row>
    <row r="257" spans="4:70">
      <c r="D257" s="67"/>
      <c r="E257" s="67"/>
      <c r="F257" s="67"/>
      <c r="G257" s="67"/>
      <c r="H257" s="67"/>
      <c r="I257" s="67"/>
      <c r="J257" s="67"/>
      <c r="K257" s="67"/>
      <c r="L257" s="67"/>
      <c r="M257" s="67"/>
      <c r="N257" s="67"/>
      <c r="O257" s="70"/>
      <c r="P257" s="67"/>
      <c r="Q257" s="67"/>
      <c r="R257" s="67"/>
      <c r="S257" s="67"/>
      <c r="T257" s="67"/>
      <c r="U257" s="67"/>
      <c r="V257" s="67"/>
      <c r="W257" s="67"/>
      <c r="X257" s="67"/>
      <c r="Y257" s="67"/>
      <c r="Z257" s="67"/>
      <c r="AA257" s="70"/>
      <c r="AB257" s="67"/>
      <c r="AC257" s="67"/>
      <c r="AD257" s="67"/>
      <c r="AE257" s="67"/>
      <c r="AF257" s="67"/>
      <c r="AG257" s="67"/>
      <c r="AH257" s="67"/>
      <c r="AI257" s="67"/>
      <c r="AJ257" s="67"/>
      <c r="AK257" s="67"/>
      <c r="AL257" s="67"/>
      <c r="AM257" s="67"/>
      <c r="AN257" s="67"/>
      <c r="AO257" s="67"/>
      <c r="AP257" s="67"/>
      <c r="AQ257" s="67"/>
      <c r="AR257" s="67"/>
      <c r="AS257" s="67"/>
      <c r="AT257" s="67"/>
      <c r="AU257" s="67"/>
      <c r="AV257" s="67"/>
      <c r="AW257" s="67"/>
      <c r="AX257" s="67"/>
      <c r="AY257" s="67"/>
      <c r="AZ257" s="67"/>
      <c r="BA257" s="67"/>
      <c r="BB257" s="67"/>
      <c r="BC257" s="67"/>
      <c r="BD257" s="67"/>
      <c r="BE257" s="67"/>
      <c r="BF257" s="67"/>
      <c r="BG257" s="67"/>
      <c r="BH257" s="67"/>
      <c r="BI257" s="67"/>
      <c r="BJ257" s="67"/>
      <c r="BK257" s="67"/>
      <c r="BL257" s="67"/>
      <c r="BM257" s="67"/>
      <c r="BN257" s="67"/>
      <c r="BO257" s="67"/>
      <c r="BP257" s="67"/>
      <c r="BQ257" s="67"/>
      <c r="BR257" s="67"/>
    </row>
    <row r="258" spans="4:70">
      <c r="D258" s="67"/>
      <c r="E258" s="67"/>
      <c r="F258" s="67"/>
      <c r="G258" s="67"/>
      <c r="H258" s="67"/>
      <c r="I258" s="67"/>
      <c r="J258" s="67"/>
      <c r="K258" s="67"/>
      <c r="L258" s="67"/>
      <c r="M258" s="67"/>
      <c r="N258" s="67"/>
      <c r="O258" s="70"/>
      <c r="P258" s="67"/>
      <c r="Q258" s="67"/>
      <c r="R258" s="67"/>
      <c r="S258" s="67"/>
      <c r="T258" s="67"/>
      <c r="U258" s="67"/>
      <c r="V258" s="67"/>
      <c r="W258" s="67"/>
      <c r="X258" s="67"/>
      <c r="Y258" s="67"/>
      <c r="Z258" s="67"/>
      <c r="AA258" s="70"/>
      <c r="AB258" s="67"/>
      <c r="AC258" s="67"/>
      <c r="AD258" s="67"/>
      <c r="AE258" s="67"/>
      <c r="AF258" s="67"/>
      <c r="AG258" s="67"/>
      <c r="AH258" s="67"/>
      <c r="AI258" s="67"/>
      <c r="AJ258" s="67"/>
      <c r="AK258" s="67"/>
      <c r="AL258" s="67"/>
      <c r="AM258" s="67"/>
      <c r="AN258" s="67"/>
      <c r="AO258" s="67"/>
      <c r="AP258" s="67"/>
      <c r="AQ258" s="67"/>
      <c r="AR258" s="67"/>
      <c r="AS258" s="67"/>
      <c r="AT258" s="67"/>
      <c r="AU258" s="67"/>
      <c r="AV258" s="67"/>
      <c r="AW258" s="67"/>
      <c r="AX258" s="67"/>
      <c r="AY258" s="67"/>
      <c r="AZ258" s="67"/>
      <c r="BA258" s="67"/>
      <c r="BB258" s="67"/>
      <c r="BC258" s="67"/>
      <c r="BD258" s="67"/>
      <c r="BE258" s="67"/>
      <c r="BF258" s="67"/>
      <c r="BG258" s="67"/>
      <c r="BH258" s="67"/>
      <c r="BI258" s="67"/>
      <c r="BJ258" s="67"/>
      <c r="BK258" s="67"/>
      <c r="BL258" s="67"/>
      <c r="BM258" s="67"/>
      <c r="BN258" s="67"/>
      <c r="BO258" s="67"/>
      <c r="BP258" s="67"/>
      <c r="BQ258" s="67"/>
      <c r="BR258" s="67"/>
    </row>
    <row r="259" spans="4:70">
      <c r="D259" s="67"/>
      <c r="E259" s="67"/>
      <c r="F259" s="67"/>
      <c r="G259" s="67"/>
      <c r="H259" s="67"/>
      <c r="I259" s="67"/>
      <c r="J259" s="67"/>
      <c r="K259" s="67"/>
      <c r="L259" s="67"/>
      <c r="M259" s="67"/>
      <c r="N259" s="67"/>
      <c r="O259" s="70"/>
      <c r="P259" s="67"/>
      <c r="Q259" s="67"/>
      <c r="R259" s="67"/>
      <c r="S259" s="67"/>
      <c r="T259" s="67"/>
      <c r="U259" s="67"/>
      <c r="V259" s="67"/>
      <c r="W259" s="67"/>
      <c r="X259" s="67"/>
      <c r="Y259" s="67"/>
      <c r="Z259" s="67"/>
      <c r="AA259" s="70"/>
      <c r="AB259" s="67"/>
      <c r="AC259" s="67"/>
      <c r="AD259" s="67"/>
      <c r="AE259" s="67"/>
      <c r="AF259" s="67"/>
      <c r="AG259" s="67"/>
      <c r="AH259" s="67"/>
      <c r="AI259" s="67"/>
      <c r="AJ259" s="67"/>
      <c r="AK259" s="67"/>
      <c r="AL259" s="67"/>
      <c r="AM259" s="67"/>
      <c r="AN259" s="67"/>
      <c r="AO259" s="67"/>
      <c r="AP259" s="67"/>
      <c r="AQ259" s="67"/>
      <c r="AR259" s="67"/>
      <c r="AS259" s="67"/>
      <c r="AT259" s="67"/>
      <c r="AU259" s="67"/>
      <c r="AV259" s="67"/>
      <c r="AW259" s="67"/>
      <c r="AX259" s="67"/>
      <c r="AY259" s="67"/>
      <c r="AZ259" s="67"/>
      <c r="BA259" s="67"/>
      <c r="BB259" s="67"/>
      <c r="BC259" s="67"/>
      <c r="BD259" s="67"/>
      <c r="BE259" s="67"/>
      <c r="BF259" s="67"/>
      <c r="BG259" s="67"/>
      <c r="BH259" s="67"/>
      <c r="BI259" s="67"/>
      <c r="BJ259" s="67"/>
      <c r="BK259" s="67"/>
      <c r="BL259" s="67"/>
      <c r="BM259" s="67"/>
      <c r="BN259" s="67"/>
      <c r="BO259" s="67"/>
      <c r="BP259" s="67"/>
      <c r="BQ259" s="67"/>
      <c r="BR259" s="67"/>
    </row>
    <row r="260" spans="4:70">
      <c r="D260" s="67"/>
      <c r="E260" s="67"/>
      <c r="F260" s="67"/>
      <c r="G260" s="67"/>
      <c r="H260" s="67"/>
      <c r="I260" s="67"/>
      <c r="J260" s="67"/>
      <c r="K260" s="67"/>
      <c r="L260" s="67"/>
      <c r="M260" s="67"/>
      <c r="N260" s="67"/>
      <c r="O260" s="70"/>
      <c r="P260" s="67"/>
      <c r="Q260" s="67"/>
      <c r="R260" s="67"/>
      <c r="S260" s="67"/>
      <c r="T260" s="67"/>
      <c r="U260" s="67"/>
      <c r="V260" s="67"/>
      <c r="W260" s="67"/>
      <c r="X260" s="67"/>
      <c r="Y260" s="67"/>
      <c r="Z260" s="67"/>
      <c r="AA260" s="70"/>
      <c r="AB260" s="67"/>
      <c r="AC260" s="67"/>
      <c r="AD260" s="67"/>
      <c r="AE260" s="67"/>
      <c r="AF260" s="67"/>
      <c r="AG260" s="67"/>
      <c r="AH260" s="67"/>
      <c r="AI260" s="67"/>
      <c r="AJ260" s="67"/>
      <c r="AK260" s="67"/>
      <c r="AL260" s="67"/>
      <c r="AM260" s="67"/>
      <c r="AN260" s="67"/>
      <c r="AO260" s="67"/>
      <c r="AP260" s="67"/>
      <c r="AQ260" s="67"/>
      <c r="AR260" s="67"/>
      <c r="AS260" s="67"/>
      <c r="AT260" s="67"/>
      <c r="AU260" s="67"/>
      <c r="AV260" s="67"/>
      <c r="AW260" s="67"/>
      <c r="AX260" s="67"/>
      <c r="AY260" s="67"/>
      <c r="AZ260" s="67"/>
      <c r="BA260" s="67"/>
      <c r="BB260" s="67"/>
      <c r="BC260" s="67"/>
      <c r="BD260" s="67"/>
      <c r="BE260" s="67"/>
      <c r="BF260" s="67"/>
      <c r="BG260" s="67"/>
      <c r="BH260" s="67"/>
      <c r="BI260" s="67"/>
      <c r="BJ260" s="67"/>
      <c r="BK260" s="67"/>
      <c r="BL260" s="67"/>
      <c r="BM260" s="67"/>
      <c r="BN260" s="67"/>
      <c r="BO260" s="67"/>
      <c r="BP260" s="67"/>
      <c r="BQ260" s="67"/>
      <c r="BR260" s="67"/>
    </row>
    <row r="261" spans="4:70">
      <c r="D261" s="67"/>
      <c r="E261" s="67"/>
      <c r="F261" s="67"/>
      <c r="G261" s="67"/>
      <c r="H261" s="67"/>
      <c r="I261" s="67"/>
      <c r="J261" s="67"/>
      <c r="K261" s="67"/>
      <c r="L261" s="67"/>
      <c r="M261" s="67"/>
      <c r="N261" s="67"/>
      <c r="O261" s="70"/>
      <c r="P261" s="67"/>
      <c r="Q261" s="67"/>
      <c r="R261" s="67"/>
      <c r="S261" s="67"/>
      <c r="T261" s="67"/>
      <c r="U261" s="67"/>
      <c r="V261" s="67"/>
      <c r="W261" s="67"/>
      <c r="X261" s="67"/>
      <c r="Y261" s="67"/>
      <c r="Z261" s="67"/>
      <c r="AA261" s="70"/>
      <c r="AB261" s="67"/>
      <c r="AC261" s="67"/>
      <c r="AD261" s="67"/>
      <c r="AE261" s="67"/>
      <c r="AF261" s="67"/>
      <c r="AG261" s="67"/>
      <c r="AH261" s="67"/>
      <c r="AI261" s="67"/>
      <c r="AJ261" s="67"/>
      <c r="AK261" s="67"/>
      <c r="AL261" s="67"/>
      <c r="AM261" s="67"/>
      <c r="AN261" s="67"/>
      <c r="AO261" s="67"/>
      <c r="AP261" s="67"/>
      <c r="AQ261" s="67"/>
      <c r="AR261" s="67"/>
      <c r="AS261" s="67"/>
      <c r="AT261" s="67"/>
      <c r="AU261" s="67"/>
      <c r="AV261" s="67"/>
      <c r="AW261" s="67"/>
      <c r="AX261" s="67"/>
      <c r="AY261" s="67"/>
      <c r="AZ261" s="67"/>
      <c r="BA261" s="67"/>
      <c r="BB261" s="67"/>
      <c r="BC261" s="67"/>
      <c r="BD261" s="67"/>
      <c r="BE261" s="67"/>
      <c r="BF261" s="67"/>
      <c r="BG261" s="67"/>
      <c r="BH261" s="67"/>
      <c r="BI261" s="67"/>
      <c r="BJ261" s="67"/>
      <c r="BK261" s="67"/>
      <c r="BL261" s="67"/>
      <c r="BM261" s="67"/>
      <c r="BN261" s="67"/>
      <c r="BO261" s="67"/>
      <c r="BP261" s="67"/>
      <c r="BQ261" s="67"/>
      <c r="BR261" s="67"/>
    </row>
    <row r="262" spans="4:70">
      <c r="D262" s="67"/>
      <c r="E262" s="67"/>
      <c r="F262" s="67"/>
      <c r="G262" s="67"/>
      <c r="H262" s="67"/>
      <c r="I262" s="67"/>
      <c r="J262" s="67"/>
      <c r="K262" s="67"/>
      <c r="L262" s="67"/>
      <c r="M262" s="67"/>
      <c r="N262" s="67"/>
      <c r="O262" s="70"/>
      <c r="P262" s="67"/>
      <c r="Q262" s="67"/>
      <c r="R262" s="67"/>
      <c r="S262" s="67"/>
      <c r="T262" s="67"/>
      <c r="U262" s="67"/>
      <c r="V262" s="67"/>
      <c r="W262" s="67"/>
      <c r="X262" s="67"/>
      <c r="Y262" s="67"/>
      <c r="Z262" s="67"/>
      <c r="AA262" s="70"/>
      <c r="AB262" s="67"/>
      <c r="AC262" s="67"/>
      <c r="AD262" s="67"/>
      <c r="AE262" s="67"/>
      <c r="AF262" s="67"/>
      <c r="AG262" s="67"/>
      <c r="AH262" s="67"/>
      <c r="AI262" s="67"/>
      <c r="AJ262" s="67"/>
      <c r="AK262" s="67"/>
      <c r="AL262" s="67"/>
      <c r="AM262" s="67"/>
      <c r="AN262" s="67"/>
      <c r="AO262" s="67"/>
      <c r="AP262" s="67"/>
      <c r="AQ262" s="67"/>
      <c r="AR262" s="67"/>
      <c r="AS262" s="67"/>
      <c r="AT262" s="67"/>
      <c r="AU262" s="67"/>
      <c r="AV262" s="67"/>
      <c r="AW262" s="67"/>
      <c r="AX262" s="67"/>
      <c r="AY262" s="67"/>
      <c r="AZ262" s="67"/>
      <c r="BA262" s="67"/>
      <c r="BB262" s="67"/>
      <c r="BC262" s="67"/>
      <c r="BD262" s="67"/>
      <c r="BE262" s="67"/>
      <c r="BF262" s="67"/>
      <c r="BG262" s="67"/>
      <c r="BH262" s="67"/>
      <c r="BI262" s="67"/>
      <c r="BJ262" s="67"/>
      <c r="BK262" s="67"/>
      <c r="BL262" s="67"/>
      <c r="BM262" s="67"/>
      <c r="BN262" s="67"/>
      <c r="BO262" s="67"/>
      <c r="BP262" s="67"/>
      <c r="BQ262" s="67"/>
      <c r="BR262" s="67"/>
    </row>
    <row r="263" spans="4:70">
      <c r="D263" s="67"/>
      <c r="E263" s="67"/>
      <c r="F263" s="67"/>
      <c r="G263" s="67"/>
      <c r="H263" s="67"/>
      <c r="I263" s="67"/>
      <c r="J263" s="67"/>
      <c r="K263" s="67"/>
      <c r="L263" s="67"/>
      <c r="M263" s="67"/>
      <c r="N263" s="67"/>
      <c r="O263" s="70"/>
      <c r="P263" s="67"/>
      <c r="Q263" s="67"/>
      <c r="R263" s="67"/>
      <c r="S263" s="67"/>
      <c r="T263" s="67"/>
      <c r="U263" s="67"/>
      <c r="V263" s="67"/>
      <c r="W263" s="67"/>
      <c r="X263" s="67"/>
      <c r="Y263" s="67"/>
      <c r="Z263" s="67"/>
      <c r="AA263" s="70"/>
      <c r="AB263" s="67"/>
      <c r="AC263" s="67"/>
      <c r="AD263" s="67"/>
      <c r="AE263" s="67"/>
      <c r="AF263" s="67"/>
      <c r="AG263" s="67"/>
      <c r="AH263" s="67"/>
      <c r="AI263" s="67"/>
      <c r="AJ263" s="67"/>
      <c r="AK263" s="67"/>
      <c r="AL263" s="67"/>
      <c r="AM263" s="67"/>
      <c r="AN263" s="67"/>
      <c r="AO263" s="67"/>
      <c r="AP263" s="67"/>
      <c r="AQ263" s="67"/>
      <c r="AR263" s="67"/>
      <c r="AS263" s="67"/>
      <c r="AT263" s="67"/>
      <c r="AU263" s="67"/>
      <c r="AV263" s="67"/>
      <c r="AW263" s="67"/>
      <c r="AX263" s="67"/>
      <c r="AY263" s="67"/>
      <c r="AZ263" s="67"/>
      <c r="BA263" s="67"/>
      <c r="BB263" s="67"/>
      <c r="BC263" s="67"/>
      <c r="BD263" s="67"/>
      <c r="BE263" s="67"/>
      <c r="BF263" s="67"/>
      <c r="BG263" s="67"/>
      <c r="BH263" s="67"/>
      <c r="BI263" s="67"/>
      <c r="BJ263" s="67"/>
      <c r="BK263" s="67"/>
      <c r="BL263" s="67"/>
      <c r="BM263" s="67"/>
      <c r="BN263" s="67"/>
      <c r="BO263" s="67"/>
      <c r="BP263" s="67"/>
      <c r="BQ263" s="67"/>
      <c r="BR263" s="67"/>
    </row>
    <row r="264" spans="4:70">
      <c r="D264" s="67"/>
      <c r="E264" s="67"/>
      <c r="F264" s="67"/>
      <c r="G264" s="67"/>
      <c r="H264" s="67"/>
      <c r="I264" s="67"/>
      <c r="J264" s="67"/>
      <c r="K264" s="67"/>
      <c r="L264" s="67"/>
      <c r="M264" s="67"/>
      <c r="N264" s="67"/>
      <c r="O264" s="70"/>
      <c r="P264" s="67"/>
      <c r="Q264" s="67"/>
      <c r="R264" s="67"/>
      <c r="S264" s="67"/>
      <c r="T264" s="67"/>
      <c r="U264" s="67"/>
      <c r="V264" s="67"/>
      <c r="W264" s="67"/>
      <c r="X264" s="67"/>
      <c r="Y264" s="67"/>
      <c r="Z264" s="67"/>
      <c r="AA264" s="70"/>
      <c r="AB264" s="67"/>
      <c r="AC264" s="67"/>
      <c r="AD264" s="67"/>
      <c r="AE264" s="67"/>
      <c r="AF264" s="67"/>
      <c r="AG264" s="67"/>
      <c r="AH264" s="67"/>
      <c r="AI264" s="67"/>
      <c r="AJ264" s="67"/>
      <c r="AK264" s="67"/>
      <c r="AL264" s="67"/>
      <c r="AM264" s="67"/>
      <c r="AN264" s="67"/>
      <c r="AO264" s="67"/>
      <c r="AP264" s="67"/>
      <c r="AQ264" s="67"/>
      <c r="AR264" s="67"/>
      <c r="AS264" s="67"/>
      <c r="AT264" s="67"/>
      <c r="AU264" s="67"/>
      <c r="AV264" s="67"/>
      <c r="AW264" s="67"/>
      <c r="AX264" s="67"/>
      <c r="AY264" s="67"/>
      <c r="AZ264" s="67"/>
      <c r="BA264" s="67"/>
      <c r="BB264" s="67"/>
      <c r="BC264" s="67"/>
      <c r="BD264" s="67"/>
      <c r="BE264" s="67"/>
      <c r="BF264" s="67"/>
      <c r="BG264" s="67"/>
      <c r="BH264" s="67"/>
      <c r="BI264" s="67"/>
      <c r="BJ264" s="67"/>
      <c r="BK264" s="67"/>
      <c r="BL264" s="67"/>
      <c r="BM264" s="67"/>
      <c r="BN264" s="67"/>
      <c r="BO264" s="67"/>
      <c r="BP264" s="67"/>
      <c r="BQ264" s="67"/>
      <c r="BR264" s="67"/>
    </row>
    <row r="265" spans="4:70">
      <c r="D265" s="67"/>
      <c r="E265" s="67"/>
      <c r="F265" s="67"/>
      <c r="G265" s="67"/>
      <c r="H265" s="67"/>
      <c r="I265" s="67"/>
      <c r="J265" s="67"/>
      <c r="K265" s="67"/>
      <c r="L265" s="67"/>
      <c r="M265" s="67"/>
      <c r="N265" s="67"/>
      <c r="O265" s="70"/>
      <c r="P265" s="67"/>
      <c r="Q265" s="67"/>
      <c r="R265" s="67"/>
      <c r="S265" s="67"/>
      <c r="T265" s="67"/>
      <c r="U265" s="67"/>
      <c r="V265" s="67"/>
      <c r="W265" s="67"/>
      <c r="X265" s="67"/>
      <c r="Y265" s="67"/>
      <c r="Z265" s="67"/>
      <c r="AA265" s="70"/>
      <c r="AB265" s="67"/>
      <c r="AC265" s="67"/>
      <c r="AD265" s="67"/>
      <c r="AE265" s="67"/>
      <c r="AF265" s="67"/>
      <c r="AG265" s="67"/>
      <c r="AH265" s="67"/>
      <c r="AI265" s="67"/>
      <c r="AJ265" s="67"/>
      <c r="AK265" s="67"/>
      <c r="AL265" s="67"/>
      <c r="AM265" s="67"/>
      <c r="AN265" s="67"/>
      <c r="AO265" s="67"/>
      <c r="AP265" s="67"/>
      <c r="AQ265" s="67"/>
      <c r="AR265" s="67"/>
      <c r="AS265" s="67"/>
      <c r="AT265" s="67"/>
      <c r="AU265" s="67"/>
      <c r="AV265" s="67"/>
      <c r="AW265" s="67"/>
      <c r="AX265" s="67"/>
      <c r="AY265" s="67"/>
      <c r="AZ265" s="67"/>
      <c r="BA265" s="67"/>
      <c r="BB265" s="67"/>
      <c r="BC265" s="67"/>
      <c r="BD265" s="67"/>
      <c r="BE265" s="67"/>
      <c r="BF265" s="67"/>
      <c r="BG265" s="67"/>
      <c r="BH265" s="67"/>
      <c r="BI265" s="67"/>
      <c r="BJ265" s="67"/>
      <c r="BK265" s="67"/>
      <c r="BL265" s="67"/>
      <c r="BM265" s="67"/>
      <c r="BN265" s="67"/>
      <c r="BO265" s="67"/>
      <c r="BP265" s="67"/>
      <c r="BQ265" s="67"/>
      <c r="BR265" s="67"/>
    </row>
    <row r="266" spans="4:70">
      <c r="D266" s="67"/>
      <c r="E266" s="67"/>
      <c r="F266" s="67"/>
      <c r="G266" s="67"/>
      <c r="H266" s="67"/>
      <c r="I266" s="67"/>
      <c r="J266" s="67"/>
      <c r="K266" s="67"/>
      <c r="L266" s="67"/>
      <c r="M266" s="67"/>
      <c r="N266" s="67"/>
      <c r="O266" s="70"/>
      <c r="P266" s="67"/>
      <c r="Q266" s="67"/>
      <c r="R266" s="67"/>
      <c r="S266" s="67"/>
      <c r="T266" s="67"/>
      <c r="U266" s="67"/>
      <c r="V266" s="67"/>
      <c r="W266" s="67"/>
      <c r="X266" s="67"/>
      <c r="Y266" s="67"/>
      <c r="Z266" s="67"/>
      <c r="AA266" s="70"/>
      <c r="AB266" s="67"/>
      <c r="AC266" s="67"/>
      <c r="AD266" s="67"/>
      <c r="AE266" s="67"/>
      <c r="AF266" s="67"/>
      <c r="AG266" s="67"/>
      <c r="AH266" s="67"/>
      <c r="AI266" s="67"/>
      <c r="AJ266" s="67"/>
      <c r="AK266" s="67"/>
      <c r="AL266" s="67"/>
      <c r="AM266" s="67"/>
      <c r="AN266" s="67"/>
      <c r="AO266" s="67"/>
      <c r="AP266" s="67"/>
      <c r="AQ266" s="67"/>
      <c r="AR266" s="67"/>
      <c r="AS266" s="67"/>
      <c r="AT266" s="67"/>
      <c r="AU266" s="67"/>
      <c r="AV266" s="67"/>
      <c r="AW266" s="67"/>
      <c r="AX266" s="67"/>
      <c r="AY266" s="67"/>
      <c r="AZ266" s="67"/>
      <c r="BA266" s="67"/>
      <c r="BB266" s="67"/>
      <c r="BC266" s="67"/>
      <c r="BD266" s="67"/>
      <c r="BE266" s="67"/>
      <c r="BF266" s="67"/>
      <c r="BG266" s="67"/>
      <c r="BH266" s="67"/>
      <c r="BI266" s="67"/>
      <c r="BJ266" s="67"/>
      <c r="BK266" s="67"/>
      <c r="BL266" s="67"/>
      <c r="BM266" s="67"/>
      <c r="BN266" s="67"/>
      <c r="BO266" s="67"/>
      <c r="BP266" s="67"/>
      <c r="BQ266" s="67"/>
      <c r="BR266" s="67"/>
    </row>
    <row r="267" spans="4:70">
      <c r="D267" s="67"/>
      <c r="E267" s="67"/>
      <c r="F267" s="67"/>
      <c r="G267" s="67"/>
      <c r="H267" s="67"/>
      <c r="I267" s="67"/>
      <c r="J267" s="67"/>
      <c r="K267" s="67"/>
      <c r="L267" s="67"/>
      <c r="M267" s="67"/>
      <c r="N267" s="67"/>
      <c r="O267" s="70"/>
      <c r="P267" s="67"/>
      <c r="Q267" s="67"/>
      <c r="R267" s="67"/>
      <c r="S267" s="67"/>
      <c r="T267" s="67"/>
      <c r="U267" s="67"/>
      <c r="V267" s="67"/>
      <c r="W267" s="67"/>
      <c r="X267" s="67"/>
      <c r="Y267" s="67"/>
      <c r="Z267" s="67"/>
      <c r="AA267" s="70"/>
      <c r="AB267" s="67"/>
      <c r="AC267" s="67"/>
      <c r="AD267" s="67"/>
      <c r="AE267" s="67"/>
      <c r="AF267" s="67"/>
      <c r="AG267" s="67"/>
      <c r="AH267" s="67"/>
      <c r="AI267" s="67"/>
      <c r="AJ267" s="67"/>
      <c r="AK267" s="67"/>
      <c r="AL267" s="67"/>
      <c r="AM267" s="67"/>
      <c r="AN267" s="67"/>
      <c r="AO267" s="67"/>
      <c r="AP267" s="67"/>
      <c r="AQ267" s="67"/>
      <c r="AR267" s="67"/>
      <c r="AS267" s="67"/>
      <c r="AT267" s="67"/>
      <c r="AU267" s="67"/>
      <c r="AV267" s="67"/>
      <c r="AW267" s="67"/>
      <c r="AX267" s="67"/>
      <c r="AY267" s="67"/>
      <c r="AZ267" s="67"/>
      <c r="BA267" s="67"/>
      <c r="BB267" s="67"/>
      <c r="BC267" s="67"/>
      <c r="BD267" s="67"/>
      <c r="BE267" s="67"/>
      <c r="BF267" s="67"/>
      <c r="BG267" s="67"/>
      <c r="BH267" s="67"/>
      <c r="BI267" s="67"/>
      <c r="BJ267" s="67"/>
      <c r="BK267" s="67"/>
      <c r="BL267" s="67"/>
      <c r="BM267" s="67"/>
      <c r="BN267" s="67"/>
      <c r="BO267" s="67"/>
      <c r="BP267" s="67"/>
      <c r="BQ267" s="67"/>
      <c r="BR267" s="67"/>
    </row>
    <row r="268" spans="4:70">
      <c r="D268" s="67"/>
      <c r="E268" s="67"/>
      <c r="F268" s="67"/>
      <c r="G268" s="67"/>
      <c r="H268" s="67"/>
      <c r="I268" s="67"/>
      <c r="J268" s="67"/>
      <c r="K268" s="67"/>
      <c r="L268" s="67"/>
      <c r="M268" s="67"/>
      <c r="N268" s="67"/>
      <c r="O268" s="70"/>
      <c r="P268" s="67"/>
      <c r="Q268" s="67"/>
      <c r="R268" s="67"/>
      <c r="S268" s="67"/>
      <c r="T268" s="67"/>
      <c r="U268" s="67"/>
      <c r="V268" s="67"/>
      <c r="W268" s="67"/>
      <c r="X268" s="67"/>
      <c r="Y268" s="67"/>
      <c r="Z268" s="67"/>
      <c r="AA268" s="70"/>
      <c r="AB268" s="67"/>
      <c r="AC268" s="67"/>
      <c r="AD268" s="67"/>
      <c r="AE268" s="67"/>
      <c r="AF268" s="67"/>
      <c r="AG268" s="67"/>
      <c r="AH268" s="67"/>
      <c r="AI268" s="67"/>
      <c r="AJ268" s="67"/>
      <c r="AK268" s="67"/>
      <c r="AL268" s="67"/>
      <c r="AM268" s="67"/>
      <c r="AN268" s="67"/>
      <c r="AO268" s="67"/>
      <c r="AP268" s="67"/>
      <c r="AQ268" s="67"/>
      <c r="AR268" s="67"/>
      <c r="AS268" s="67"/>
      <c r="AT268" s="67"/>
      <c r="AU268" s="67"/>
      <c r="AV268" s="67"/>
      <c r="AW268" s="67"/>
      <c r="AX268" s="67"/>
      <c r="AY268" s="67"/>
      <c r="AZ268" s="67"/>
      <c r="BA268" s="67"/>
      <c r="BB268" s="67"/>
      <c r="BC268" s="67"/>
      <c r="BD268" s="67"/>
      <c r="BE268" s="67"/>
      <c r="BF268" s="67"/>
      <c r="BG268" s="67"/>
      <c r="BH268" s="67"/>
      <c r="BI268" s="67"/>
      <c r="BJ268" s="67"/>
      <c r="BK268" s="67"/>
      <c r="BL268" s="67"/>
      <c r="BM268" s="67"/>
      <c r="BN268" s="67"/>
      <c r="BO268" s="67"/>
      <c r="BP268" s="67"/>
      <c r="BQ268" s="67"/>
      <c r="BR268" s="67"/>
    </row>
    <row r="269" spans="4:70">
      <c r="D269" s="67"/>
      <c r="E269" s="67"/>
      <c r="F269" s="67"/>
      <c r="G269" s="67"/>
      <c r="H269" s="67"/>
      <c r="I269" s="67"/>
      <c r="J269" s="67"/>
      <c r="K269" s="67"/>
      <c r="L269" s="67"/>
      <c r="M269" s="67"/>
      <c r="N269" s="67"/>
      <c r="O269" s="70"/>
      <c r="P269" s="67"/>
      <c r="Q269" s="67"/>
      <c r="R269" s="67"/>
      <c r="S269" s="67"/>
      <c r="T269" s="67"/>
      <c r="U269" s="67"/>
      <c r="V269" s="67"/>
      <c r="W269" s="67"/>
      <c r="X269" s="67"/>
      <c r="Y269" s="67"/>
      <c r="Z269" s="67"/>
      <c r="AA269" s="70"/>
      <c r="AB269" s="67"/>
      <c r="AC269" s="67"/>
      <c r="AD269" s="67"/>
      <c r="AE269" s="67"/>
      <c r="AF269" s="67"/>
      <c r="AG269" s="67"/>
      <c r="AH269" s="67"/>
      <c r="AI269" s="67"/>
      <c r="AJ269" s="67"/>
      <c r="AK269" s="67"/>
      <c r="AL269" s="67"/>
      <c r="AM269" s="67"/>
      <c r="AN269" s="67"/>
      <c r="AO269" s="67"/>
      <c r="AP269" s="67"/>
      <c r="AQ269" s="67"/>
      <c r="AR269" s="67"/>
      <c r="AS269" s="67"/>
      <c r="AT269" s="67"/>
      <c r="AU269" s="67"/>
      <c r="AV269" s="67"/>
      <c r="AW269" s="67"/>
      <c r="AX269" s="67"/>
      <c r="AY269" s="67"/>
      <c r="AZ269" s="67"/>
      <c r="BA269" s="67"/>
      <c r="BB269" s="67"/>
      <c r="BC269" s="67"/>
      <c r="BD269" s="67"/>
      <c r="BE269" s="67"/>
      <c r="BF269" s="67"/>
      <c r="BG269" s="67"/>
      <c r="BH269" s="67"/>
      <c r="BI269" s="67"/>
      <c r="BJ269" s="67"/>
      <c r="BK269" s="67"/>
      <c r="BL269" s="67"/>
      <c r="BM269" s="67"/>
      <c r="BN269" s="67"/>
      <c r="BO269" s="67"/>
      <c r="BP269" s="67"/>
      <c r="BQ269" s="67"/>
      <c r="BR269" s="67"/>
    </row>
    <row r="270" spans="4:70">
      <c r="D270" s="67"/>
      <c r="E270" s="67"/>
      <c r="F270" s="67"/>
      <c r="G270" s="67"/>
      <c r="H270" s="67"/>
      <c r="I270" s="67"/>
      <c r="J270" s="67"/>
      <c r="K270" s="67"/>
      <c r="L270" s="67"/>
      <c r="M270" s="67"/>
      <c r="N270" s="67"/>
      <c r="O270" s="70"/>
      <c r="P270" s="67"/>
      <c r="Q270" s="67"/>
      <c r="R270" s="67"/>
      <c r="S270" s="67"/>
      <c r="T270" s="67"/>
      <c r="U270" s="67"/>
      <c r="V270" s="67"/>
      <c r="W270" s="67"/>
      <c r="X270" s="67"/>
      <c r="Y270" s="67"/>
      <c r="Z270" s="67"/>
      <c r="AA270" s="70"/>
      <c r="AB270" s="67"/>
      <c r="AC270" s="67"/>
      <c r="AD270" s="67"/>
      <c r="AE270" s="67"/>
      <c r="AF270" s="67"/>
      <c r="AG270" s="67"/>
      <c r="AH270" s="67"/>
      <c r="AI270" s="67"/>
      <c r="AJ270" s="67"/>
      <c r="AK270" s="67"/>
      <c r="AL270" s="67"/>
      <c r="AM270" s="67"/>
      <c r="AN270" s="67"/>
      <c r="AO270" s="67"/>
      <c r="AP270" s="67"/>
      <c r="AQ270" s="67"/>
      <c r="AR270" s="67"/>
      <c r="AS270" s="67"/>
      <c r="AT270" s="67"/>
      <c r="AU270" s="67"/>
      <c r="AV270" s="67"/>
      <c r="AW270" s="67"/>
      <c r="AX270" s="67"/>
      <c r="AY270" s="67"/>
      <c r="AZ270" s="67"/>
      <c r="BA270" s="67"/>
      <c r="BB270" s="67"/>
      <c r="BC270" s="67"/>
      <c r="BD270" s="67"/>
      <c r="BE270" s="67"/>
      <c r="BF270" s="67"/>
      <c r="BG270" s="67"/>
      <c r="BH270" s="67"/>
      <c r="BI270" s="67"/>
      <c r="BJ270" s="67"/>
      <c r="BK270" s="67"/>
      <c r="BL270" s="67"/>
      <c r="BM270" s="67"/>
      <c r="BN270" s="67"/>
      <c r="BO270" s="67"/>
      <c r="BP270" s="67"/>
      <c r="BQ270" s="67"/>
      <c r="BR270" s="67"/>
    </row>
    <row r="271" spans="4:70">
      <c r="D271" s="67"/>
      <c r="E271" s="67"/>
      <c r="F271" s="67"/>
      <c r="G271" s="67"/>
      <c r="H271" s="67"/>
      <c r="I271" s="67"/>
      <c r="J271" s="67"/>
      <c r="K271" s="67"/>
      <c r="L271" s="67"/>
      <c r="M271" s="67"/>
      <c r="N271" s="67"/>
      <c r="O271" s="70"/>
      <c r="P271" s="67"/>
      <c r="Q271" s="67"/>
      <c r="R271" s="67"/>
      <c r="S271" s="67"/>
      <c r="T271" s="67"/>
      <c r="U271" s="67"/>
      <c r="V271" s="67"/>
      <c r="W271" s="67"/>
      <c r="X271" s="67"/>
      <c r="Y271" s="67"/>
      <c r="Z271" s="67"/>
      <c r="AA271" s="70"/>
      <c r="AB271" s="67"/>
      <c r="AC271" s="67"/>
      <c r="AD271" s="67"/>
      <c r="AE271" s="67"/>
      <c r="AF271" s="67"/>
      <c r="AG271" s="67"/>
      <c r="AH271" s="67"/>
      <c r="AI271" s="67"/>
      <c r="AJ271" s="67"/>
      <c r="AK271" s="67"/>
      <c r="AL271" s="67"/>
      <c r="AM271" s="67"/>
      <c r="AN271" s="67"/>
      <c r="AO271" s="67"/>
      <c r="AP271" s="67"/>
      <c r="AQ271" s="67"/>
      <c r="AR271" s="67"/>
      <c r="AS271" s="67"/>
      <c r="AT271" s="67"/>
      <c r="AU271" s="67"/>
      <c r="AV271" s="67"/>
      <c r="AW271" s="67"/>
      <c r="AX271" s="67"/>
      <c r="AY271" s="67"/>
      <c r="AZ271" s="67"/>
      <c r="BA271" s="67"/>
      <c r="BB271" s="67"/>
      <c r="BC271" s="67"/>
      <c r="BD271" s="67"/>
      <c r="BE271" s="67"/>
      <c r="BF271" s="67"/>
      <c r="BG271" s="67"/>
      <c r="BH271" s="67"/>
      <c r="BI271" s="67"/>
      <c r="BJ271" s="67"/>
      <c r="BK271" s="67"/>
      <c r="BL271" s="67"/>
      <c r="BM271" s="67"/>
      <c r="BN271" s="67"/>
      <c r="BO271" s="67"/>
      <c r="BP271" s="67"/>
      <c r="BQ271" s="67"/>
      <c r="BR271" s="67"/>
    </row>
    <row r="272" spans="4:70">
      <c r="D272" s="67"/>
      <c r="E272" s="67"/>
      <c r="F272" s="67"/>
      <c r="G272" s="67"/>
      <c r="H272" s="67"/>
      <c r="I272" s="67"/>
      <c r="J272" s="67"/>
      <c r="K272" s="67"/>
      <c r="L272" s="67"/>
      <c r="M272" s="67"/>
      <c r="N272" s="67"/>
      <c r="O272" s="70"/>
      <c r="P272" s="67"/>
      <c r="Q272" s="67"/>
      <c r="R272" s="67"/>
      <c r="S272" s="67"/>
      <c r="T272" s="67"/>
      <c r="U272" s="67"/>
      <c r="V272" s="67"/>
      <c r="W272" s="67"/>
      <c r="X272" s="67"/>
      <c r="Y272" s="67"/>
      <c r="Z272" s="67"/>
      <c r="AA272" s="70"/>
      <c r="AB272" s="67"/>
      <c r="AC272" s="67"/>
      <c r="AD272" s="67"/>
      <c r="AE272" s="67"/>
      <c r="AF272" s="67"/>
      <c r="AG272" s="67"/>
      <c r="AH272" s="67"/>
      <c r="AI272" s="67"/>
      <c r="AJ272" s="67"/>
      <c r="AK272" s="67"/>
      <c r="AL272" s="67"/>
      <c r="AM272" s="67"/>
      <c r="AN272" s="67"/>
      <c r="AO272" s="67"/>
      <c r="AP272" s="67"/>
      <c r="AQ272" s="67"/>
      <c r="AR272" s="67"/>
      <c r="AS272" s="67"/>
      <c r="AT272" s="67"/>
      <c r="AU272" s="67"/>
      <c r="AV272" s="67"/>
      <c r="AW272" s="67"/>
      <c r="AX272" s="67"/>
      <c r="AY272" s="67"/>
      <c r="AZ272" s="67"/>
      <c r="BA272" s="67"/>
      <c r="BB272" s="67"/>
      <c r="BC272" s="67"/>
      <c r="BD272" s="67"/>
      <c r="BE272" s="67"/>
      <c r="BF272" s="67"/>
      <c r="BG272" s="67"/>
      <c r="BH272" s="67"/>
      <c r="BI272" s="67"/>
      <c r="BJ272" s="67"/>
      <c r="BK272" s="67"/>
      <c r="BL272" s="67"/>
      <c r="BM272" s="67"/>
      <c r="BN272" s="67"/>
      <c r="BO272" s="67"/>
      <c r="BP272" s="67"/>
      <c r="BQ272" s="67"/>
      <c r="BR272" s="67"/>
    </row>
    <row r="273" spans="4:70">
      <c r="D273" s="67"/>
      <c r="E273" s="67"/>
      <c r="F273" s="67"/>
      <c r="G273" s="67"/>
      <c r="H273" s="67"/>
      <c r="I273" s="67"/>
      <c r="J273" s="67"/>
      <c r="K273" s="67"/>
      <c r="L273" s="67"/>
      <c r="M273" s="67"/>
      <c r="N273" s="67"/>
      <c r="O273" s="70"/>
      <c r="P273" s="67"/>
      <c r="Q273" s="67"/>
      <c r="R273" s="67"/>
      <c r="S273" s="67"/>
      <c r="T273" s="67"/>
      <c r="U273" s="67"/>
      <c r="V273" s="67"/>
      <c r="W273" s="67"/>
      <c r="X273" s="67"/>
      <c r="Y273" s="67"/>
      <c r="Z273" s="67"/>
      <c r="AA273" s="70"/>
      <c r="AB273" s="67"/>
      <c r="AC273" s="67"/>
      <c r="AD273" s="67"/>
      <c r="AE273" s="67"/>
      <c r="AF273" s="67"/>
      <c r="AG273" s="67"/>
      <c r="AH273" s="67"/>
      <c r="AI273" s="67"/>
      <c r="AJ273" s="67"/>
      <c r="AK273" s="67"/>
      <c r="AL273" s="67"/>
      <c r="AM273" s="67"/>
      <c r="AN273" s="67"/>
      <c r="AO273" s="67"/>
      <c r="AP273" s="67"/>
      <c r="AQ273" s="67"/>
      <c r="AR273" s="67"/>
      <c r="AS273" s="67"/>
      <c r="AT273" s="67"/>
      <c r="AU273" s="67"/>
      <c r="AV273" s="67"/>
      <c r="AW273" s="67"/>
      <c r="AX273" s="67"/>
      <c r="AY273" s="67"/>
      <c r="AZ273" s="67"/>
      <c r="BA273" s="67"/>
      <c r="BB273" s="67"/>
      <c r="BC273" s="67"/>
      <c r="BD273" s="67"/>
      <c r="BE273" s="67"/>
      <c r="BF273" s="67"/>
      <c r="BG273" s="67"/>
      <c r="BH273" s="67"/>
      <c r="BI273" s="67"/>
      <c r="BJ273" s="67"/>
      <c r="BK273" s="67"/>
      <c r="BL273" s="67"/>
      <c r="BM273" s="67"/>
      <c r="BN273" s="67"/>
      <c r="BO273" s="67"/>
      <c r="BP273" s="67"/>
      <c r="BQ273" s="67"/>
      <c r="BR273" s="67"/>
    </row>
    <row r="274" spans="4:70">
      <c r="D274" s="67"/>
      <c r="E274" s="67"/>
      <c r="F274" s="67"/>
      <c r="G274" s="67"/>
      <c r="H274" s="67"/>
      <c r="I274" s="67"/>
      <c r="J274" s="67"/>
      <c r="K274" s="67"/>
      <c r="L274" s="67"/>
      <c r="M274" s="67"/>
      <c r="N274" s="67"/>
      <c r="O274" s="70"/>
      <c r="P274" s="67"/>
      <c r="Q274" s="67"/>
      <c r="R274" s="67"/>
      <c r="S274" s="67"/>
      <c r="T274" s="67"/>
      <c r="U274" s="67"/>
      <c r="V274" s="67"/>
      <c r="W274" s="67"/>
      <c r="X274" s="67"/>
      <c r="Y274" s="67"/>
      <c r="Z274" s="67"/>
      <c r="AA274" s="70"/>
      <c r="AB274" s="67"/>
      <c r="AC274" s="67"/>
      <c r="AD274" s="67"/>
      <c r="AE274" s="67"/>
      <c r="AF274" s="67"/>
      <c r="AG274" s="67"/>
      <c r="AH274" s="67"/>
      <c r="AI274" s="67"/>
      <c r="AJ274" s="67"/>
      <c r="AK274" s="67"/>
      <c r="AL274" s="67"/>
      <c r="AM274" s="67"/>
      <c r="AN274" s="67"/>
      <c r="AO274" s="67"/>
      <c r="AP274" s="67"/>
      <c r="AQ274" s="67"/>
      <c r="AR274" s="67"/>
      <c r="AS274" s="67"/>
      <c r="AT274" s="67"/>
      <c r="AU274" s="67"/>
      <c r="AV274" s="67"/>
      <c r="AW274" s="67"/>
      <c r="AX274" s="67"/>
      <c r="AY274" s="67"/>
      <c r="AZ274" s="67"/>
      <c r="BA274" s="67"/>
      <c r="BB274" s="67"/>
      <c r="BC274" s="67"/>
      <c r="BD274" s="67"/>
      <c r="BE274" s="67"/>
      <c r="BF274" s="67"/>
      <c r="BG274" s="67"/>
      <c r="BH274" s="67"/>
      <c r="BI274" s="67"/>
      <c r="BJ274" s="67"/>
      <c r="BK274" s="67"/>
      <c r="BL274" s="67"/>
      <c r="BM274" s="67"/>
      <c r="BN274" s="67"/>
      <c r="BO274" s="67"/>
      <c r="BP274" s="67"/>
      <c r="BQ274" s="67"/>
      <c r="BR274" s="67"/>
    </row>
    <row r="275" spans="4:70">
      <c r="D275" s="67"/>
      <c r="E275" s="67"/>
      <c r="F275" s="67"/>
      <c r="G275" s="67"/>
      <c r="H275" s="67"/>
      <c r="I275" s="67"/>
      <c r="J275" s="67"/>
      <c r="K275" s="67"/>
      <c r="L275" s="67"/>
      <c r="M275" s="67"/>
      <c r="N275" s="67"/>
      <c r="O275" s="70"/>
      <c r="P275" s="67"/>
      <c r="Q275" s="67"/>
      <c r="R275" s="67"/>
      <c r="S275" s="67"/>
      <c r="T275" s="67"/>
      <c r="U275" s="67"/>
      <c r="V275" s="67"/>
      <c r="W275" s="67"/>
      <c r="X275" s="67"/>
      <c r="Y275" s="67"/>
      <c r="Z275" s="67"/>
      <c r="AA275" s="70"/>
      <c r="AB275" s="67"/>
      <c r="AC275" s="67"/>
      <c r="AD275" s="67"/>
      <c r="AE275" s="67"/>
      <c r="AF275" s="67"/>
      <c r="AG275" s="67"/>
      <c r="AH275" s="67"/>
      <c r="AI275" s="67"/>
      <c r="AJ275" s="67"/>
      <c r="AK275" s="67"/>
      <c r="AL275" s="67"/>
      <c r="AM275" s="67"/>
      <c r="AN275" s="67"/>
      <c r="AO275" s="67"/>
      <c r="AP275" s="67"/>
      <c r="AQ275" s="67"/>
      <c r="AR275" s="67"/>
      <c r="AS275" s="67"/>
      <c r="AT275" s="67"/>
      <c r="AU275" s="67"/>
      <c r="AV275" s="67"/>
      <c r="AW275" s="67"/>
      <c r="AX275" s="67"/>
      <c r="AY275" s="67"/>
      <c r="AZ275" s="67"/>
      <c r="BA275" s="67"/>
      <c r="BB275" s="67"/>
      <c r="BC275" s="67"/>
      <c r="BD275" s="67"/>
      <c r="BE275" s="67"/>
      <c r="BF275" s="67"/>
      <c r="BG275" s="67"/>
      <c r="BH275" s="67"/>
      <c r="BI275" s="67"/>
      <c r="BJ275" s="67"/>
      <c r="BK275" s="67"/>
      <c r="BL275" s="67"/>
      <c r="BM275" s="67"/>
      <c r="BN275" s="67"/>
      <c r="BO275" s="67"/>
      <c r="BP275" s="67"/>
      <c r="BQ275" s="67"/>
      <c r="BR275" s="67"/>
    </row>
    <row r="276" spans="4:70">
      <c r="D276" s="67"/>
      <c r="E276" s="67"/>
      <c r="F276" s="67"/>
      <c r="G276" s="67"/>
      <c r="H276" s="67"/>
      <c r="I276" s="67"/>
      <c r="J276" s="67"/>
      <c r="K276" s="67"/>
      <c r="L276" s="67"/>
      <c r="M276" s="67"/>
      <c r="N276" s="67"/>
      <c r="O276" s="70"/>
      <c r="P276" s="67"/>
      <c r="Q276" s="67"/>
      <c r="R276" s="67"/>
      <c r="S276" s="67"/>
      <c r="T276" s="67"/>
      <c r="U276" s="67"/>
      <c r="V276" s="67"/>
      <c r="W276" s="67"/>
      <c r="X276" s="67"/>
      <c r="Y276" s="67"/>
      <c r="Z276" s="67"/>
      <c r="AA276" s="70"/>
      <c r="AB276" s="67"/>
      <c r="AC276" s="67"/>
      <c r="AD276" s="67"/>
      <c r="AE276" s="67"/>
      <c r="AF276" s="67"/>
      <c r="AG276" s="67"/>
      <c r="AH276" s="67"/>
      <c r="AI276" s="67"/>
      <c r="AJ276" s="67"/>
      <c r="AK276" s="67"/>
      <c r="AL276" s="67"/>
      <c r="AM276" s="67"/>
      <c r="AN276" s="67"/>
      <c r="AO276" s="67"/>
      <c r="AP276" s="67"/>
      <c r="AQ276" s="67"/>
      <c r="AR276" s="67"/>
      <c r="AS276" s="67"/>
      <c r="AT276" s="67"/>
      <c r="AU276" s="67"/>
      <c r="AV276" s="67"/>
      <c r="AW276" s="67"/>
      <c r="AX276" s="67"/>
      <c r="AY276" s="67"/>
      <c r="AZ276" s="67"/>
      <c r="BA276" s="67"/>
      <c r="BB276" s="67"/>
      <c r="BC276" s="67"/>
      <c r="BD276" s="67"/>
      <c r="BE276" s="67"/>
      <c r="BF276" s="67"/>
      <c r="BG276" s="67"/>
      <c r="BH276" s="67"/>
      <c r="BI276" s="67"/>
      <c r="BJ276" s="67"/>
      <c r="BK276" s="67"/>
      <c r="BL276" s="67"/>
      <c r="BM276" s="67"/>
      <c r="BN276" s="67"/>
      <c r="BO276" s="67"/>
      <c r="BP276" s="67"/>
      <c r="BQ276" s="67"/>
      <c r="BR276" s="67"/>
    </row>
    <row r="277" spans="4:70">
      <c r="D277" s="67"/>
      <c r="E277" s="67"/>
      <c r="F277" s="67"/>
      <c r="G277" s="67"/>
      <c r="H277" s="67"/>
      <c r="I277" s="67"/>
      <c r="J277" s="67"/>
      <c r="K277" s="67"/>
      <c r="L277" s="67"/>
      <c r="M277" s="67"/>
      <c r="N277" s="67"/>
      <c r="O277" s="70"/>
      <c r="P277" s="67"/>
      <c r="Q277" s="67"/>
      <c r="R277" s="67"/>
      <c r="S277" s="67"/>
      <c r="T277" s="67"/>
      <c r="U277" s="67"/>
      <c r="V277" s="67"/>
      <c r="W277" s="67"/>
      <c r="X277" s="67"/>
      <c r="Y277" s="67"/>
      <c r="Z277" s="67"/>
      <c r="AA277" s="70"/>
      <c r="AB277" s="67"/>
      <c r="AC277" s="67"/>
      <c r="AD277" s="67"/>
      <c r="AE277" s="67"/>
      <c r="AF277" s="67"/>
      <c r="AG277" s="67"/>
      <c r="AH277" s="67"/>
      <c r="AI277" s="67"/>
      <c r="AJ277" s="67"/>
      <c r="AK277" s="67"/>
      <c r="AL277" s="67"/>
      <c r="AM277" s="67"/>
      <c r="AN277" s="67"/>
      <c r="AO277" s="67"/>
      <c r="AP277" s="67"/>
      <c r="AQ277" s="67"/>
      <c r="AR277" s="67"/>
      <c r="AS277" s="67"/>
      <c r="AT277" s="67"/>
      <c r="AU277" s="67"/>
      <c r="AV277" s="67"/>
      <c r="AW277" s="67"/>
      <c r="AX277" s="67"/>
      <c r="AY277" s="67"/>
      <c r="AZ277" s="67"/>
      <c r="BA277" s="67"/>
      <c r="BB277" s="67"/>
      <c r="BC277" s="67"/>
      <c r="BD277" s="67"/>
      <c r="BE277" s="67"/>
      <c r="BF277" s="67"/>
      <c r="BG277" s="67"/>
      <c r="BH277" s="67"/>
      <c r="BI277" s="67"/>
      <c r="BJ277" s="67"/>
      <c r="BK277" s="67"/>
      <c r="BL277" s="67"/>
      <c r="BM277" s="67"/>
      <c r="BN277" s="67"/>
      <c r="BO277" s="67"/>
      <c r="BP277" s="67"/>
      <c r="BQ277" s="67"/>
      <c r="BR277" s="67"/>
    </row>
    <row r="278" spans="4:70">
      <c r="D278" s="67"/>
      <c r="E278" s="67"/>
      <c r="F278" s="67"/>
      <c r="G278" s="67"/>
      <c r="H278" s="67"/>
      <c r="I278" s="67"/>
      <c r="J278" s="67"/>
      <c r="K278" s="67"/>
      <c r="L278" s="67"/>
      <c r="M278" s="67"/>
      <c r="N278" s="67"/>
      <c r="O278" s="70"/>
      <c r="P278" s="67"/>
      <c r="Q278" s="67"/>
      <c r="R278" s="67"/>
      <c r="S278" s="67"/>
      <c r="T278" s="67"/>
      <c r="U278" s="67"/>
      <c r="V278" s="67"/>
      <c r="W278" s="67"/>
      <c r="X278" s="67"/>
      <c r="Y278" s="67"/>
      <c r="Z278" s="67"/>
      <c r="AA278" s="70"/>
      <c r="AB278" s="67"/>
      <c r="AC278" s="67"/>
      <c r="AD278" s="67"/>
      <c r="AE278" s="67"/>
      <c r="AF278" s="67"/>
      <c r="AG278" s="67"/>
      <c r="AH278" s="67"/>
      <c r="AI278" s="67"/>
      <c r="AJ278" s="67"/>
      <c r="AK278" s="67"/>
      <c r="AL278" s="67"/>
      <c r="AM278" s="67"/>
      <c r="AN278" s="67"/>
      <c r="AO278" s="67"/>
      <c r="AP278" s="67"/>
      <c r="AQ278" s="67"/>
      <c r="AR278" s="67"/>
      <c r="AS278" s="67"/>
      <c r="AT278" s="67"/>
      <c r="AU278" s="67"/>
      <c r="AV278" s="67"/>
      <c r="AW278" s="67"/>
      <c r="AX278" s="67"/>
      <c r="AY278" s="67"/>
      <c r="AZ278" s="67"/>
      <c r="BA278" s="67"/>
      <c r="BB278" s="67"/>
      <c r="BC278" s="67"/>
      <c r="BD278" s="67"/>
      <c r="BE278" s="67"/>
      <c r="BF278" s="67"/>
      <c r="BG278" s="67"/>
      <c r="BH278" s="67"/>
      <c r="BI278" s="67"/>
      <c r="BJ278" s="67"/>
      <c r="BK278" s="67"/>
      <c r="BL278" s="67"/>
      <c r="BM278" s="67"/>
      <c r="BN278" s="67"/>
      <c r="BO278" s="67"/>
      <c r="BP278" s="67"/>
      <c r="BQ278" s="67"/>
      <c r="BR278" s="67"/>
    </row>
    <row r="279" spans="4:70">
      <c r="D279" s="67"/>
      <c r="E279" s="67"/>
      <c r="F279" s="67"/>
      <c r="G279" s="67"/>
      <c r="H279" s="67"/>
      <c r="I279" s="67"/>
      <c r="J279" s="67"/>
      <c r="K279" s="67"/>
      <c r="L279" s="67"/>
      <c r="M279" s="67"/>
      <c r="N279" s="67"/>
      <c r="O279" s="70"/>
      <c r="P279" s="67"/>
      <c r="Q279" s="67"/>
      <c r="R279" s="67"/>
      <c r="S279" s="67"/>
      <c r="T279" s="67"/>
      <c r="U279" s="67"/>
      <c r="V279" s="67"/>
      <c r="W279" s="67"/>
      <c r="X279" s="67"/>
      <c r="Y279" s="67"/>
      <c r="Z279" s="67"/>
      <c r="AA279" s="70"/>
      <c r="AB279" s="67"/>
      <c r="AC279" s="67"/>
      <c r="AD279" s="67"/>
      <c r="AE279" s="67"/>
      <c r="AF279" s="67"/>
      <c r="AG279" s="67"/>
      <c r="AH279" s="67"/>
      <c r="AI279" s="67"/>
      <c r="AJ279" s="67"/>
      <c r="AK279" s="67"/>
      <c r="AL279" s="67"/>
      <c r="AM279" s="67"/>
      <c r="AN279" s="67"/>
      <c r="AO279" s="67"/>
      <c r="AP279" s="67"/>
      <c r="AQ279" s="67"/>
      <c r="AR279" s="67"/>
      <c r="AS279" s="67"/>
      <c r="AT279" s="67"/>
      <c r="AU279" s="67"/>
      <c r="AV279" s="67"/>
      <c r="AW279" s="67"/>
      <c r="AX279" s="67"/>
      <c r="AY279" s="67"/>
      <c r="AZ279" s="67"/>
      <c r="BA279" s="67"/>
      <c r="BB279" s="67"/>
      <c r="BC279" s="67"/>
      <c r="BD279" s="67"/>
      <c r="BE279" s="67"/>
      <c r="BF279" s="67"/>
      <c r="BG279" s="67"/>
      <c r="BH279" s="67"/>
      <c r="BI279" s="67"/>
      <c r="BJ279" s="67"/>
      <c r="BK279" s="67"/>
      <c r="BL279" s="67"/>
      <c r="BM279" s="67"/>
      <c r="BN279" s="67"/>
      <c r="BO279" s="67"/>
      <c r="BP279" s="67"/>
      <c r="BQ279" s="67"/>
      <c r="BR279" s="67"/>
    </row>
    <row r="280" spans="4:70">
      <c r="D280" s="67"/>
      <c r="E280" s="67"/>
      <c r="F280" s="67"/>
      <c r="G280" s="67"/>
      <c r="H280" s="67"/>
      <c r="I280" s="67"/>
      <c r="J280" s="67"/>
      <c r="K280" s="67"/>
      <c r="L280" s="67"/>
      <c r="M280" s="67"/>
      <c r="N280" s="67"/>
      <c r="O280" s="70"/>
      <c r="P280" s="67"/>
      <c r="Q280" s="67"/>
      <c r="R280" s="67"/>
      <c r="S280" s="67"/>
      <c r="T280" s="67"/>
      <c r="U280" s="67"/>
      <c r="V280" s="67"/>
      <c r="W280" s="67"/>
      <c r="X280" s="67"/>
      <c r="Y280" s="67"/>
      <c r="Z280" s="67"/>
      <c r="AA280" s="70"/>
      <c r="AB280" s="67"/>
      <c r="AC280" s="67"/>
      <c r="AD280" s="67"/>
      <c r="AE280" s="67"/>
      <c r="AF280" s="67"/>
      <c r="AG280" s="67"/>
      <c r="AH280" s="67"/>
      <c r="AI280" s="67"/>
      <c r="AJ280" s="67"/>
      <c r="AK280" s="67"/>
      <c r="AL280" s="67"/>
      <c r="AM280" s="67"/>
      <c r="AN280" s="67"/>
      <c r="AO280" s="67"/>
      <c r="AP280" s="67"/>
      <c r="AQ280" s="67"/>
      <c r="AR280" s="67"/>
      <c r="AS280" s="67"/>
      <c r="AT280" s="67"/>
      <c r="AU280" s="67"/>
      <c r="AV280" s="67"/>
      <c r="AW280" s="67"/>
      <c r="AX280" s="67"/>
      <c r="AY280" s="67"/>
      <c r="AZ280" s="67"/>
      <c r="BA280" s="67"/>
      <c r="BB280" s="67"/>
      <c r="BC280" s="67"/>
      <c r="BD280" s="67"/>
      <c r="BE280" s="67"/>
      <c r="BF280" s="67"/>
      <c r="BG280" s="67"/>
      <c r="BH280" s="67"/>
      <c r="BI280" s="67"/>
      <c r="BJ280" s="67"/>
      <c r="BK280" s="67"/>
      <c r="BL280" s="67"/>
      <c r="BM280" s="67"/>
      <c r="BN280" s="67"/>
      <c r="BO280" s="67"/>
      <c r="BP280" s="67"/>
      <c r="BQ280" s="67"/>
      <c r="BR280" s="67"/>
    </row>
    <row r="281" spans="4:70">
      <c r="D281" s="67"/>
      <c r="E281" s="67"/>
      <c r="F281" s="67"/>
      <c r="G281" s="67"/>
      <c r="H281" s="67"/>
      <c r="I281" s="67"/>
      <c r="J281" s="67"/>
      <c r="K281" s="67"/>
      <c r="L281" s="67"/>
      <c r="M281" s="67"/>
      <c r="N281" s="67"/>
      <c r="O281" s="70"/>
      <c r="P281" s="67"/>
      <c r="Q281" s="67"/>
      <c r="R281" s="67"/>
      <c r="S281" s="67"/>
      <c r="T281" s="67"/>
      <c r="U281" s="67"/>
      <c r="V281" s="67"/>
      <c r="W281" s="67"/>
      <c r="X281" s="67"/>
      <c r="Y281" s="67"/>
      <c r="Z281" s="67"/>
      <c r="AA281" s="70"/>
      <c r="AB281" s="67"/>
      <c r="AC281" s="67"/>
      <c r="AD281" s="67"/>
      <c r="AE281" s="67"/>
      <c r="AF281" s="67"/>
      <c r="AG281" s="67"/>
      <c r="AH281" s="67"/>
      <c r="AI281" s="67"/>
      <c r="AJ281" s="67"/>
      <c r="AK281" s="67"/>
      <c r="AL281" s="67"/>
      <c r="AM281" s="67"/>
      <c r="AN281" s="67"/>
      <c r="AO281" s="67"/>
      <c r="AP281" s="67"/>
      <c r="AQ281" s="67"/>
      <c r="AR281" s="67"/>
      <c r="AS281" s="67"/>
      <c r="AT281" s="67"/>
      <c r="AU281" s="67"/>
      <c r="AV281" s="67"/>
      <c r="AW281" s="67"/>
      <c r="AX281" s="67"/>
      <c r="AY281" s="67"/>
      <c r="AZ281" s="67"/>
      <c r="BA281" s="67"/>
      <c r="BB281" s="67"/>
      <c r="BC281" s="67"/>
      <c r="BD281" s="67"/>
      <c r="BE281" s="67"/>
      <c r="BF281" s="67"/>
      <c r="BG281" s="67"/>
      <c r="BH281" s="67"/>
      <c r="BI281" s="67"/>
      <c r="BJ281" s="67"/>
      <c r="BK281" s="67"/>
      <c r="BL281" s="67"/>
      <c r="BM281" s="67"/>
      <c r="BN281" s="67"/>
      <c r="BO281" s="67"/>
      <c r="BP281" s="67"/>
      <c r="BQ281" s="67"/>
      <c r="BR281" s="67"/>
    </row>
    <row r="282" spans="4:70">
      <c r="D282" s="67"/>
      <c r="E282" s="67"/>
      <c r="F282" s="67"/>
      <c r="G282" s="67"/>
      <c r="H282" s="67"/>
      <c r="I282" s="67"/>
      <c r="J282" s="67"/>
      <c r="K282" s="67"/>
      <c r="L282" s="67"/>
      <c r="M282" s="67"/>
      <c r="N282" s="67"/>
      <c r="O282" s="70"/>
      <c r="P282" s="67"/>
      <c r="Q282" s="67"/>
      <c r="R282" s="67"/>
      <c r="S282" s="67"/>
      <c r="T282" s="67"/>
      <c r="U282" s="67"/>
      <c r="V282" s="67"/>
      <c r="W282" s="67"/>
      <c r="X282" s="67"/>
      <c r="Y282" s="67"/>
      <c r="Z282" s="67"/>
      <c r="AA282" s="70"/>
      <c r="AB282" s="67"/>
      <c r="AC282" s="67"/>
      <c r="AD282" s="67"/>
      <c r="AE282" s="67"/>
      <c r="AF282" s="67"/>
      <c r="AG282" s="67"/>
      <c r="AH282" s="67"/>
      <c r="AI282" s="67"/>
      <c r="AJ282" s="67"/>
      <c r="AK282" s="67"/>
      <c r="AL282" s="67"/>
      <c r="AM282" s="67"/>
      <c r="AN282" s="67"/>
      <c r="AO282" s="67"/>
      <c r="AP282" s="67"/>
      <c r="AQ282" s="67"/>
      <c r="AR282" s="67"/>
      <c r="AS282" s="67"/>
      <c r="AT282" s="67"/>
      <c r="AU282" s="67"/>
      <c r="AV282" s="67"/>
      <c r="AW282" s="67"/>
      <c r="AX282" s="67"/>
      <c r="AY282" s="67"/>
      <c r="AZ282" s="67"/>
      <c r="BA282" s="67"/>
      <c r="BB282" s="67"/>
      <c r="BC282" s="67"/>
      <c r="BD282" s="67"/>
      <c r="BE282" s="67"/>
      <c r="BF282" s="67"/>
      <c r="BG282" s="67"/>
      <c r="BH282" s="67"/>
      <c r="BI282" s="67"/>
      <c r="BJ282" s="67"/>
      <c r="BK282" s="67"/>
      <c r="BL282" s="67"/>
      <c r="BM282" s="67"/>
      <c r="BN282" s="67"/>
      <c r="BO282" s="67"/>
      <c r="BP282" s="67"/>
      <c r="BQ282" s="67"/>
      <c r="BR282" s="67"/>
    </row>
    <row r="283" spans="4:70">
      <c r="D283" s="67"/>
      <c r="E283" s="67"/>
      <c r="F283" s="67"/>
      <c r="G283" s="67"/>
      <c r="H283" s="67"/>
      <c r="I283" s="67"/>
      <c r="J283" s="67"/>
      <c r="K283" s="67"/>
      <c r="L283" s="67"/>
      <c r="M283" s="67"/>
      <c r="N283" s="67"/>
      <c r="O283" s="70"/>
      <c r="P283" s="67"/>
      <c r="Q283" s="67"/>
      <c r="R283" s="67"/>
      <c r="S283" s="67"/>
      <c r="T283" s="67"/>
      <c r="U283" s="67"/>
      <c r="V283" s="67"/>
      <c r="W283" s="67"/>
      <c r="X283" s="67"/>
      <c r="Y283" s="67"/>
      <c r="Z283" s="67"/>
      <c r="AA283" s="70"/>
      <c r="AB283" s="67"/>
      <c r="AC283" s="67"/>
      <c r="AD283" s="67"/>
      <c r="AE283" s="67"/>
      <c r="AF283" s="67"/>
      <c r="AG283" s="67"/>
      <c r="AH283" s="67"/>
      <c r="AI283" s="67"/>
      <c r="AJ283" s="67"/>
      <c r="AK283" s="67"/>
      <c r="AL283" s="67"/>
      <c r="AM283" s="67"/>
      <c r="AN283" s="67"/>
      <c r="AO283" s="67"/>
      <c r="AP283" s="67"/>
      <c r="AQ283" s="67"/>
      <c r="AR283" s="67"/>
      <c r="AS283" s="67"/>
      <c r="AT283" s="67"/>
      <c r="AU283" s="67"/>
      <c r="AV283" s="67"/>
      <c r="AW283" s="67"/>
      <c r="AX283" s="67"/>
      <c r="AY283" s="67"/>
      <c r="AZ283" s="67"/>
      <c r="BA283" s="67"/>
      <c r="BB283" s="67"/>
      <c r="BC283" s="67"/>
      <c r="BD283" s="67"/>
      <c r="BE283" s="67"/>
      <c r="BF283" s="67"/>
      <c r="BG283" s="67"/>
      <c r="BH283" s="67"/>
      <c r="BI283" s="67"/>
      <c r="BJ283" s="67"/>
      <c r="BK283" s="67"/>
      <c r="BL283" s="67"/>
      <c r="BM283" s="67"/>
      <c r="BN283" s="67"/>
      <c r="BO283" s="67"/>
      <c r="BP283" s="67"/>
      <c r="BQ283" s="67"/>
      <c r="BR283" s="67"/>
    </row>
    <row r="284" spans="4:70">
      <c r="D284" s="67"/>
      <c r="E284" s="67"/>
      <c r="F284" s="67"/>
      <c r="G284" s="67"/>
      <c r="H284" s="67"/>
      <c r="I284" s="67"/>
      <c r="J284" s="67"/>
      <c r="K284" s="67"/>
      <c r="L284" s="67"/>
      <c r="M284" s="67"/>
      <c r="N284" s="67"/>
      <c r="O284" s="70"/>
      <c r="P284" s="67"/>
      <c r="Q284" s="67"/>
      <c r="R284" s="67"/>
      <c r="S284" s="67"/>
      <c r="T284" s="67"/>
      <c r="U284" s="67"/>
      <c r="V284" s="67"/>
      <c r="W284" s="67"/>
      <c r="X284" s="67"/>
      <c r="Y284" s="67"/>
      <c r="Z284" s="67"/>
      <c r="AA284" s="70"/>
      <c r="AB284" s="67"/>
      <c r="AC284" s="67"/>
      <c r="AD284" s="67"/>
      <c r="AE284" s="67"/>
      <c r="AF284" s="67"/>
      <c r="AG284" s="67"/>
      <c r="AH284" s="67"/>
      <c r="AI284" s="67"/>
      <c r="AJ284" s="67"/>
      <c r="AK284" s="67"/>
      <c r="AL284" s="67"/>
      <c r="AM284" s="67"/>
      <c r="AN284" s="67"/>
      <c r="AO284" s="67"/>
      <c r="AP284" s="67"/>
      <c r="AQ284" s="67"/>
      <c r="AR284" s="67"/>
      <c r="AS284" s="67"/>
      <c r="AT284" s="67"/>
      <c r="AU284" s="67"/>
      <c r="AV284" s="67"/>
      <c r="AW284" s="67"/>
      <c r="AX284" s="67"/>
      <c r="AY284" s="67"/>
      <c r="AZ284" s="67"/>
      <c r="BA284" s="67"/>
      <c r="BB284" s="67"/>
      <c r="BC284" s="67"/>
      <c r="BD284" s="67"/>
      <c r="BE284" s="67"/>
      <c r="BF284" s="67"/>
      <c r="BG284" s="67"/>
      <c r="BH284" s="67"/>
      <c r="BI284" s="67"/>
      <c r="BJ284" s="67"/>
      <c r="BK284" s="67"/>
      <c r="BL284" s="67"/>
      <c r="BM284" s="67"/>
      <c r="BN284" s="67"/>
      <c r="BO284" s="67"/>
      <c r="BP284" s="67"/>
      <c r="BQ284" s="67"/>
      <c r="BR284" s="67"/>
    </row>
    <row r="285" spans="4:70">
      <c r="D285" s="67"/>
      <c r="E285" s="67"/>
      <c r="F285" s="67"/>
      <c r="G285" s="67"/>
      <c r="H285" s="67"/>
      <c r="I285" s="67"/>
      <c r="J285" s="67"/>
      <c r="K285" s="67"/>
      <c r="L285" s="67"/>
      <c r="M285" s="67"/>
      <c r="N285" s="67"/>
      <c r="O285" s="70"/>
      <c r="P285" s="67"/>
      <c r="Q285" s="67"/>
      <c r="R285" s="67"/>
      <c r="S285" s="67"/>
      <c r="T285" s="67"/>
      <c r="U285" s="67"/>
      <c r="V285" s="67"/>
      <c r="W285" s="67"/>
      <c r="X285" s="67"/>
      <c r="Y285" s="67"/>
      <c r="Z285" s="67"/>
      <c r="AA285" s="70"/>
      <c r="AB285" s="67"/>
      <c r="AC285" s="67"/>
      <c r="AD285" s="67"/>
      <c r="AE285" s="67"/>
      <c r="AF285" s="67"/>
      <c r="AG285" s="67"/>
      <c r="AH285" s="67"/>
      <c r="AI285" s="67"/>
      <c r="AJ285" s="67"/>
      <c r="AK285" s="67"/>
      <c r="AL285" s="67"/>
      <c r="AM285" s="67"/>
      <c r="AN285" s="67"/>
      <c r="AO285" s="67"/>
      <c r="AP285" s="67"/>
      <c r="AQ285" s="67"/>
      <c r="AR285" s="67"/>
      <c r="AS285" s="67"/>
      <c r="AT285" s="67"/>
      <c r="AU285" s="67"/>
      <c r="AV285" s="67"/>
      <c r="AW285" s="67"/>
      <c r="AX285" s="67"/>
      <c r="AY285" s="67"/>
      <c r="AZ285" s="67"/>
      <c r="BA285" s="67"/>
      <c r="BB285" s="67"/>
      <c r="BC285" s="67"/>
      <c r="BD285" s="67"/>
      <c r="BE285" s="67"/>
      <c r="BF285" s="67"/>
      <c r="BG285" s="67"/>
      <c r="BH285" s="67"/>
      <c r="BI285" s="67"/>
      <c r="BJ285" s="67"/>
      <c r="BK285" s="67"/>
      <c r="BL285" s="67"/>
      <c r="BM285" s="67"/>
      <c r="BN285" s="67"/>
      <c r="BO285" s="67"/>
      <c r="BP285" s="67"/>
      <c r="BQ285" s="67"/>
      <c r="BR285" s="67"/>
    </row>
    <row r="286" spans="4:70">
      <c r="D286" s="67"/>
      <c r="E286" s="67"/>
      <c r="F286" s="67"/>
      <c r="G286" s="67"/>
      <c r="H286" s="67"/>
      <c r="I286" s="67"/>
      <c r="J286" s="67"/>
      <c r="K286" s="67"/>
      <c r="L286" s="67"/>
      <c r="M286" s="67"/>
      <c r="N286" s="67"/>
      <c r="O286" s="70"/>
      <c r="P286" s="67"/>
      <c r="Q286" s="67"/>
      <c r="R286" s="67"/>
      <c r="S286" s="67"/>
      <c r="T286" s="67"/>
      <c r="U286" s="67"/>
      <c r="V286" s="67"/>
      <c r="W286" s="67"/>
      <c r="X286" s="67"/>
      <c r="Y286" s="67"/>
      <c r="Z286" s="67"/>
      <c r="AA286" s="70"/>
      <c r="AB286" s="67"/>
      <c r="AC286" s="67"/>
      <c r="AD286" s="67"/>
      <c r="AE286" s="67"/>
      <c r="AF286" s="67"/>
      <c r="AG286" s="67"/>
      <c r="AH286" s="67"/>
      <c r="AI286" s="67"/>
      <c r="AJ286" s="67"/>
      <c r="AK286" s="67"/>
      <c r="AL286" s="67"/>
      <c r="AM286" s="67"/>
      <c r="AN286" s="67"/>
      <c r="AO286" s="67"/>
      <c r="AP286" s="67"/>
      <c r="AQ286" s="67"/>
      <c r="AR286" s="67"/>
      <c r="AS286" s="67"/>
      <c r="AT286" s="67"/>
      <c r="AU286" s="67"/>
      <c r="AV286" s="67"/>
      <c r="AW286" s="67"/>
      <c r="AX286" s="67"/>
      <c r="AY286" s="67"/>
      <c r="AZ286" s="67"/>
      <c r="BA286" s="67"/>
      <c r="BB286" s="67"/>
      <c r="BC286" s="67"/>
      <c r="BD286" s="67"/>
      <c r="BE286" s="67"/>
      <c r="BF286" s="67"/>
      <c r="BG286" s="67"/>
      <c r="BH286" s="67"/>
      <c r="BI286" s="67"/>
      <c r="BJ286" s="67"/>
      <c r="BK286" s="67"/>
      <c r="BL286" s="67"/>
      <c r="BM286" s="67"/>
      <c r="BN286" s="67"/>
      <c r="BO286" s="67"/>
      <c r="BP286" s="67"/>
      <c r="BQ286" s="67"/>
      <c r="BR286" s="67"/>
    </row>
    <row r="287" spans="4:70">
      <c r="D287" s="67"/>
      <c r="E287" s="67"/>
      <c r="F287" s="67"/>
      <c r="G287" s="67"/>
      <c r="H287" s="67"/>
      <c r="I287" s="67"/>
      <c r="J287" s="67"/>
      <c r="K287" s="67"/>
      <c r="L287" s="67"/>
      <c r="M287" s="67"/>
      <c r="N287" s="67"/>
      <c r="O287" s="70"/>
      <c r="P287" s="67"/>
      <c r="Q287" s="67"/>
      <c r="R287" s="67"/>
      <c r="S287" s="67"/>
      <c r="T287" s="67"/>
      <c r="U287" s="67"/>
      <c r="V287" s="67"/>
      <c r="W287" s="67"/>
      <c r="X287" s="67"/>
      <c r="Y287" s="67"/>
      <c r="Z287" s="67"/>
      <c r="AA287" s="70"/>
      <c r="AB287" s="67"/>
      <c r="AC287" s="67"/>
      <c r="AD287" s="67"/>
      <c r="AE287" s="67"/>
      <c r="AF287" s="67"/>
      <c r="AG287" s="67"/>
      <c r="AH287" s="67"/>
      <c r="AI287" s="67"/>
      <c r="AJ287" s="67"/>
      <c r="AK287" s="67"/>
      <c r="AL287" s="67"/>
      <c r="AM287" s="67"/>
      <c r="AN287" s="67"/>
      <c r="AO287" s="67"/>
      <c r="AP287" s="67"/>
      <c r="AQ287" s="67"/>
      <c r="AR287" s="67"/>
      <c r="AS287" s="67"/>
      <c r="AT287" s="67"/>
      <c r="AU287" s="67"/>
      <c r="AV287" s="67"/>
      <c r="AW287" s="67"/>
      <c r="AX287" s="67"/>
      <c r="AY287" s="67"/>
      <c r="AZ287" s="67"/>
      <c r="BA287" s="67"/>
      <c r="BB287" s="67"/>
      <c r="BC287" s="67"/>
      <c r="BD287" s="67"/>
      <c r="BE287" s="67"/>
      <c r="BF287" s="67"/>
      <c r="BG287" s="67"/>
      <c r="BH287" s="67"/>
      <c r="BI287" s="67"/>
      <c r="BJ287" s="67"/>
      <c r="BK287" s="67"/>
      <c r="BL287" s="67"/>
      <c r="BM287" s="67"/>
      <c r="BN287" s="67"/>
      <c r="BO287" s="67"/>
      <c r="BP287" s="67"/>
      <c r="BQ287" s="67"/>
      <c r="BR287" s="67"/>
    </row>
    <row r="288" spans="4:70">
      <c r="D288" s="67"/>
      <c r="E288" s="67"/>
      <c r="F288" s="67"/>
      <c r="G288" s="67"/>
      <c r="H288" s="67"/>
      <c r="I288" s="67"/>
      <c r="J288" s="67"/>
      <c r="K288" s="67"/>
      <c r="L288" s="67"/>
      <c r="M288" s="67"/>
      <c r="N288" s="67"/>
      <c r="O288" s="70"/>
      <c r="P288" s="67"/>
      <c r="Q288" s="67"/>
      <c r="R288" s="67"/>
      <c r="S288" s="67"/>
      <c r="T288" s="67"/>
      <c r="U288" s="67"/>
      <c r="V288" s="67"/>
      <c r="W288" s="67"/>
      <c r="X288" s="67"/>
      <c r="Y288" s="67"/>
      <c r="Z288" s="67"/>
      <c r="AA288" s="70"/>
      <c r="AB288" s="67"/>
      <c r="AC288" s="67"/>
      <c r="AD288" s="67"/>
      <c r="AE288" s="67"/>
      <c r="AF288" s="67"/>
      <c r="AG288" s="67"/>
      <c r="AH288" s="67"/>
      <c r="AI288" s="67"/>
      <c r="AJ288" s="67"/>
      <c r="AK288" s="67"/>
      <c r="AL288" s="67"/>
      <c r="AM288" s="67"/>
      <c r="AN288" s="67"/>
      <c r="AO288" s="67"/>
      <c r="AP288" s="67"/>
      <c r="AQ288" s="67"/>
      <c r="AR288" s="67"/>
      <c r="AS288" s="67"/>
      <c r="AT288" s="67"/>
      <c r="AU288" s="67"/>
      <c r="AV288" s="67"/>
      <c r="AW288" s="67"/>
      <c r="AX288" s="67"/>
      <c r="AY288" s="67"/>
      <c r="AZ288" s="67"/>
      <c r="BA288" s="67"/>
      <c r="BB288" s="67"/>
      <c r="BC288" s="67"/>
      <c r="BD288" s="67"/>
      <c r="BE288" s="67"/>
      <c r="BF288" s="67"/>
      <c r="BG288" s="67"/>
      <c r="BH288" s="67"/>
      <c r="BI288" s="67"/>
      <c r="BJ288" s="67"/>
      <c r="BK288" s="67"/>
      <c r="BL288" s="67"/>
      <c r="BM288" s="67"/>
      <c r="BN288" s="67"/>
      <c r="BO288" s="67"/>
      <c r="BP288" s="67"/>
      <c r="BQ288" s="67"/>
      <c r="BR288" s="67"/>
    </row>
    <row r="289" spans="4:70">
      <c r="D289" s="67"/>
      <c r="E289" s="67"/>
      <c r="F289" s="67"/>
      <c r="G289" s="67"/>
      <c r="H289" s="67"/>
      <c r="I289" s="67"/>
      <c r="J289" s="67"/>
      <c r="K289" s="67"/>
      <c r="L289" s="67"/>
      <c r="M289" s="67"/>
      <c r="N289" s="67"/>
      <c r="O289" s="70"/>
      <c r="P289" s="67"/>
      <c r="Q289" s="67"/>
      <c r="R289" s="67"/>
      <c r="S289" s="67"/>
      <c r="T289" s="67"/>
      <c r="U289" s="67"/>
      <c r="V289" s="67"/>
      <c r="W289" s="67"/>
      <c r="X289" s="67"/>
      <c r="Y289" s="67"/>
      <c r="Z289" s="67"/>
      <c r="AA289" s="70"/>
      <c r="AB289" s="67"/>
      <c r="AC289" s="67"/>
      <c r="AD289" s="67"/>
      <c r="AE289" s="67"/>
      <c r="AF289" s="67"/>
      <c r="AG289" s="67"/>
      <c r="AH289" s="67"/>
      <c r="AI289" s="67"/>
      <c r="AJ289" s="67"/>
      <c r="AK289" s="67"/>
      <c r="AL289" s="67"/>
      <c r="AM289" s="67"/>
      <c r="AN289" s="67"/>
      <c r="AO289" s="67"/>
      <c r="AP289" s="67"/>
      <c r="AQ289" s="67"/>
      <c r="AR289" s="67"/>
      <c r="AS289" s="67"/>
      <c r="AT289" s="67"/>
      <c r="AU289" s="67"/>
      <c r="AV289" s="67"/>
      <c r="AW289" s="67"/>
      <c r="AX289" s="67"/>
      <c r="AY289" s="67"/>
      <c r="AZ289" s="67"/>
      <c r="BA289" s="67"/>
      <c r="BB289" s="67"/>
      <c r="BC289" s="67"/>
      <c r="BD289" s="67"/>
      <c r="BE289" s="67"/>
      <c r="BF289" s="67"/>
      <c r="BG289" s="67"/>
      <c r="BH289" s="67"/>
      <c r="BI289" s="67"/>
      <c r="BJ289" s="67"/>
      <c r="BK289" s="67"/>
      <c r="BL289" s="67"/>
      <c r="BM289" s="67"/>
      <c r="BN289" s="67"/>
      <c r="BO289" s="67"/>
      <c r="BP289" s="67"/>
      <c r="BQ289" s="67"/>
      <c r="BR289" s="67"/>
    </row>
    <row r="290" spans="4:70">
      <c r="D290" s="67"/>
      <c r="E290" s="67"/>
      <c r="F290" s="67"/>
      <c r="G290" s="67"/>
      <c r="H290" s="67"/>
      <c r="I290" s="67"/>
      <c r="J290" s="67"/>
      <c r="K290" s="67"/>
      <c r="L290" s="67"/>
      <c r="M290" s="67"/>
      <c r="N290" s="67"/>
      <c r="O290" s="70"/>
      <c r="P290" s="67"/>
      <c r="Q290" s="67"/>
      <c r="R290" s="67"/>
      <c r="S290" s="67"/>
      <c r="T290" s="67"/>
      <c r="U290" s="67"/>
      <c r="V290" s="67"/>
      <c r="W290" s="67"/>
      <c r="X290" s="67"/>
      <c r="Y290" s="67"/>
      <c r="Z290" s="67"/>
      <c r="AA290" s="70"/>
      <c r="AB290" s="67"/>
      <c r="AC290" s="67"/>
      <c r="AD290" s="67"/>
      <c r="AE290" s="67"/>
      <c r="AF290" s="67"/>
      <c r="AG290" s="67"/>
      <c r="AH290" s="67"/>
      <c r="AI290" s="67"/>
      <c r="AJ290" s="67"/>
      <c r="AK290" s="67"/>
      <c r="AL290" s="67"/>
      <c r="AM290" s="67"/>
      <c r="AN290" s="67"/>
      <c r="AO290" s="67"/>
      <c r="AP290" s="67"/>
      <c r="AQ290" s="67"/>
      <c r="AR290" s="67"/>
      <c r="AS290" s="67"/>
      <c r="AT290" s="67"/>
      <c r="AU290" s="67"/>
      <c r="AV290" s="67"/>
      <c r="AW290" s="67"/>
      <c r="AX290" s="67"/>
      <c r="AY290" s="67"/>
      <c r="AZ290" s="67"/>
      <c r="BA290" s="67"/>
      <c r="BB290" s="67"/>
      <c r="BC290" s="67"/>
      <c r="BD290" s="67"/>
      <c r="BE290" s="67"/>
      <c r="BF290" s="67"/>
      <c r="BG290" s="67"/>
      <c r="BH290" s="67"/>
      <c r="BI290" s="67"/>
      <c r="BJ290" s="67"/>
      <c r="BK290" s="67"/>
      <c r="BL290" s="67"/>
      <c r="BM290" s="67"/>
      <c r="BN290" s="67"/>
      <c r="BO290" s="67"/>
      <c r="BP290" s="67"/>
      <c r="BQ290" s="67"/>
      <c r="BR290" s="67"/>
    </row>
    <row r="291" spans="4:70">
      <c r="D291" s="67"/>
      <c r="E291" s="67"/>
      <c r="F291" s="67"/>
      <c r="G291" s="67"/>
      <c r="H291" s="67"/>
      <c r="I291" s="67"/>
      <c r="J291" s="67"/>
      <c r="K291" s="67"/>
      <c r="L291" s="67"/>
      <c r="M291" s="67"/>
      <c r="N291" s="67"/>
      <c r="O291" s="70"/>
      <c r="P291" s="67"/>
      <c r="Q291" s="67"/>
      <c r="R291" s="67"/>
      <c r="S291" s="67"/>
      <c r="T291" s="67"/>
      <c r="U291" s="67"/>
      <c r="V291" s="67"/>
      <c r="W291" s="67"/>
      <c r="X291" s="67"/>
      <c r="Y291" s="67"/>
      <c r="Z291" s="67"/>
      <c r="AA291" s="70"/>
      <c r="AB291" s="67"/>
      <c r="AC291" s="67"/>
      <c r="AD291" s="67"/>
      <c r="AE291" s="67"/>
      <c r="AF291" s="67"/>
      <c r="AG291" s="67"/>
      <c r="AH291" s="67"/>
      <c r="AI291" s="67"/>
      <c r="AJ291" s="67"/>
      <c r="AK291" s="67"/>
      <c r="AL291" s="67"/>
      <c r="AM291" s="67"/>
      <c r="AN291" s="67"/>
      <c r="AO291" s="67"/>
      <c r="AP291" s="67"/>
      <c r="AQ291" s="67"/>
      <c r="AR291" s="67"/>
      <c r="AS291" s="67"/>
      <c r="AT291" s="67"/>
      <c r="AU291" s="67"/>
      <c r="AV291" s="67"/>
      <c r="AW291" s="67"/>
      <c r="AX291" s="67"/>
      <c r="AY291" s="67"/>
      <c r="AZ291" s="67"/>
      <c r="BA291" s="67"/>
      <c r="BB291" s="67"/>
      <c r="BC291" s="67"/>
      <c r="BD291" s="67"/>
      <c r="BE291" s="67"/>
      <c r="BF291" s="67"/>
      <c r="BG291" s="67"/>
      <c r="BH291" s="67"/>
      <c r="BI291" s="67"/>
      <c r="BJ291" s="67"/>
      <c r="BK291" s="67"/>
      <c r="BL291" s="67"/>
      <c r="BM291" s="67"/>
      <c r="BN291" s="67"/>
      <c r="BO291" s="67"/>
      <c r="BP291" s="67"/>
      <c r="BQ291" s="67"/>
      <c r="BR291" s="67"/>
    </row>
    <row r="292" spans="4:70">
      <c r="D292" s="67"/>
      <c r="E292" s="67"/>
      <c r="F292" s="67"/>
      <c r="G292" s="67"/>
      <c r="H292" s="67"/>
      <c r="I292" s="67"/>
      <c r="J292" s="67"/>
      <c r="K292" s="67"/>
      <c r="L292" s="67"/>
      <c r="M292" s="67"/>
      <c r="N292" s="67"/>
      <c r="O292" s="70"/>
      <c r="P292" s="67"/>
      <c r="Q292" s="67"/>
      <c r="R292" s="67"/>
      <c r="S292" s="67"/>
      <c r="T292" s="67"/>
      <c r="U292" s="67"/>
      <c r="V292" s="67"/>
      <c r="W292" s="67"/>
      <c r="X292" s="67"/>
      <c r="Y292" s="67"/>
      <c r="Z292" s="67"/>
      <c r="AA292" s="70"/>
      <c r="AB292" s="67"/>
      <c r="AC292" s="67"/>
      <c r="AD292" s="67"/>
      <c r="AE292" s="67"/>
      <c r="AF292" s="67"/>
      <c r="AG292" s="67"/>
      <c r="AH292" s="67"/>
      <c r="AI292" s="67"/>
      <c r="AJ292" s="67"/>
      <c r="AK292" s="67"/>
      <c r="AL292" s="67"/>
      <c r="AM292" s="67"/>
      <c r="AN292" s="67"/>
      <c r="AO292" s="67"/>
      <c r="AP292" s="67"/>
      <c r="AQ292" s="67"/>
      <c r="AR292" s="67"/>
      <c r="AS292" s="67"/>
      <c r="AT292" s="67"/>
      <c r="AU292" s="67"/>
      <c r="AV292" s="67"/>
      <c r="AW292" s="67"/>
      <c r="AX292" s="67"/>
      <c r="AY292" s="67"/>
      <c r="AZ292" s="67"/>
      <c r="BA292" s="67"/>
      <c r="BB292" s="67"/>
      <c r="BC292" s="67"/>
      <c r="BD292" s="67"/>
      <c r="BE292" s="67"/>
      <c r="BF292" s="67"/>
      <c r="BG292" s="67"/>
      <c r="BH292" s="67"/>
      <c r="BI292" s="67"/>
      <c r="BJ292" s="67"/>
      <c r="BK292" s="67"/>
      <c r="BL292" s="67"/>
      <c r="BM292" s="67"/>
      <c r="BN292" s="67"/>
      <c r="BO292" s="67"/>
      <c r="BP292" s="67"/>
      <c r="BQ292" s="67"/>
      <c r="BR292" s="67"/>
    </row>
    <row r="293" spans="4:70">
      <c r="D293" s="67"/>
      <c r="E293" s="67"/>
      <c r="F293" s="67"/>
      <c r="G293" s="67"/>
      <c r="H293" s="67"/>
      <c r="I293" s="67"/>
      <c r="J293" s="67"/>
      <c r="K293" s="67"/>
      <c r="L293" s="67"/>
      <c r="M293" s="67"/>
      <c r="N293" s="67"/>
      <c r="O293" s="70"/>
      <c r="P293" s="67"/>
      <c r="Q293" s="67"/>
      <c r="R293" s="67"/>
      <c r="S293" s="67"/>
      <c r="T293" s="67"/>
      <c r="U293" s="67"/>
      <c r="V293" s="67"/>
      <c r="W293" s="67"/>
      <c r="X293" s="67"/>
      <c r="Y293" s="67"/>
      <c r="Z293" s="67"/>
      <c r="AA293" s="70"/>
      <c r="AB293" s="67"/>
      <c r="AC293" s="67"/>
      <c r="AD293" s="67"/>
      <c r="AE293" s="67"/>
      <c r="AF293" s="67"/>
      <c r="AG293" s="67"/>
      <c r="AH293" s="67"/>
      <c r="AI293" s="67"/>
      <c r="AJ293" s="67"/>
      <c r="AK293" s="67"/>
      <c r="AL293" s="67"/>
      <c r="AM293" s="67"/>
      <c r="AN293" s="67"/>
      <c r="AO293" s="67"/>
      <c r="AP293" s="67"/>
      <c r="AQ293" s="67"/>
      <c r="AR293" s="67"/>
      <c r="AS293" s="67"/>
      <c r="AT293" s="67"/>
      <c r="AU293" s="67"/>
      <c r="AV293" s="67"/>
      <c r="AW293" s="67"/>
      <c r="AX293" s="67"/>
      <c r="AY293" s="67"/>
      <c r="AZ293" s="67"/>
      <c r="BA293" s="67"/>
      <c r="BB293" s="67"/>
      <c r="BC293" s="67"/>
      <c r="BD293" s="67"/>
      <c r="BE293" s="67"/>
      <c r="BF293" s="67"/>
      <c r="BG293" s="67"/>
      <c r="BH293" s="67"/>
      <c r="BI293" s="67"/>
      <c r="BJ293" s="67"/>
      <c r="BK293" s="67"/>
      <c r="BL293" s="67"/>
      <c r="BM293" s="67"/>
      <c r="BN293" s="67"/>
      <c r="BO293" s="67"/>
      <c r="BP293" s="67"/>
      <c r="BQ293" s="67"/>
      <c r="BR293" s="67"/>
    </row>
    <row r="294" spans="4:70">
      <c r="D294" s="67"/>
      <c r="E294" s="67"/>
      <c r="F294" s="67"/>
      <c r="G294" s="67"/>
      <c r="H294" s="67"/>
      <c r="I294" s="67"/>
      <c r="J294" s="67"/>
      <c r="K294" s="67"/>
      <c r="L294" s="67"/>
      <c r="M294" s="67"/>
      <c r="N294" s="67"/>
      <c r="O294" s="70"/>
      <c r="P294" s="67"/>
      <c r="Q294" s="67"/>
      <c r="R294" s="67"/>
      <c r="S294" s="67"/>
      <c r="T294" s="67"/>
      <c r="U294" s="67"/>
      <c r="V294" s="67"/>
      <c r="W294" s="67"/>
      <c r="X294" s="67"/>
      <c r="Y294" s="67"/>
      <c r="Z294" s="67"/>
      <c r="AA294" s="70"/>
      <c r="AB294" s="67"/>
      <c r="AC294" s="67"/>
      <c r="AD294" s="67"/>
      <c r="AE294" s="67"/>
      <c r="AF294" s="67"/>
      <c r="AG294" s="67"/>
      <c r="AH294" s="67"/>
      <c r="AI294" s="67"/>
      <c r="AJ294" s="67"/>
      <c r="AK294" s="67"/>
      <c r="AL294" s="67"/>
      <c r="AM294" s="67"/>
      <c r="AN294" s="67"/>
      <c r="AO294" s="67"/>
      <c r="AP294" s="67"/>
      <c r="AQ294" s="67"/>
      <c r="AR294" s="67"/>
      <c r="AS294" s="67"/>
      <c r="AT294" s="67"/>
      <c r="AU294" s="67"/>
      <c r="AV294" s="67"/>
      <c r="AW294" s="67"/>
      <c r="AX294" s="67"/>
      <c r="AY294" s="67"/>
      <c r="AZ294" s="67"/>
      <c r="BA294" s="67"/>
      <c r="BB294" s="67"/>
      <c r="BC294" s="67"/>
      <c r="BD294" s="67"/>
      <c r="BE294" s="67"/>
      <c r="BF294" s="67"/>
      <c r="BG294" s="67"/>
      <c r="BH294" s="67"/>
      <c r="BI294" s="67"/>
      <c r="BJ294" s="67"/>
      <c r="BK294" s="67"/>
      <c r="BL294" s="67"/>
      <c r="BM294" s="67"/>
      <c r="BN294" s="67"/>
      <c r="BO294" s="67"/>
      <c r="BP294" s="67"/>
      <c r="BQ294" s="67"/>
      <c r="BR294" s="67"/>
    </row>
    <row r="295" spans="4:70">
      <c r="D295" s="67"/>
      <c r="E295" s="67"/>
      <c r="F295" s="67"/>
      <c r="G295" s="67"/>
      <c r="H295" s="67"/>
      <c r="I295" s="67"/>
      <c r="J295" s="67"/>
      <c r="K295" s="67"/>
      <c r="L295" s="67"/>
      <c r="M295" s="67"/>
      <c r="N295" s="67"/>
      <c r="O295" s="70"/>
      <c r="P295" s="67"/>
      <c r="Q295" s="67"/>
      <c r="R295" s="67"/>
      <c r="S295" s="67"/>
      <c r="T295" s="67"/>
      <c r="U295" s="67"/>
      <c r="V295" s="67"/>
      <c r="W295" s="67"/>
      <c r="X295" s="67"/>
      <c r="Y295" s="67"/>
      <c r="Z295" s="67"/>
      <c r="AA295" s="70"/>
      <c r="AB295" s="67"/>
      <c r="AC295" s="67"/>
      <c r="AD295" s="67"/>
      <c r="AE295" s="67"/>
      <c r="AF295" s="67"/>
      <c r="AG295" s="67"/>
      <c r="AH295" s="67"/>
      <c r="AI295" s="67"/>
      <c r="AJ295" s="67"/>
      <c r="AK295" s="67"/>
      <c r="AL295" s="67"/>
      <c r="AM295" s="67"/>
      <c r="AN295" s="67"/>
      <c r="AO295" s="67"/>
      <c r="AP295" s="67"/>
      <c r="AQ295" s="67"/>
      <c r="AR295" s="67"/>
      <c r="AS295" s="67"/>
      <c r="AT295" s="67"/>
      <c r="AU295" s="67"/>
      <c r="AV295" s="67"/>
      <c r="AW295" s="67"/>
      <c r="AX295" s="67"/>
      <c r="AY295" s="67"/>
      <c r="AZ295" s="67"/>
      <c r="BA295" s="67"/>
      <c r="BB295" s="67"/>
      <c r="BC295" s="67"/>
      <c r="BD295" s="67"/>
      <c r="BE295" s="67"/>
      <c r="BF295" s="67"/>
      <c r="BG295" s="67"/>
      <c r="BH295" s="67"/>
      <c r="BI295" s="67"/>
      <c r="BJ295" s="67"/>
      <c r="BK295" s="67"/>
      <c r="BL295" s="67"/>
      <c r="BM295" s="67"/>
      <c r="BN295" s="67"/>
      <c r="BO295" s="67"/>
      <c r="BP295" s="67"/>
      <c r="BQ295" s="67"/>
      <c r="BR295" s="67"/>
    </row>
    <row r="296" spans="4:70">
      <c r="D296" s="67"/>
      <c r="E296" s="67"/>
      <c r="F296" s="67"/>
      <c r="G296" s="67"/>
      <c r="H296" s="67"/>
      <c r="I296" s="67"/>
      <c r="J296" s="67"/>
      <c r="K296" s="67"/>
      <c r="L296" s="67"/>
      <c r="M296" s="67"/>
      <c r="N296" s="67"/>
      <c r="O296" s="70"/>
      <c r="P296" s="67"/>
      <c r="Q296" s="67"/>
      <c r="R296" s="67"/>
      <c r="S296" s="67"/>
      <c r="T296" s="67"/>
      <c r="U296" s="67"/>
      <c r="V296" s="67"/>
      <c r="W296" s="67"/>
      <c r="X296" s="67"/>
      <c r="Y296" s="67"/>
      <c r="Z296" s="67"/>
      <c r="AA296" s="70"/>
      <c r="AB296" s="67"/>
      <c r="AC296" s="67"/>
      <c r="AD296" s="67"/>
      <c r="AE296" s="67"/>
      <c r="AF296" s="67"/>
      <c r="AG296" s="67"/>
      <c r="AH296" s="67"/>
      <c r="AI296" s="67"/>
      <c r="AJ296" s="67"/>
      <c r="AK296" s="67"/>
      <c r="AL296" s="67"/>
      <c r="AM296" s="67"/>
      <c r="AN296" s="67"/>
      <c r="AO296" s="67"/>
      <c r="AP296" s="67"/>
      <c r="AQ296" s="67"/>
      <c r="AR296" s="67"/>
      <c r="AS296" s="67"/>
      <c r="AT296" s="67"/>
      <c r="AU296" s="67"/>
      <c r="AV296" s="67"/>
      <c r="AW296" s="67"/>
      <c r="AX296" s="67"/>
      <c r="AY296" s="67"/>
      <c r="AZ296" s="67"/>
      <c r="BA296" s="67"/>
      <c r="BB296" s="67"/>
      <c r="BC296" s="67"/>
      <c r="BD296" s="67"/>
      <c r="BE296" s="67"/>
      <c r="BF296" s="67"/>
      <c r="BG296" s="67"/>
      <c r="BH296" s="67"/>
      <c r="BI296" s="67"/>
      <c r="BJ296" s="67"/>
      <c r="BK296" s="67"/>
      <c r="BL296" s="67"/>
      <c r="BM296" s="67"/>
      <c r="BN296" s="67"/>
      <c r="BO296" s="67"/>
      <c r="BP296" s="67"/>
      <c r="BQ296" s="67"/>
      <c r="BR296" s="67"/>
    </row>
    <row r="297" spans="4:70">
      <c r="D297" s="67"/>
      <c r="E297" s="67"/>
      <c r="F297" s="67"/>
      <c r="G297" s="67"/>
      <c r="H297" s="67"/>
      <c r="I297" s="67"/>
      <c r="J297" s="67"/>
      <c r="K297" s="67"/>
      <c r="L297" s="67"/>
      <c r="M297" s="67"/>
      <c r="N297" s="67"/>
      <c r="O297" s="70"/>
      <c r="P297" s="67"/>
      <c r="Q297" s="67"/>
      <c r="R297" s="67"/>
      <c r="S297" s="67"/>
      <c r="T297" s="67"/>
      <c r="U297" s="67"/>
      <c r="V297" s="67"/>
      <c r="W297" s="67"/>
      <c r="X297" s="67"/>
      <c r="Y297" s="67"/>
      <c r="Z297" s="67"/>
      <c r="AA297" s="70"/>
      <c r="AB297" s="67"/>
      <c r="AC297" s="67"/>
      <c r="AD297" s="67"/>
      <c r="AE297" s="67"/>
      <c r="AF297" s="67"/>
      <c r="AG297" s="67"/>
      <c r="AH297" s="67"/>
      <c r="AI297" s="67"/>
      <c r="AJ297" s="67"/>
      <c r="AK297" s="67"/>
      <c r="AL297" s="67"/>
      <c r="AM297" s="67"/>
      <c r="AN297" s="67"/>
      <c r="AO297" s="67"/>
      <c r="AP297" s="67"/>
      <c r="AQ297" s="67"/>
      <c r="AR297" s="67"/>
      <c r="AS297" s="67"/>
      <c r="AT297" s="67"/>
      <c r="AU297" s="67"/>
      <c r="AV297" s="67"/>
      <c r="AW297" s="67"/>
      <c r="AX297" s="67"/>
      <c r="AY297" s="67"/>
      <c r="AZ297" s="67"/>
      <c r="BA297" s="67"/>
      <c r="BB297" s="67"/>
      <c r="BC297" s="67"/>
      <c r="BD297" s="67"/>
      <c r="BE297" s="67"/>
      <c r="BF297" s="67"/>
      <c r="BG297" s="67"/>
      <c r="BH297" s="67"/>
      <c r="BI297" s="67"/>
      <c r="BJ297" s="67"/>
      <c r="BK297" s="67"/>
      <c r="BL297" s="67"/>
      <c r="BM297" s="67"/>
      <c r="BN297" s="67"/>
      <c r="BO297" s="67"/>
      <c r="BP297" s="67"/>
      <c r="BQ297" s="67"/>
      <c r="BR297" s="67"/>
    </row>
    <row r="298" spans="4:70">
      <c r="D298" s="67"/>
      <c r="E298" s="67"/>
      <c r="F298" s="67"/>
      <c r="G298" s="67"/>
      <c r="H298" s="67"/>
      <c r="I298" s="67"/>
      <c r="J298" s="67"/>
      <c r="K298" s="67"/>
      <c r="L298" s="67"/>
      <c r="M298" s="67"/>
      <c r="N298" s="67"/>
      <c r="O298" s="70"/>
      <c r="P298" s="67"/>
      <c r="Q298" s="67"/>
      <c r="R298" s="67"/>
      <c r="S298" s="67"/>
      <c r="T298" s="67"/>
      <c r="U298" s="67"/>
      <c r="V298" s="67"/>
      <c r="W298" s="67"/>
      <c r="X298" s="67"/>
      <c r="Y298" s="67"/>
      <c r="Z298" s="67"/>
      <c r="AA298" s="70"/>
      <c r="AB298" s="67"/>
      <c r="AC298" s="67"/>
      <c r="AD298" s="67"/>
      <c r="AE298" s="67"/>
      <c r="AF298" s="67"/>
      <c r="AG298" s="67"/>
      <c r="AH298" s="67"/>
      <c r="AI298" s="67"/>
      <c r="AJ298" s="67"/>
      <c r="AK298" s="67"/>
      <c r="AL298" s="67"/>
      <c r="AM298" s="67"/>
      <c r="AN298" s="67"/>
      <c r="AO298" s="67"/>
      <c r="AP298" s="67"/>
      <c r="AQ298" s="67"/>
      <c r="AR298" s="67"/>
      <c r="AS298" s="67"/>
      <c r="AT298" s="67"/>
      <c r="AU298" s="67"/>
      <c r="AV298" s="67"/>
      <c r="AW298" s="67"/>
      <c r="AX298" s="67"/>
      <c r="AY298" s="67"/>
      <c r="AZ298" s="67"/>
      <c r="BA298" s="67"/>
      <c r="BB298" s="67"/>
      <c r="BC298" s="67"/>
      <c r="BD298" s="67"/>
      <c r="BE298" s="67"/>
      <c r="BF298" s="67"/>
      <c r="BG298" s="67"/>
      <c r="BH298" s="67"/>
      <c r="BI298" s="67"/>
      <c r="BJ298" s="67"/>
      <c r="BK298" s="67"/>
      <c r="BL298" s="67"/>
      <c r="BM298" s="67"/>
      <c r="BN298" s="67"/>
      <c r="BO298" s="67"/>
      <c r="BP298" s="67"/>
      <c r="BQ298" s="67"/>
      <c r="BR298" s="67"/>
    </row>
    <row r="299" spans="4:70">
      <c r="D299" s="67"/>
      <c r="E299" s="67"/>
      <c r="F299" s="67"/>
      <c r="G299" s="67"/>
      <c r="H299" s="67"/>
      <c r="I299" s="67"/>
      <c r="J299" s="67"/>
      <c r="K299" s="67"/>
      <c r="L299" s="67"/>
      <c r="M299" s="67"/>
      <c r="N299" s="67"/>
      <c r="O299" s="70"/>
      <c r="P299" s="67"/>
      <c r="Q299" s="67"/>
      <c r="R299" s="67"/>
      <c r="S299" s="67"/>
      <c r="T299" s="67"/>
      <c r="U299" s="67"/>
      <c r="V299" s="67"/>
      <c r="W299" s="67"/>
      <c r="X299" s="67"/>
      <c r="Y299" s="67"/>
      <c r="Z299" s="67"/>
      <c r="AA299" s="70"/>
      <c r="AB299" s="67"/>
      <c r="AC299" s="67"/>
      <c r="AD299" s="67"/>
      <c r="AE299" s="67"/>
      <c r="AF299" s="67"/>
      <c r="AG299" s="67"/>
      <c r="AH299" s="67"/>
      <c r="AI299" s="67"/>
      <c r="AJ299" s="67"/>
      <c r="AK299" s="67"/>
      <c r="AL299" s="67"/>
      <c r="AM299" s="67"/>
      <c r="AN299" s="67"/>
      <c r="AO299" s="67"/>
      <c r="AP299" s="67"/>
      <c r="AQ299" s="67"/>
      <c r="AR299" s="67"/>
      <c r="AS299" s="67"/>
      <c r="AT299" s="67"/>
      <c r="AU299" s="67"/>
      <c r="AV299" s="67"/>
      <c r="AW299" s="67"/>
      <c r="AX299" s="67"/>
      <c r="AY299" s="67"/>
      <c r="AZ299" s="67"/>
      <c r="BA299" s="67"/>
      <c r="BB299" s="67"/>
      <c r="BC299" s="67"/>
      <c r="BD299" s="67"/>
      <c r="BE299" s="67"/>
      <c r="BF299" s="67"/>
      <c r="BG299" s="67"/>
      <c r="BH299" s="67"/>
      <c r="BI299" s="67"/>
      <c r="BJ299" s="67"/>
      <c r="BK299" s="67"/>
      <c r="BL299" s="67"/>
      <c r="BM299" s="67"/>
      <c r="BN299" s="67"/>
      <c r="BO299" s="67"/>
      <c r="BP299" s="67"/>
      <c r="BQ299" s="67"/>
      <c r="BR299" s="67"/>
    </row>
    <row r="300" spans="4:70">
      <c r="D300" s="67"/>
      <c r="E300" s="67"/>
      <c r="F300" s="67"/>
      <c r="G300" s="67"/>
      <c r="H300" s="67"/>
      <c r="I300" s="67"/>
      <c r="J300" s="67"/>
      <c r="K300" s="67"/>
      <c r="L300" s="67"/>
      <c r="M300" s="67"/>
      <c r="N300" s="67"/>
      <c r="O300" s="70"/>
      <c r="P300" s="67"/>
      <c r="Q300" s="67"/>
      <c r="R300" s="67"/>
      <c r="S300" s="67"/>
      <c r="T300" s="67"/>
      <c r="U300" s="67"/>
      <c r="V300" s="67"/>
      <c r="W300" s="67"/>
      <c r="X300" s="67"/>
      <c r="Y300" s="67"/>
      <c r="Z300" s="67"/>
      <c r="AA300" s="70"/>
      <c r="AB300" s="67"/>
      <c r="AC300" s="67"/>
      <c r="AD300" s="67"/>
      <c r="AE300" s="67"/>
      <c r="AF300" s="67"/>
      <c r="AG300" s="67"/>
      <c r="AH300" s="67"/>
      <c r="AI300" s="67"/>
      <c r="AJ300" s="67"/>
      <c r="AK300" s="67"/>
      <c r="AL300" s="67"/>
      <c r="AM300" s="67"/>
      <c r="AN300" s="67"/>
      <c r="AO300" s="67"/>
      <c r="AP300" s="67"/>
      <c r="AQ300" s="67"/>
      <c r="AR300" s="67"/>
      <c r="AS300" s="67"/>
      <c r="AT300" s="67"/>
      <c r="AU300" s="67"/>
      <c r="AV300" s="67"/>
      <c r="AW300" s="67"/>
      <c r="AX300" s="67"/>
      <c r="AY300" s="67"/>
      <c r="AZ300" s="67"/>
      <c r="BA300" s="67"/>
      <c r="BB300" s="67"/>
      <c r="BC300" s="67"/>
      <c r="BD300" s="67"/>
      <c r="BE300" s="67"/>
      <c r="BF300" s="67"/>
      <c r="BG300" s="67"/>
      <c r="BH300" s="67"/>
      <c r="BI300" s="67"/>
      <c r="BJ300" s="67"/>
      <c r="BK300" s="67"/>
      <c r="BL300" s="67"/>
      <c r="BM300" s="67"/>
      <c r="BN300" s="67"/>
      <c r="BO300" s="67"/>
      <c r="BP300" s="67"/>
      <c r="BQ300" s="67"/>
      <c r="BR300" s="67"/>
    </row>
    <row r="301" spans="4:70">
      <c r="D301" s="67"/>
      <c r="E301" s="67"/>
      <c r="F301" s="67"/>
      <c r="G301" s="67"/>
      <c r="H301" s="67"/>
      <c r="I301" s="67"/>
      <c r="J301" s="67"/>
      <c r="K301" s="67"/>
      <c r="L301" s="67"/>
      <c r="M301" s="67"/>
      <c r="N301" s="67"/>
      <c r="O301" s="70"/>
      <c r="P301" s="67"/>
      <c r="Q301" s="67"/>
      <c r="R301" s="67"/>
      <c r="S301" s="67"/>
      <c r="T301" s="67"/>
      <c r="U301" s="67"/>
      <c r="V301" s="67"/>
      <c r="W301" s="67"/>
      <c r="X301" s="67"/>
      <c r="Y301" s="67"/>
      <c r="Z301" s="67"/>
      <c r="AA301" s="70"/>
      <c r="AB301" s="67"/>
      <c r="AC301" s="67"/>
      <c r="AD301" s="67"/>
      <c r="AE301" s="67"/>
      <c r="AF301" s="67"/>
      <c r="AG301" s="67"/>
      <c r="AH301" s="67"/>
      <c r="AI301" s="67"/>
      <c r="AJ301" s="67"/>
      <c r="AK301" s="67"/>
      <c r="AL301" s="67"/>
      <c r="AM301" s="67"/>
      <c r="AN301" s="67"/>
      <c r="AO301" s="67"/>
      <c r="AP301" s="67"/>
      <c r="AQ301" s="67"/>
      <c r="AR301" s="67"/>
      <c r="AS301" s="67"/>
      <c r="AT301" s="67"/>
      <c r="AU301" s="67"/>
      <c r="AV301" s="67"/>
      <c r="AW301" s="67"/>
      <c r="AX301" s="67"/>
      <c r="AY301" s="67"/>
      <c r="AZ301" s="67"/>
      <c r="BA301" s="67"/>
      <c r="BB301" s="67"/>
      <c r="BC301" s="67"/>
      <c r="BD301" s="67"/>
      <c r="BE301" s="67"/>
      <c r="BF301" s="67"/>
      <c r="BG301" s="67"/>
      <c r="BH301" s="67"/>
      <c r="BI301" s="67"/>
      <c r="BJ301" s="67"/>
      <c r="BK301" s="67"/>
      <c r="BL301" s="67"/>
      <c r="BM301" s="67"/>
      <c r="BN301" s="67"/>
      <c r="BO301" s="67"/>
      <c r="BP301" s="67"/>
      <c r="BQ301" s="67"/>
      <c r="BR301" s="67"/>
    </row>
    <row r="302" spans="4:70">
      <c r="D302" s="67"/>
      <c r="E302" s="67"/>
      <c r="F302" s="67"/>
      <c r="G302" s="67"/>
      <c r="H302" s="67"/>
      <c r="I302" s="67"/>
      <c r="J302" s="67"/>
      <c r="K302" s="67"/>
      <c r="L302" s="67"/>
      <c r="M302" s="67"/>
      <c r="N302" s="67"/>
      <c r="O302" s="70"/>
      <c r="P302" s="67"/>
      <c r="Q302" s="67"/>
      <c r="R302" s="67"/>
      <c r="S302" s="67"/>
      <c r="T302" s="67"/>
      <c r="U302" s="67"/>
      <c r="V302" s="67"/>
      <c r="W302" s="67"/>
      <c r="X302" s="67"/>
      <c r="Y302" s="67"/>
      <c r="Z302" s="67"/>
      <c r="AA302" s="70"/>
      <c r="AB302" s="67"/>
      <c r="AC302" s="67"/>
      <c r="AD302" s="67"/>
      <c r="AE302" s="67"/>
      <c r="AF302" s="67"/>
      <c r="AG302" s="67"/>
      <c r="AH302" s="67"/>
      <c r="AI302" s="67"/>
      <c r="AJ302" s="67"/>
      <c r="AK302" s="67"/>
      <c r="AL302" s="67"/>
      <c r="AM302" s="67"/>
      <c r="AN302" s="67"/>
      <c r="AO302" s="67"/>
      <c r="AP302" s="67"/>
      <c r="AQ302" s="67"/>
      <c r="AR302" s="67"/>
      <c r="AS302" s="67"/>
      <c r="AT302" s="67"/>
      <c r="AU302" s="67"/>
      <c r="AV302" s="67"/>
      <c r="AW302" s="67"/>
      <c r="AX302" s="67"/>
      <c r="AY302" s="67"/>
      <c r="AZ302" s="67"/>
      <c r="BA302" s="67"/>
      <c r="BB302" s="67"/>
      <c r="BC302" s="67"/>
      <c r="BD302" s="67"/>
      <c r="BE302" s="67"/>
      <c r="BF302" s="67"/>
      <c r="BG302" s="67"/>
      <c r="BH302" s="67"/>
      <c r="BI302" s="67"/>
      <c r="BJ302" s="67"/>
      <c r="BK302" s="67"/>
      <c r="BL302" s="67"/>
      <c r="BM302" s="67"/>
      <c r="BN302" s="67"/>
      <c r="BO302" s="67"/>
      <c r="BP302" s="67"/>
      <c r="BQ302" s="67"/>
      <c r="BR302" s="67"/>
    </row>
    <row r="303" spans="4:70">
      <c r="D303" s="67"/>
      <c r="E303" s="67"/>
      <c r="F303" s="67"/>
      <c r="G303" s="67"/>
      <c r="H303" s="67"/>
      <c r="I303" s="67"/>
      <c r="J303" s="67"/>
      <c r="K303" s="67"/>
      <c r="L303" s="67"/>
      <c r="M303" s="67"/>
      <c r="N303" s="67"/>
      <c r="O303" s="70"/>
      <c r="P303" s="67"/>
      <c r="Q303" s="67"/>
      <c r="R303" s="67"/>
      <c r="S303" s="67"/>
      <c r="T303" s="67"/>
      <c r="U303" s="67"/>
      <c r="V303" s="67"/>
      <c r="W303" s="67"/>
      <c r="X303" s="67"/>
      <c r="Y303" s="67"/>
      <c r="Z303" s="67"/>
      <c r="AA303" s="70"/>
      <c r="AB303" s="67"/>
      <c r="AC303" s="67"/>
      <c r="AD303" s="67"/>
      <c r="AE303" s="67"/>
      <c r="AF303" s="67"/>
      <c r="AG303" s="67"/>
      <c r="AH303" s="67"/>
      <c r="AI303" s="67"/>
      <c r="AJ303" s="67"/>
      <c r="AK303" s="67"/>
      <c r="AL303" s="67"/>
      <c r="AM303" s="67"/>
      <c r="AN303" s="67"/>
      <c r="AO303" s="67"/>
      <c r="AP303" s="67"/>
      <c r="AQ303" s="67"/>
      <c r="AR303" s="67"/>
      <c r="AS303" s="67"/>
      <c r="AT303" s="67"/>
      <c r="AU303" s="67"/>
      <c r="AV303" s="67"/>
      <c r="AW303" s="67"/>
      <c r="AX303" s="67"/>
      <c r="AY303" s="67"/>
      <c r="AZ303" s="67"/>
      <c r="BA303" s="67"/>
      <c r="BB303" s="67"/>
      <c r="BC303" s="67"/>
      <c r="BD303" s="67"/>
      <c r="BE303" s="67"/>
      <c r="BF303" s="67"/>
      <c r="BG303" s="67"/>
      <c r="BH303" s="67"/>
      <c r="BI303" s="67"/>
      <c r="BJ303" s="67"/>
      <c r="BK303" s="67"/>
      <c r="BL303" s="67"/>
      <c r="BM303" s="67"/>
      <c r="BN303" s="67"/>
      <c r="BO303" s="67"/>
      <c r="BP303" s="67"/>
      <c r="BQ303" s="67"/>
      <c r="BR303" s="67"/>
    </row>
    <row r="1050" spans="1:1">
      <c r="A1050" s="6">
        <v>30217</v>
      </c>
    </row>
  </sheetData>
  <sheetProtection formatCells="0" formatColumns="0" formatRows="0" insertColumns="0" insertRows="0" insertHyperlinks="0" deleteColumns="0" deleteRows="0" sort="0" autoFilter="0" pivotTables="0"/>
  <mergeCells count="2">
    <mergeCell ref="B9:F9"/>
    <mergeCell ref="E94:F94"/>
  </mergeCells>
  <pageMargins left="0.75000000000000011" right="0.75000000000000011" top="1" bottom="1" header="0.5" footer="0.5"/>
  <pageSetup paperSize="9" orientation="portrait" horizontalDpi="4294967292" verticalDpi="4294967292" r:id="rId1"/>
  <rowBreaks count="1" manualBreakCount="1">
    <brk id="95" max="38" man="1"/>
  </rowBreaks>
  <colBreaks count="3" manualBreakCount="3">
    <brk id="15" max="1048575" man="1"/>
    <brk id="27" max="1048575" man="1"/>
    <brk id="39" max="1048575" man="1"/>
  </colBreaks>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9CDED-3E86-0646-A65A-32AAF6694D58}">
  <sheetPr codeName="Sheet9">
    <tabColor theme="5" tint="0.59999389629810485"/>
  </sheetPr>
  <dimension ref="B1:Q296"/>
  <sheetViews>
    <sheetView showGridLines="0" zoomScale="63" zoomScaleNormal="130" workbookViewId="0">
      <selection activeCell="A2" sqref="A1:A2"/>
    </sheetView>
  </sheetViews>
  <sheetFormatPr defaultColWidth="11.19921875" defaultRowHeight="15.6"/>
  <cols>
    <col min="1" max="1" width="4.796875" customWidth="1"/>
    <col min="2" max="2" width="15.296875" customWidth="1"/>
    <col min="3" max="3" width="12.296875" customWidth="1"/>
  </cols>
  <sheetData>
    <row r="1" spans="2:17" s="285" customFormat="1"/>
    <row r="2" spans="2:17" s="286" customFormat="1" ht="28.8">
      <c r="B2" s="286" t="s">
        <v>247</v>
      </c>
    </row>
    <row r="3" spans="2:17" s="286" customFormat="1" ht="13.95" customHeight="1"/>
    <row r="4" spans="2:17" s="286" customFormat="1" ht="28.8">
      <c r="B4" s="286" t="s">
        <v>267</v>
      </c>
      <c r="C4" s="287" t="str">
        <f>'COPYRIGHT PROTECTION'!C14</f>
        <v>2023.2</v>
      </c>
    </row>
    <row r="5" spans="2:17" s="285" customFormat="1">
      <c r="B5" s="288"/>
      <c r="C5" s="289"/>
      <c r="D5" s="289"/>
      <c r="E5" s="289"/>
      <c r="F5" s="289"/>
      <c r="G5" s="289"/>
      <c r="H5" s="289"/>
      <c r="I5" s="289"/>
      <c r="J5" s="289"/>
      <c r="K5" s="289"/>
      <c r="L5" s="289"/>
      <c r="M5" s="289"/>
    </row>
    <row r="6" spans="2:17" s="2" customFormat="1" ht="18">
      <c r="B6" s="5"/>
      <c r="C6"/>
      <c r="D6"/>
      <c r="E6"/>
      <c r="F6"/>
      <c r="G6"/>
      <c r="H6"/>
      <c r="I6"/>
      <c r="J6"/>
      <c r="K6"/>
      <c r="L6"/>
      <c r="M6"/>
      <c r="N6"/>
      <c r="O6"/>
      <c r="P6"/>
      <c r="Q6"/>
    </row>
    <row r="7" spans="2:17" ht="18">
      <c r="B7" s="5"/>
    </row>
    <row r="8" spans="2:17" ht="18">
      <c r="B8" s="5"/>
    </row>
    <row r="9" spans="2:17" ht="18">
      <c r="B9" s="5"/>
    </row>
    <row r="10" spans="2:17" ht="18">
      <c r="B10" s="5"/>
    </row>
    <row r="11" spans="2:17" ht="18">
      <c r="B11" s="5"/>
    </row>
    <row r="12" spans="2:17" ht="18">
      <c r="B12" s="5"/>
    </row>
    <row r="13" spans="2:17" ht="18">
      <c r="B13" s="5"/>
    </row>
    <row r="14" spans="2:17" ht="18">
      <c r="B14" s="5"/>
    </row>
    <row r="15" spans="2:17" s="3" customFormat="1" ht="18">
      <c r="B15" s="5"/>
      <c r="C15" s="1"/>
      <c r="D15" s="1"/>
      <c r="E15" s="1"/>
      <c r="F15" s="1"/>
      <c r="G15" s="1"/>
      <c r="H15" s="1"/>
      <c r="I15" s="1"/>
      <c r="J15" s="1"/>
      <c r="K15" s="1"/>
      <c r="L15" s="1"/>
      <c r="M15" s="1"/>
      <c r="N15" s="1"/>
      <c r="O15" s="1"/>
      <c r="P15" s="1"/>
      <c r="Q15" s="1"/>
    </row>
    <row r="17" spans="2:2" s="285" customFormat="1"/>
    <row r="18" spans="2:2" s="286" customFormat="1" ht="24" customHeight="1">
      <c r="B18" s="286" t="s">
        <v>296</v>
      </c>
    </row>
    <row r="19" spans="2:2" s="285" customFormat="1"/>
    <row r="20" spans="2:2" s="285" customFormat="1"/>
    <row r="21" spans="2:2" s="285" customFormat="1"/>
    <row r="22" spans="2:2" s="285" customFormat="1"/>
    <row r="23" spans="2:2" s="285" customFormat="1"/>
    <row r="24" spans="2:2" s="285" customFormat="1"/>
    <row r="25" spans="2:2" s="285" customFormat="1"/>
    <row r="26" spans="2:2" s="285" customFormat="1"/>
    <row r="27" spans="2:2" s="285" customFormat="1"/>
    <row r="28" spans="2:2" s="285" customFormat="1"/>
    <row r="29" spans="2:2" s="285" customFormat="1"/>
    <row r="30" spans="2:2" s="285" customFormat="1"/>
    <row r="31" spans="2:2" s="285" customFormat="1"/>
    <row r="32" spans="2:2" s="285" customFormat="1"/>
    <row r="33" s="285" customFormat="1"/>
    <row r="34" s="285" customFormat="1"/>
    <row r="35" s="285" customFormat="1"/>
    <row r="36" s="285" customFormat="1"/>
    <row r="37" s="285" customFormat="1"/>
    <row r="38" s="285" customFormat="1"/>
    <row r="39" s="285" customFormat="1"/>
    <row r="40" s="285" customFormat="1"/>
    <row r="41" s="285" customFormat="1"/>
    <row r="42" s="285" customFormat="1"/>
    <row r="43" s="285" customFormat="1"/>
    <row r="44" s="285" customFormat="1"/>
    <row r="45" s="285" customFormat="1"/>
    <row r="46" s="285" customFormat="1"/>
    <row r="47" s="285" customFormat="1"/>
    <row r="48" s="285" customFormat="1"/>
    <row r="49" s="285" customFormat="1"/>
    <row r="50" s="285" customFormat="1"/>
    <row r="51" s="285" customFormat="1"/>
    <row r="52" s="285" customFormat="1"/>
    <row r="53" s="285" customFormat="1"/>
    <row r="54" s="285" customFormat="1"/>
    <row r="55" s="285" customFormat="1"/>
    <row r="56" s="285" customFormat="1"/>
    <row r="57" s="285" customFormat="1"/>
    <row r="58" s="285" customFormat="1"/>
    <row r="59" s="285" customFormat="1"/>
    <row r="60" s="285" customFormat="1"/>
    <row r="61" s="285" customFormat="1"/>
    <row r="62" s="285" customFormat="1"/>
    <row r="63" s="285" customFormat="1"/>
    <row r="64" s="285" customFormat="1"/>
    <row r="65" s="285" customFormat="1"/>
    <row r="66" s="285" customFormat="1"/>
    <row r="67" s="285" customFormat="1"/>
    <row r="68" s="285" customFormat="1"/>
    <row r="69" s="285" customFormat="1"/>
    <row r="70" s="285" customFormat="1"/>
    <row r="71" s="285" customFormat="1"/>
    <row r="72" s="285" customFormat="1"/>
    <row r="73" s="285" customFormat="1"/>
    <row r="74" s="285" customFormat="1"/>
    <row r="75" s="285" customFormat="1"/>
    <row r="76" s="285" customFormat="1"/>
    <row r="77" s="285" customFormat="1"/>
    <row r="78" s="285" customFormat="1"/>
    <row r="79" s="285" customFormat="1"/>
    <row r="80" s="285" customFormat="1"/>
    <row r="81" s="285" customFormat="1"/>
    <row r="82" s="285" customFormat="1"/>
    <row r="83" s="285" customFormat="1"/>
    <row r="84" s="285" customFormat="1"/>
    <row r="85" s="285" customFormat="1"/>
    <row r="86" s="285" customFormat="1"/>
    <row r="87" s="285" customFormat="1"/>
    <row r="88" s="285" customFormat="1"/>
    <row r="89" s="285" customFormat="1"/>
    <row r="90" s="285" customFormat="1"/>
    <row r="91" s="285" customFormat="1"/>
    <row r="92" s="285" customFormat="1"/>
    <row r="93" s="285" customFormat="1"/>
    <row r="94" s="285" customFormat="1"/>
    <row r="95" s="285" customFormat="1"/>
    <row r="96" s="285" customFormat="1"/>
    <row r="97" s="285" customFormat="1"/>
    <row r="98" s="285" customFormat="1"/>
    <row r="99" s="285" customFormat="1"/>
    <row r="100" s="285" customFormat="1"/>
    <row r="101" s="285" customFormat="1"/>
    <row r="102" s="285" customFormat="1"/>
    <row r="103" s="285" customFormat="1"/>
    <row r="104" s="285" customFormat="1"/>
    <row r="105" s="285" customFormat="1"/>
    <row r="106" s="285" customFormat="1"/>
    <row r="107" s="285" customFormat="1"/>
    <row r="108" s="285" customFormat="1"/>
    <row r="109" s="285" customFormat="1"/>
    <row r="110" s="285" customFormat="1"/>
    <row r="111" s="285" customFormat="1"/>
    <row r="112" s="285" customFormat="1"/>
    <row r="113" s="285" customFormat="1"/>
    <row r="114" s="285" customFormat="1"/>
    <row r="115" s="285" customFormat="1"/>
    <row r="116" s="285" customFormat="1"/>
    <row r="117" s="285" customFormat="1"/>
    <row r="118" s="285" customFormat="1"/>
    <row r="119" s="285" customFormat="1"/>
    <row r="120" s="285" customFormat="1"/>
    <row r="121" s="285" customFormat="1"/>
    <row r="122" s="285" customFormat="1"/>
    <row r="123" s="285" customFormat="1"/>
    <row r="124" s="285" customFormat="1"/>
    <row r="125" s="285" customFormat="1"/>
    <row r="126" s="285" customFormat="1"/>
    <row r="127" s="285" customFormat="1"/>
    <row r="128" s="285" customFormat="1"/>
    <row r="129" s="285" customFormat="1"/>
    <row r="130" s="285" customFormat="1"/>
    <row r="131" s="285" customFormat="1"/>
    <row r="132" s="285" customFormat="1"/>
    <row r="133" s="285" customFormat="1"/>
    <row r="134" s="285" customFormat="1"/>
    <row r="135" s="285" customFormat="1"/>
    <row r="136" s="285" customFormat="1"/>
    <row r="137" s="285" customFormat="1"/>
    <row r="138" s="285" customFormat="1"/>
    <row r="139" s="285" customFormat="1"/>
    <row r="140" s="285" customFormat="1"/>
    <row r="141" s="285" customFormat="1"/>
    <row r="142" s="285" customFormat="1"/>
    <row r="143" s="285" customFormat="1"/>
    <row r="144" s="285" customFormat="1"/>
    <row r="145" s="285" customFormat="1"/>
    <row r="146" s="285" customFormat="1"/>
    <row r="147" s="285" customFormat="1"/>
    <row r="148" s="285" customFormat="1"/>
    <row r="149" s="285" customFormat="1"/>
    <row r="150" s="285" customFormat="1"/>
    <row r="151" s="285" customFormat="1"/>
    <row r="152" s="285" customFormat="1"/>
    <row r="153" s="285" customFormat="1"/>
    <row r="154" s="285" customFormat="1"/>
    <row r="155" s="285" customFormat="1"/>
    <row r="156" s="285" customFormat="1"/>
    <row r="157" s="285" customFormat="1"/>
    <row r="158" s="285" customFormat="1"/>
    <row r="159" s="285" customFormat="1"/>
    <row r="160" s="285" customFormat="1"/>
    <row r="161" s="285" customFormat="1"/>
    <row r="162" s="285" customFormat="1"/>
    <row r="163" s="285" customFormat="1"/>
    <row r="164" s="285" customFormat="1"/>
    <row r="165" s="285" customFormat="1"/>
    <row r="166" s="285" customFormat="1"/>
    <row r="167" s="285" customFormat="1"/>
    <row r="168" s="285" customFormat="1"/>
    <row r="169" s="285" customFormat="1"/>
    <row r="170" s="285" customFormat="1"/>
    <row r="171" s="285" customFormat="1"/>
    <row r="172" s="285" customFormat="1"/>
    <row r="173" s="285" customFormat="1"/>
    <row r="174" s="285" customFormat="1"/>
    <row r="175" s="285" customFormat="1"/>
    <row r="176" s="285" customFormat="1"/>
    <row r="177" s="285" customFormat="1"/>
    <row r="178" s="285" customFormat="1"/>
    <row r="179" s="285" customFormat="1"/>
    <row r="180" s="285" customFormat="1"/>
    <row r="181" s="285" customFormat="1"/>
    <row r="182" s="285" customFormat="1"/>
    <row r="183" s="285" customFormat="1"/>
    <row r="184" s="285" customFormat="1"/>
    <row r="185" s="285" customFormat="1"/>
    <row r="186" s="285" customFormat="1"/>
    <row r="187" s="285" customFormat="1"/>
    <row r="188" s="285" customFormat="1"/>
    <row r="189" s="285" customFormat="1"/>
    <row r="190" s="285" customFormat="1"/>
    <row r="191" s="285" customFormat="1"/>
    <row r="192" s="285" customFormat="1"/>
    <row r="193" s="285" customFormat="1"/>
    <row r="194" s="285" customFormat="1"/>
    <row r="195" s="285" customFormat="1"/>
    <row r="196" s="285" customFormat="1"/>
    <row r="197" s="285" customFormat="1"/>
    <row r="198" s="285" customFormat="1"/>
    <row r="199" s="285" customFormat="1"/>
    <row r="200" s="285" customFormat="1"/>
    <row r="201" s="285" customFormat="1"/>
    <row r="202" s="285" customFormat="1"/>
    <row r="203" s="285" customFormat="1"/>
    <row r="204" s="285" customFormat="1"/>
    <row r="205" s="285" customFormat="1"/>
    <row r="206" s="285" customFormat="1"/>
    <row r="207" s="285" customFormat="1"/>
    <row r="208" s="285" customFormat="1"/>
    <row r="209" s="285" customFormat="1"/>
    <row r="210" s="285" customFormat="1"/>
    <row r="211" s="285" customFormat="1"/>
    <row r="212" s="285" customFormat="1"/>
    <row r="213" s="285" customFormat="1"/>
    <row r="214" s="285" customFormat="1"/>
    <row r="215" s="285" customFormat="1"/>
    <row r="216" s="285" customFormat="1"/>
    <row r="217" s="285" customFormat="1"/>
    <row r="218" s="285" customFormat="1"/>
    <row r="219" s="285" customFormat="1"/>
    <row r="220" s="285" customFormat="1"/>
    <row r="221" s="285" customFormat="1"/>
    <row r="222" s="285" customFormat="1"/>
    <row r="223" s="285" customFormat="1"/>
    <row r="224" s="285" customFormat="1"/>
    <row r="225" s="285" customFormat="1"/>
    <row r="226" s="285" customFormat="1"/>
    <row r="227" s="285" customFormat="1"/>
    <row r="228" s="285" customFormat="1"/>
    <row r="229" s="285" customFormat="1"/>
    <row r="230" s="285" customFormat="1"/>
    <row r="231" s="285" customFormat="1"/>
    <row r="232" s="285" customFormat="1"/>
    <row r="233" s="285" customFormat="1"/>
    <row r="234" s="285" customFormat="1"/>
    <row r="235" s="285" customFormat="1"/>
    <row r="236" s="285" customFormat="1"/>
    <row r="237" s="285" customFormat="1"/>
    <row r="238" s="285" customFormat="1"/>
    <row r="239" s="285" customFormat="1"/>
    <row r="240" s="285" customFormat="1"/>
    <row r="241" s="285" customFormat="1"/>
    <row r="242" s="285" customFormat="1"/>
    <row r="243" s="285" customFormat="1"/>
    <row r="244" s="285" customFormat="1"/>
    <row r="245" s="285" customFormat="1"/>
    <row r="246" s="285" customFormat="1"/>
    <row r="247" s="285" customFormat="1"/>
    <row r="248" s="285" customFormat="1"/>
    <row r="249" s="285" customFormat="1"/>
    <row r="250" s="285" customFormat="1"/>
    <row r="251" s="285" customFormat="1"/>
    <row r="252" s="285" customFormat="1"/>
    <row r="253" s="285" customFormat="1"/>
    <row r="254" s="285" customFormat="1"/>
    <row r="255" s="285" customFormat="1"/>
    <row r="256" s="285" customFormat="1"/>
    <row r="257" s="285" customFormat="1"/>
    <row r="258" s="285" customFormat="1"/>
    <row r="259" s="285" customFormat="1"/>
    <row r="260" s="285" customFormat="1"/>
    <row r="261" s="285" customFormat="1"/>
    <row r="262" s="285" customFormat="1"/>
    <row r="263" s="285" customFormat="1"/>
    <row r="264" s="285" customFormat="1"/>
    <row r="265" s="285" customFormat="1"/>
    <row r="266" s="285" customFormat="1"/>
    <row r="267" s="285" customFormat="1"/>
    <row r="268" s="285" customFormat="1"/>
    <row r="269" s="285" customFormat="1"/>
    <row r="270" s="285" customFormat="1"/>
    <row r="271" s="285" customFormat="1"/>
    <row r="272" s="285" customFormat="1"/>
    <row r="273" s="285" customFormat="1"/>
    <row r="274" s="285" customFormat="1"/>
    <row r="275" s="285" customFormat="1"/>
    <row r="276" s="285" customFormat="1"/>
    <row r="277" s="285" customFormat="1"/>
    <row r="278" s="285" customFormat="1"/>
    <row r="279" s="285" customFormat="1"/>
    <row r="280" s="285" customFormat="1"/>
    <row r="281" s="285" customFormat="1"/>
    <row r="282" s="285" customFormat="1"/>
    <row r="283" s="285" customFormat="1"/>
    <row r="284" s="285" customFormat="1"/>
    <row r="285" s="285" customFormat="1"/>
    <row r="286" s="285" customFormat="1"/>
    <row r="287" s="285" customFormat="1"/>
    <row r="288" s="285" customFormat="1"/>
    <row r="289" s="285" customFormat="1"/>
    <row r="290" s="285" customFormat="1"/>
    <row r="291" s="285" customFormat="1"/>
    <row r="292" s="285" customFormat="1"/>
    <row r="293" s="285" customFormat="1"/>
    <row r="294" s="285" customFormat="1"/>
    <row r="295" s="285" customFormat="1"/>
    <row r="296" s="285" customFormat="1"/>
  </sheetData>
  <sheetProtection algorithmName="SHA-512" hashValue="e6i6I2teDFO6nYm/pMhGbleT35axpbP4Un8g4Ijl1HY78/uO8AMLgAConWPI7kF7rQukfG9348Kf5Zqhyi1x9g==" saltValue="PAkPtL/rLM9ZEYKpF6uKNg==" spinCount="100000" sheet="1" scenarios="1" selectLockedCells="1" selectUnlockedCells="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tabColor theme="3" tint="-0.249977111117893"/>
  </sheetPr>
  <dimension ref="A1:BR806"/>
  <sheetViews>
    <sheetView topLeftCell="A64" zoomScale="113" zoomScaleNormal="120" zoomScalePageLayoutView="120" workbookViewId="0">
      <selection activeCell="K96" sqref="K96"/>
    </sheetView>
  </sheetViews>
  <sheetFormatPr defaultColWidth="10" defaultRowHeight="15.6" outlineLevelRow="1"/>
  <cols>
    <col min="1" max="1" width="10.796875" style="19" customWidth="1"/>
    <col min="2" max="2" width="35" style="18" customWidth="1"/>
    <col min="3" max="3" width="5.19921875" style="19" customWidth="1"/>
    <col min="4" max="4" width="11.296875" style="19" customWidth="1"/>
    <col min="5" max="5" width="10.69921875" style="19" customWidth="1"/>
    <col min="6" max="15" width="10.19921875" style="19" customWidth="1"/>
    <col min="16" max="16" width="10.19921875" style="268" customWidth="1"/>
    <col min="17" max="27" width="10.19921875" style="19" customWidth="1"/>
    <col min="28" max="28" width="10.19921875" style="268" customWidth="1"/>
    <col min="29" max="39" width="10.19921875" style="19" customWidth="1"/>
    <col min="40" max="16384" width="10" style="19"/>
  </cols>
  <sheetData>
    <row r="1" spans="1:39">
      <c r="A1" s="27" t="str">
        <f>"v"&amp;'COPYRIGHT PROTECTION'!C14&amp;"     "&amp;'COPYRIGHT PROTECTION'!C6</f>
        <v xml:space="preserve">v2023.2     © Simon Hulme and Chris Drew, 2011-2023     IF PART OF AN ACADEMIC ASSIGNMENT, PLEASE DO NOT DELETE THIS SINGLE LINE.  DELETING IT MAY INVALIDATE YOUR SUBMISSION. </v>
      </c>
    </row>
    <row r="2" spans="1:39" s="246" customFormat="1" ht="28.8">
      <c r="B2" s="247" t="s">
        <v>225</v>
      </c>
      <c r="P2" s="275"/>
      <c r="AB2" s="275"/>
    </row>
    <row r="4" spans="1:39" s="67" customFormat="1">
      <c r="B4" s="18"/>
      <c r="O4" s="68"/>
      <c r="P4" s="264"/>
      <c r="Q4" s="72"/>
      <c r="R4" s="72"/>
      <c r="S4" s="72"/>
      <c r="T4" s="72"/>
      <c r="U4" s="72"/>
      <c r="V4" s="72"/>
      <c r="W4" s="72"/>
      <c r="X4" s="72"/>
      <c r="Y4" s="72"/>
      <c r="Z4" s="72"/>
      <c r="AA4" s="71"/>
      <c r="AB4" s="264"/>
    </row>
    <row r="5" spans="1:39" s="248" customFormat="1" ht="25.8">
      <c r="B5" s="249" t="s">
        <v>223</v>
      </c>
      <c r="C5" s="250"/>
      <c r="O5" s="251"/>
      <c r="P5" s="276"/>
      <c r="AA5" s="251"/>
      <c r="AB5" s="276"/>
    </row>
    <row r="6" spans="1:39" s="168" customFormat="1">
      <c r="B6" s="57"/>
      <c r="C6" s="179"/>
      <c r="P6" s="265"/>
      <c r="AB6" s="265"/>
    </row>
    <row r="7" spans="1:39" s="24" customFormat="1">
      <c r="B7" s="23"/>
      <c r="C7" s="47" t="s">
        <v>33</v>
      </c>
      <c r="D7" s="34">
        <f>'Sales Forecast'!E22</f>
        <v>45292</v>
      </c>
      <c r="E7" s="34">
        <f>'Sales Forecast'!F22</f>
        <v>45323</v>
      </c>
      <c r="F7" s="34">
        <f>'Sales Forecast'!G22</f>
        <v>45352</v>
      </c>
      <c r="G7" s="34">
        <f>'Sales Forecast'!H22</f>
        <v>45383</v>
      </c>
      <c r="H7" s="34">
        <f>'Sales Forecast'!I22</f>
        <v>45413</v>
      </c>
      <c r="I7" s="34">
        <f>'Sales Forecast'!J22</f>
        <v>45444</v>
      </c>
      <c r="J7" s="34">
        <f>'Sales Forecast'!K22</f>
        <v>45474</v>
      </c>
      <c r="K7" s="34">
        <f>'Sales Forecast'!L22</f>
        <v>45505</v>
      </c>
      <c r="L7" s="34">
        <f>'Sales Forecast'!M22</f>
        <v>45536</v>
      </c>
      <c r="M7" s="34">
        <f>'Sales Forecast'!N22</f>
        <v>45566</v>
      </c>
      <c r="N7" s="34">
        <f>'Sales Forecast'!O22</f>
        <v>45597</v>
      </c>
      <c r="O7" s="34">
        <f>'Sales Forecast'!P22</f>
        <v>45627</v>
      </c>
      <c r="P7" s="266">
        <f>'Sales Forecast'!Q22</f>
        <v>45658</v>
      </c>
      <c r="Q7" s="34">
        <f>'Sales Forecast'!R22</f>
        <v>45689</v>
      </c>
      <c r="R7" s="34">
        <f>'Sales Forecast'!S22</f>
        <v>45717</v>
      </c>
      <c r="S7" s="34">
        <f>'Sales Forecast'!T22</f>
        <v>45748</v>
      </c>
      <c r="T7" s="34">
        <f>'Sales Forecast'!U22</f>
        <v>45778</v>
      </c>
      <c r="U7" s="34">
        <f>'Sales Forecast'!V22</f>
        <v>45809</v>
      </c>
      <c r="V7" s="34">
        <f>'Sales Forecast'!W22</f>
        <v>45839</v>
      </c>
      <c r="W7" s="34">
        <f>'Sales Forecast'!X22</f>
        <v>45870</v>
      </c>
      <c r="X7" s="34">
        <f>'Sales Forecast'!Y22</f>
        <v>45901</v>
      </c>
      <c r="Y7" s="34">
        <f>'Sales Forecast'!Z22</f>
        <v>45931</v>
      </c>
      <c r="Z7" s="34">
        <f>'Sales Forecast'!AA22</f>
        <v>45962</v>
      </c>
      <c r="AA7" s="34">
        <f>'Sales Forecast'!AB22</f>
        <v>45992</v>
      </c>
      <c r="AB7" s="266">
        <f>'Sales Forecast'!AC22</f>
        <v>46023</v>
      </c>
      <c r="AC7" s="34">
        <f>'Sales Forecast'!AD22</f>
        <v>46054</v>
      </c>
      <c r="AD7" s="34">
        <f>'Sales Forecast'!AE22</f>
        <v>46082</v>
      </c>
      <c r="AE7" s="34">
        <f>'Sales Forecast'!AF22</f>
        <v>46113</v>
      </c>
      <c r="AF7" s="34">
        <f>'Sales Forecast'!AG22</f>
        <v>46143</v>
      </c>
      <c r="AG7" s="34">
        <f>'Sales Forecast'!AH22</f>
        <v>46174</v>
      </c>
      <c r="AH7" s="34">
        <f>'Sales Forecast'!AI22</f>
        <v>46204</v>
      </c>
      <c r="AI7" s="34">
        <f>'Sales Forecast'!AJ22</f>
        <v>46235</v>
      </c>
      <c r="AJ7" s="34">
        <f>'Sales Forecast'!AK22</f>
        <v>46266</v>
      </c>
      <c r="AK7" s="34">
        <f>'Sales Forecast'!AL22</f>
        <v>46296</v>
      </c>
      <c r="AL7" s="34">
        <f>'Sales Forecast'!AM22</f>
        <v>46327</v>
      </c>
      <c r="AM7" s="34">
        <f>'Sales Forecast'!AN22</f>
        <v>46357.899999999994</v>
      </c>
    </row>
    <row r="8" spans="1:39" s="24" customFormat="1" hidden="1" outlineLevel="1">
      <c r="B8" s="23"/>
      <c r="C8" s="47"/>
      <c r="D8" s="145">
        <f>'Profit &amp; Loss Ecommerce'!D92</f>
        <v>1</v>
      </c>
      <c r="E8" s="145">
        <f>'Profit &amp; Loss Ecommerce'!E92</f>
        <v>2</v>
      </c>
      <c r="F8" s="145">
        <f>'Profit &amp; Loss Ecommerce'!F92</f>
        <v>3</v>
      </c>
      <c r="G8" s="145">
        <f>'Profit &amp; Loss Ecommerce'!G92</f>
        <v>4</v>
      </c>
      <c r="H8" s="145">
        <f>'Profit &amp; Loss Ecommerce'!H92</f>
        <v>5</v>
      </c>
      <c r="I8" s="145">
        <f>'Profit &amp; Loss Ecommerce'!I92</f>
        <v>6</v>
      </c>
      <c r="J8" s="145">
        <f>'Profit &amp; Loss Ecommerce'!J92</f>
        <v>7</v>
      </c>
      <c r="K8" s="145">
        <f>'Profit &amp; Loss Ecommerce'!K92</f>
        <v>8</v>
      </c>
      <c r="L8" s="145">
        <f>'Profit &amp; Loss Ecommerce'!L92</f>
        <v>9</v>
      </c>
      <c r="M8" s="145">
        <f>'Profit &amp; Loss Ecommerce'!M92</f>
        <v>10</v>
      </c>
      <c r="N8" s="145">
        <f>'Profit &amp; Loss Ecommerce'!N92</f>
        <v>11</v>
      </c>
      <c r="O8" s="262">
        <f>'Profit &amp; Loss Ecommerce'!O92</f>
        <v>12</v>
      </c>
      <c r="P8" s="267">
        <f>'Profit &amp; Loss Ecommerce'!P92</f>
        <v>13</v>
      </c>
      <c r="Q8" s="145">
        <f>'Profit &amp; Loss Ecommerce'!Q92</f>
        <v>14</v>
      </c>
      <c r="R8" s="145">
        <f>'Profit &amp; Loss Ecommerce'!R92</f>
        <v>15</v>
      </c>
      <c r="S8" s="145">
        <f>'Profit &amp; Loss Ecommerce'!S92</f>
        <v>16</v>
      </c>
      <c r="T8" s="145">
        <f>'Profit &amp; Loss Ecommerce'!T92</f>
        <v>17</v>
      </c>
      <c r="U8" s="145">
        <f>'Profit &amp; Loss Ecommerce'!U92</f>
        <v>18</v>
      </c>
      <c r="V8" s="145">
        <f>'Profit &amp; Loss Ecommerce'!V92</f>
        <v>19</v>
      </c>
      <c r="W8" s="145">
        <f>'Profit &amp; Loss Ecommerce'!W92</f>
        <v>20</v>
      </c>
      <c r="X8" s="145">
        <f>'Profit &amp; Loss Ecommerce'!X92</f>
        <v>21</v>
      </c>
      <c r="Y8" s="145">
        <f>'Profit &amp; Loss Ecommerce'!Y92</f>
        <v>22</v>
      </c>
      <c r="Z8" s="145">
        <f>'Profit &amp; Loss Ecommerce'!Z92</f>
        <v>23</v>
      </c>
      <c r="AA8" s="262">
        <f>'Profit &amp; Loss Ecommerce'!AA92</f>
        <v>24</v>
      </c>
      <c r="AB8" s="267">
        <f>'Profit &amp; Loss Ecommerce'!AB92</f>
        <v>25</v>
      </c>
      <c r="AC8" s="145">
        <f>'Profit &amp; Loss Ecommerce'!AC92</f>
        <v>26</v>
      </c>
      <c r="AD8" s="145">
        <f>'Profit &amp; Loss Ecommerce'!AD92</f>
        <v>27</v>
      </c>
      <c r="AE8" s="145">
        <f>'Profit &amp; Loss Ecommerce'!AE92</f>
        <v>28</v>
      </c>
      <c r="AF8" s="145">
        <f>'Profit &amp; Loss Ecommerce'!AF92</f>
        <v>29</v>
      </c>
      <c r="AG8" s="145">
        <f>'Profit &amp; Loss Ecommerce'!AG92</f>
        <v>30</v>
      </c>
      <c r="AH8" s="145">
        <f>'Profit &amp; Loss Ecommerce'!AH92</f>
        <v>31</v>
      </c>
      <c r="AI8" s="145">
        <f>'Profit &amp; Loss Ecommerce'!AI92</f>
        <v>32</v>
      </c>
      <c r="AJ8" s="145">
        <f>'Profit &amp; Loss Ecommerce'!AJ92</f>
        <v>33</v>
      </c>
      <c r="AK8" s="145">
        <f>'Profit &amp; Loss Ecommerce'!AK92</f>
        <v>34</v>
      </c>
      <c r="AL8" s="145">
        <f>'Profit &amp; Loss Ecommerce'!AL92</f>
        <v>35</v>
      </c>
      <c r="AM8" s="145">
        <f>'Profit &amp; Loss Ecommerce'!AM92</f>
        <v>36</v>
      </c>
    </row>
    <row r="9" spans="1:39" s="24" customFormat="1" collapsed="1">
      <c r="B9" s="23"/>
      <c r="C9" s="47"/>
      <c r="D9" s="34"/>
      <c r="E9" s="34"/>
      <c r="F9" s="34"/>
      <c r="G9" s="34"/>
      <c r="H9" s="34"/>
      <c r="I9" s="34"/>
      <c r="J9" s="34"/>
      <c r="K9" s="34"/>
      <c r="L9" s="34"/>
      <c r="M9" s="34"/>
      <c r="N9" s="34"/>
      <c r="O9" s="34"/>
      <c r="P9" s="266"/>
      <c r="Q9" s="34"/>
      <c r="R9" s="34"/>
      <c r="S9" s="34"/>
      <c r="T9" s="34"/>
      <c r="U9" s="34"/>
      <c r="V9" s="34"/>
      <c r="W9" s="34"/>
      <c r="X9" s="34"/>
      <c r="Y9" s="34"/>
      <c r="Z9" s="34"/>
      <c r="AA9" s="34"/>
      <c r="AB9" s="266"/>
      <c r="AC9" s="34"/>
      <c r="AD9" s="34"/>
      <c r="AE9" s="34"/>
      <c r="AF9" s="34"/>
      <c r="AG9" s="34"/>
      <c r="AH9" s="34"/>
      <c r="AI9" s="34"/>
      <c r="AJ9" s="34"/>
      <c r="AK9" s="34"/>
      <c r="AL9" s="34"/>
      <c r="AM9" s="34"/>
    </row>
    <row r="10" spans="1:39" s="67" customFormat="1">
      <c r="B10" s="18"/>
      <c r="C10" s="72"/>
      <c r="O10" s="68"/>
      <c r="P10" s="264"/>
      <c r="Q10" s="72"/>
      <c r="R10" s="72"/>
      <c r="S10" s="72"/>
      <c r="T10" s="72"/>
      <c r="U10" s="72"/>
      <c r="V10" s="72"/>
      <c r="W10" s="72"/>
      <c r="X10" s="72"/>
      <c r="Y10" s="72"/>
      <c r="Z10" s="72"/>
      <c r="AA10" s="71"/>
      <c r="AB10" s="264"/>
    </row>
    <row r="11" spans="1:39" s="252" customFormat="1">
      <c r="B11" s="253" t="s">
        <v>141</v>
      </c>
      <c r="O11" s="274"/>
      <c r="P11" s="277"/>
      <c r="AA11" s="274"/>
      <c r="AB11" s="277"/>
    </row>
    <row r="12" spans="1:39" s="67" customFormat="1">
      <c r="A12" s="19"/>
      <c r="B12" s="166"/>
      <c r="C12" s="19"/>
      <c r="O12" s="68"/>
      <c r="P12" s="264"/>
      <c r="Q12" s="72"/>
      <c r="R12" s="72"/>
      <c r="S12" s="72"/>
      <c r="T12" s="72"/>
      <c r="U12" s="72"/>
      <c r="V12" s="72"/>
      <c r="W12" s="72"/>
      <c r="X12" s="72"/>
      <c r="Y12" s="72"/>
      <c r="Z12" s="72"/>
      <c r="AA12" s="71"/>
      <c r="AB12" s="264"/>
    </row>
    <row r="13" spans="1:39" s="67" customFormat="1">
      <c r="A13" s="19"/>
      <c r="B13" s="174" t="s">
        <v>159</v>
      </c>
      <c r="C13" s="166"/>
      <c r="D13" s="67">
        <f>'Profit &amp; Loss Ecommerce'!D119</f>
        <v>-17394.928571428569</v>
      </c>
      <c r="E13" s="67">
        <f>'Profit &amp; Loss Ecommerce'!E119</f>
        <v>-15460.294056892435</v>
      </c>
      <c r="F13" s="67">
        <f>'Profit &amp; Loss Ecommerce'!F119</f>
        <v>-11973.331898545737</v>
      </c>
      <c r="G13" s="67">
        <f>'Profit &amp; Loss Ecommerce'!G119</f>
        <v>-10260.241564539254</v>
      </c>
      <c r="H13" s="67">
        <f>'Profit &amp; Loss Ecommerce'!H119</f>
        <v>-6725.6225208077503</v>
      </c>
      <c r="I13" s="67">
        <f>'Profit &amp; Loss Ecommerce'!I119</f>
        <v>-3864.3742310606972</v>
      </c>
      <c r="J13" s="67">
        <f>'Profit &amp; Loss Ecommerce'!J119</f>
        <v>-368.19615677302909</v>
      </c>
      <c r="K13" s="67">
        <f>'Profit &amp; Loss Ecommerce'!K119</f>
        <v>-400.97275717582829</v>
      </c>
      <c r="L13" s="67">
        <f>'Profit &amp; Loss Ecommerce'!L119</f>
        <v>1408.2515107530232</v>
      </c>
      <c r="M13" s="67">
        <f>'Profit &amp; Loss Ecommerce'!M119</f>
        <v>4516.3221922982411</v>
      </c>
      <c r="N13" s="67">
        <f>'Profit &amp; Loss Ecommerce'!N119</f>
        <v>7236.7568350165748</v>
      </c>
      <c r="O13" s="68">
        <f>'Profit &amp; Loss Ecommerce'!O119</f>
        <v>10731.954988746231</v>
      </c>
      <c r="P13" s="271">
        <f>'Profit &amp; Loss Ecommerce'!P119</f>
        <v>18432.960491330698</v>
      </c>
      <c r="Q13" s="67">
        <f>'Profit &amp; Loss Ecommerce'!Q119</f>
        <v>30258.01532577119</v>
      </c>
      <c r="R13" s="67">
        <f>'Profit &amp; Loss Ecommerce'!R119</f>
        <v>45920.075334521847</v>
      </c>
      <c r="S13" s="67">
        <f>'Profit &amp; Loss Ecommerce'!S119</f>
        <v>49121.470410511429</v>
      </c>
      <c r="T13" s="67">
        <f>'Profit &amp; Loss Ecommerce'!T119</f>
        <v>51002.469847045955</v>
      </c>
      <c r="U13" s="67">
        <f>'Profit &amp; Loss Ecommerce'!U119</f>
        <v>58202.199768570674</v>
      </c>
      <c r="V13" s="67">
        <f>'Profit &amp; Loss Ecommerce'!V119</f>
        <v>65552.213508518384</v>
      </c>
      <c r="W13" s="67">
        <f>'Profit &amp; Loss Ecommerce'!W119</f>
        <v>63947.756218215916</v>
      </c>
      <c r="X13" s="67">
        <f>'Profit &amp; Loss Ecommerce'!X119</f>
        <v>77326.904650766344</v>
      </c>
      <c r="Y13" s="67">
        <f>'Profit &amp; Loss Ecommerce'!Y119</f>
        <v>86939.08691105654</v>
      </c>
      <c r="Z13" s="67">
        <f>'Profit &amp; Loss Ecommerce'!Z119</f>
        <v>97564.707955764636</v>
      </c>
      <c r="AA13" s="68">
        <f>'Profit &amp; Loss Ecommerce'!AA119</f>
        <v>96916.55886836737</v>
      </c>
      <c r="AB13" s="271">
        <f>'Profit &amp; Loss Ecommerce'!AB119</f>
        <v>106380.12249629042</v>
      </c>
      <c r="AC13" s="67">
        <f>'Profit &amp; Loss Ecommerce'!AC119</f>
        <v>99939.770007344719</v>
      </c>
      <c r="AD13" s="67">
        <f>'Profit &amp; Loss Ecommerce'!AD119</f>
        <v>127356.68221259088</v>
      </c>
      <c r="AE13" s="67">
        <f>'Profit &amp; Loss Ecommerce'!AE119</f>
        <v>131617.29529777562</v>
      </c>
      <c r="AF13" s="67">
        <f>'Profit &amp; Loss Ecommerce'!AF119</f>
        <v>151468.13426048195</v>
      </c>
      <c r="AG13" s="67">
        <f>'Profit &amp; Loss Ecommerce'!AG119</f>
        <v>186835.45375513704</v>
      </c>
      <c r="AH13" s="67">
        <f>'Profit &amp; Loss Ecommerce'!AH119</f>
        <v>214772.85529301991</v>
      </c>
      <c r="AI13" s="67">
        <f>'Profit &amp; Loss Ecommerce'!AI119</f>
        <v>222820.77731201891</v>
      </c>
      <c r="AJ13" s="67">
        <f>'Profit &amp; Loss Ecommerce'!AJ119</f>
        <v>216317.50027288974</v>
      </c>
      <c r="AK13" s="67">
        <f>'Profit &amp; Loss Ecommerce'!AK119</f>
        <v>244346.37306176324</v>
      </c>
      <c r="AL13" s="67">
        <f>'Profit &amp; Loss Ecommerce'!AL119</f>
        <v>262088.61077585284</v>
      </c>
      <c r="AM13" s="67">
        <f>'Profit &amp; Loss Ecommerce'!AM119</f>
        <v>278680.08205896284</v>
      </c>
    </row>
    <row r="14" spans="1:39" s="67" customFormat="1">
      <c r="A14" s="19"/>
      <c r="B14" s="174"/>
      <c r="C14" s="166"/>
      <c r="O14" s="68"/>
      <c r="P14" s="271"/>
      <c r="AA14" s="68"/>
      <c r="AB14" s="271"/>
    </row>
    <row r="15" spans="1:39" s="67" customFormat="1">
      <c r="A15" s="19"/>
      <c r="B15" s="174" t="s">
        <v>142</v>
      </c>
      <c r="C15" s="166"/>
      <c r="D15" s="67">
        <f>-'Profit &amp; Loss Ecommerce'!D112</f>
        <v>1353.7619047619048</v>
      </c>
      <c r="E15" s="67">
        <f>-'Profit &amp; Loss Ecommerce'!E112</f>
        <v>1353.7619047619048</v>
      </c>
      <c r="F15" s="67">
        <f>-'Profit &amp; Loss Ecommerce'!F112</f>
        <v>1353.7619047619048</v>
      </c>
      <c r="G15" s="67">
        <f>-'Profit &amp; Loss Ecommerce'!G112</f>
        <v>1353.7619047619048</v>
      </c>
      <c r="H15" s="67">
        <f>-'Profit &amp; Loss Ecommerce'!H112</f>
        <v>1353.7619047619048</v>
      </c>
      <c r="I15" s="67">
        <f>-'Profit &amp; Loss Ecommerce'!I112</f>
        <v>1353.7619047619048</v>
      </c>
      <c r="J15" s="67">
        <f>-'Profit &amp; Loss Ecommerce'!J112</f>
        <v>1353.7619047619048</v>
      </c>
      <c r="K15" s="67">
        <f>-'Profit &amp; Loss Ecommerce'!K112</f>
        <v>1353.7619047619048</v>
      </c>
      <c r="L15" s="67">
        <f>-'Profit &amp; Loss Ecommerce'!L112</f>
        <v>1353.7619047619048</v>
      </c>
      <c r="M15" s="67">
        <f>-'Profit &amp; Loss Ecommerce'!M112</f>
        <v>1353.7619047619048</v>
      </c>
      <c r="N15" s="67">
        <f>-'Profit &amp; Loss Ecommerce'!N112</f>
        <v>1353.7619047619048</v>
      </c>
      <c r="O15" s="68">
        <f>-'Profit &amp; Loss Ecommerce'!O112</f>
        <v>1353.7619047619048</v>
      </c>
      <c r="P15" s="271">
        <f>-'Profit &amp; Loss Ecommerce'!P112</f>
        <v>2627.6309523809523</v>
      </c>
      <c r="Q15" s="67">
        <f>-'Profit &amp; Loss Ecommerce'!Q112</f>
        <v>2627.6309523809523</v>
      </c>
      <c r="R15" s="67">
        <f>-'Profit &amp; Loss Ecommerce'!R112</f>
        <v>2627.6309523809523</v>
      </c>
      <c r="S15" s="67">
        <f>-'Profit &amp; Loss Ecommerce'!S112</f>
        <v>2627.6309523809523</v>
      </c>
      <c r="T15" s="67">
        <f>-'Profit &amp; Loss Ecommerce'!T112</f>
        <v>2627.6309523809523</v>
      </c>
      <c r="U15" s="67">
        <f>-'Profit &amp; Loss Ecommerce'!U112</f>
        <v>2627.6309523809523</v>
      </c>
      <c r="V15" s="67">
        <f>-'Profit &amp; Loss Ecommerce'!V112</f>
        <v>2627.6309523809523</v>
      </c>
      <c r="W15" s="67">
        <f>-'Profit &amp; Loss Ecommerce'!W112</f>
        <v>2627.6309523809523</v>
      </c>
      <c r="X15" s="67">
        <f>-'Profit &amp; Loss Ecommerce'!X112</f>
        <v>2627.6309523809523</v>
      </c>
      <c r="Y15" s="67">
        <f>-'Profit &amp; Loss Ecommerce'!Y112</f>
        <v>2627.6309523809523</v>
      </c>
      <c r="Z15" s="67">
        <f>-'Profit &amp; Loss Ecommerce'!Z112</f>
        <v>2627.6309523809523</v>
      </c>
      <c r="AA15" s="68">
        <f>-'Profit &amp; Loss Ecommerce'!AA112</f>
        <v>2627.6309523809523</v>
      </c>
      <c r="AB15" s="271">
        <f>-'Profit &amp; Loss Ecommerce'!AB112</f>
        <v>5088.4880952380954</v>
      </c>
      <c r="AC15" s="67">
        <f>-'Profit &amp; Loss Ecommerce'!AC112</f>
        <v>5088.4880952380954</v>
      </c>
      <c r="AD15" s="67">
        <f>-'Profit &amp; Loss Ecommerce'!AD112</f>
        <v>5088.4880952380954</v>
      </c>
      <c r="AE15" s="67">
        <f>-'Profit &amp; Loss Ecommerce'!AE112</f>
        <v>5088.4880952380954</v>
      </c>
      <c r="AF15" s="67">
        <f>-'Profit &amp; Loss Ecommerce'!AF112</f>
        <v>5088.4880952380954</v>
      </c>
      <c r="AG15" s="67">
        <f>-'Profit &amp; Loss Ecommerce'!AG112</f>
        <v>5088.4880952380954</v>
      </c>
      <c r="AH15" s="67">
        <f>-'Profit &amp; Loss Ecommerce'!AH112</f>
        <v>5088.4880952380954</v>
      </c>
      <c r="AI15" s="67">
        <f>-'Profit &amp; Loss Ecommerce'!AI112</f>
        <v>5088.4880952380954</v>
      </c>
      <c r="AJ15" s="67">
        <f>-'Profit &amp; Loss Ecommerce'!AJ112</f>
        <v>5088.4880952380954</v>
      </c>
      <c r="AK15" s="67">
        <f>-'Profit &amp; Loss Ecommerce'!AK112</f>
        <v>5088.4880952380954</v>
      </c>
      <c r="AL15" s="67">
        <f>-'Profit &amp; Loss Ecommerce'!AL112</f>
        <v>5088.4880952380954</v>
      </c>
      <c r="AM15" s="67">
        <f>-'Profit &amp; Loss Ecommerce'!AM112</f>
        <v>5088.4880952380954</v>
      </c>
    </row>
    <row r="16" spans="1:39" s="67" customFormat="1">
      <c r="A16" s="19"/>
      <c r="B16" s="174"/>
      <c r="C16" s="166"/>
      <c r="O16" s="68"/>
      <c r="P16" s="264"/>
      <c r="Q16" s="72"/>
      <c r="R16" s="72"/>
      <c r="S16" s="72"/>
      <c r="T16" s="72"/>
      <c r="U16" s="72"/>
      <c r="V16" s="72"/>
      <c r="W16" s="72"/>
      <c r="X16" s="72"/>
      <c r="Y16" s="72"/>
      <c r="Z16" s="72"/>
      <c r="AA16" s="71"/>
      <c r="AB16" s="264"/>
    </row>
    <row r="17" spans="1:39" s="67" customFormat="1">
      <c r="A17" s="19"/>
      <c r="B17" s="174" t="s">
        <v>164</v>
      </c>
      <c r="C17" s="166"/>
      <c r="O17" s="68"/>
      <c r="P17" s="264"/>
      <c r="Q17" s="72"/>
      <c r="R17" s="72"/>
      <c r="S17" s="72"/>
      <c r="T17" s="72"/>
      <c r="U17" s="72"/>
      <c r="V17" s="72"/>
      <c r="W17" s="72"/>
      <c r="X17" s="72"/>
      <c r="Y17" s="72"/>
      <c r="Z17" s="72"/>
      <c r="AA17" s="71"/>
      <c r="AB17" s="264"/>
    </row>
    <row r="18" spans="1:39" s="67" customFormat="1">
      <c r="A18" s="19"/>
      <c r="B18" s="254" t="s">
        <v>143</v>
      </c>
      <c r="C18" s="166"/>
      <c r="O18" s="68"/>
      <c r="P18" s="264"/>
      <c r="Q18" s="72"/>
      <c r="R18" s="72"/>
      <c r="S18" s="72"/>
      <c r="T18" s="72"/>
      <c r="U18" s="72"/>
      <c r="V18" s="72"/>
      <c r="W18" s="72"/>
      <c r="X18" s="72"/>
      <c r="Y18" s="72"/>
      <c r="Z18" s="72"/>
      <c r="AA18" s="71"/>
      <c r="AB18" s="264"/>
    </row>
    <row r="19" spans="1:39" s="67" customFormat="1">
      <c r="A19" s="19"/>
      <c r="B19" s="255" t="s">
        <v>144</v>
      </c>
      <c r="C19" s="166"/>
      <c r="D19" s="67">
        <f>-'Cash Flow'!D88</f>
        <v>-8348</v>
      </c>
      <c r="E19" s="67">
        <f>-'Cash Flow'!E88</f>
        <v>-29279.800000000003</v>
      </c>
      <c r="F19" s="67">
        <f>-'Cash Flow'!F88</f>
        <v>2164.7999999999993</v>
      </c>
      <c r="G19" s="67">
        <f>-'Cash Flow'!G88</f>
        <v>-8564.1999999999953</v>
      </c>
      <c r="H19" s="67">
        <f>-'Cash Flow'!H88</f>
        <v>-2080.0000000000064</v>
      </c>
      <c r="I19" s="67">
        <f>-'Cash Flow'!I88</f>
        <v>-7349.199999999998</v>
      </c>
      <c r="J19" s="67">
        <f>-'Cash Flow'!J88</f>
        <v>-5764.4</v>
      </c>
      <c r="K19" s="67">
        <f>-'Cash Flow'!K88</f>
        <v>-6618.0000000000073</v>
      </c>
      <c r="L19" s="67">
        <f>-'Cash Flow'!L88</f>
        <v>-1716.399999999991</v>
      </c>
      <c r="M19" s="67">
        <f>-'Cash Flow'!M88</f>
        <v>2944.3999999999996</v>
      </c>
      <c r="N19" s="67">
        <f>-'Cash Flow'!N88</f>
        <v>-23358.799999999996</v>
      </c>
      <c r="O19" s="68">
        <f>-'Cash Flow'!O88</f>
        <v>-27222.200000000015</v>
      </c>
      <c r="P19" s="271">
        <f>-'Cash Flow'!P88</f>
        <v>14614.470000000008</v>
      </c>
      <c r="Q19" s="67">
        <f>-'Cash Flow'!Q88</f>
        <v>-708.71000000000276</v>
      </c>
      <c r="R19" s="67">
        <f>-'Cash Flow'!R88</f>
        <v>-50765.12999999999</v>
      </c>
      <c r="S19" s="67">
        <f>-'Cash Flow'!S88</f>
        <v>-41327.130000000034</v>
      </c>
      <c r="T19" s="67">
        <f>-'Cash Flow'!T88</f>
        <v>-37178.530000000013</v>
      </c>
      <c r="U19" s="67">
        <f>-'Cash Flow'!U88</f>
        <v>-19318.829999999973</v>
      </c>
      <c r="V19" s="67">
        <f>-'Cash Flow'!V88</f>
        <v>-21433.53</v>
      </c>
      <c r="W19" s="67">
        <f>-'Cash Flow'!W88</f>
        <v>-17502.630000000012</v>
      </c>
      <c r="X19" s="67">
        <f>-'Cash Flow'!X88</f>
        <v>-14040.64999999998</v>
      </c>
      <c r="Y19" s="67">
        <f>-'Cash Flow'!Y88</f>
        <v>-17600.450000000019</v>
      </c>
      <c r="Z19" s="67">
        <f>-'Cash Flow'!Z88</f>
        <v>-32511.329999999998</v>
      </c>
      <c r="AA19" s="68">
        <f>-'Cash Flow'!AA88</f>
        <v>-70962.12999999999</v>
      </c>
      <c r="AB19" s="271">
        <f>-'Cash Flow'!AB88</f>
        <v>-4629.3330000000042</v>
      </c>
      <c r="AC19" s="67">
        <f>-'Cash Flow'!AC88</f>
        <v>13041.495999999999</v>
      </c>
      <c r="AD19" s="67">
        <f>-'Cash Flow'!AD88</f>
        <v>-116230.18559999998</v>
      </c>
      <c r="AE19" s="67">
        <f>-'Cash Flow'!AE88</f>
        <v>-55284.779800000004</v>
      </c>
      <c r="AF19" s="67">
        <f>-'Cash Flow'!AF88</f>
        <v>-13275.594399999951</v>
      </c>
      <c r="AG19" s="67">
        <f>-'Cash Flow'!AG88</f>
        <v>-117734.04560000004</v>
      </c>
      <c r="AH19" s="67">
        <f>-'Cash Flow'!AH88</f>
        <v>-117579.13380000003</v>
      </c>
      <c r="AI19" s="67">
        <f>-'Cash Flow'!AI88</f>
        <v>-53763.361599999989</v>
      </c>
      <c r="AJ19" s="67">
        <f>-'Cash Flow'!AJ88</f>
        <v>46702.109599999996</v>
      </c>
      <c r="AK19" s="67">
        <f>-'Cash Flow'!AK88</f>
        <v>-23475.320600000021</v>
      </c>
      <c r="AL19" s="67">
        <f>-'Cash Flow'!AL88</f>
        <v>-373683.51839999988</v>
      </c>
      <c r="AM19" s="67">
        <f>-'Cash Flow'!AM88</f>
        <v>-378989.8196000001</v>
      </c>
    </row>
    <row r="20" spans="1:39" s="67" customFormat="1">
      <c r="A20" s="19"/>
      <c r="B20" s="255" t="s">
        <v>145</v>
      </c>
      <c r="C20" s="166"/>
      <c r="D20" s="67">
        <f>-'Cash Flow'!D84</f>
        <v>-30926.399999999998</v>
      </c>
      <c r="E20" s="67">
        <f>-'Cash Flow'!E84</f>
        <v>-4543.2</v>
      </c>
      <c r="F20" s="67">
        <f>-'Cash Flow'!F84</f>
        <v>-8054.4</v>
      </c>
      <c r="G20" s="67">
        <f>-'Cash Flow'!G84</f>
        <v>-2272.7999999999997</v>
      </c>
      <c r="H20" s="67">
        <f>-'Cash Flow'!H84</f>
        <v>-7903.2</v>
      </c>
      <c r="I20" s="67">
        <f>-'Cash Flow'!I84</f>
        <v>-5673.5999999999995</v>
      </c>
      <c r="J20" s="67">
        <f>-'Cash Flow'!J84</f>
        <v>-6916.8</v>
      </c>
      <c r="K20" s="67">
        <f>-'Cash Flow'!K84</f>
        <v>-1785</v>
      </c>
      <c r="L20" s="67">
        <f>-'Cash Flow'!L84</f>
        <v>-3730.2</v>
      </c>
      <c r="M20" s="67">
        <f>-'Cash Flow'!M84</f>
        <v>-5654.4</v>
      </c>
      <c r="N20" s="67">
        <f>-'Cash Flow'!N84</f>
        <v>-6672.7200000000066</v>
      </c>
      <c r="O20" s="68">
        <f>-'Cash Flow'!O84</f>
        <v>-7981.679999999993</v>
      </c>
      <c r="P20" s="271">
        <f>-'Cash Flow'!P84</f>
        <v>-32153.760000000002</v>
      </c>
      <c r="Q20" s="67">
        <f>-'Cash Flow'!Q84</f>
        <v>-31940.51999999999</v>
      </c>
      <c r="R20" s="67">
        <f>-'Cash Flow'!R84</f>
        <v>-43374.12</v>
      </c>
      <c r="S20" s="67">
        <f>-'Cash Flow'!S84</f>
        <v>-38785.320000000007</v>
      </c>
      <c r="T20" s="67">
        <f>-'Cash Flow'!T84</f>
        <v>-18906.120000000006</v>
      </c>
      <c r="U20" s="67">
        <f>-'Cash Flow'!U84</f>
        <v>-20781.719999999972</v>
      </c>
      <c r="V20" s="67">
        <f>-'Cash Flow'!V84</f>
        <v>-19910.520000000008</v>
      </c>
      <c r="W20" s="67">
        <f>-'Cash Flow'!W84</f>
        <v>-1119.5999999999999</v>
      </c>
      <c r="X20" s="67">
        <f>-'Cash Flow'!X84</f>
        <v>-33663.600000000035</v>
      </c>
      <c r="Y20" s="67">
        <f>-'Cash Flow'!Y84</f>
        <v>-25608.11999999997</v>
      </c>
      <c r="Z20" s="67">
        <f>-'Cash Flow'!Z84</f>
        <v>-27554.519999999971</v>
      </c>
      <c r="AA20" s="68">
        <f>-'Cash Flow'!AA84</f>
        <v>2024.7599999999859</v>
      </c>
      <c r="AB20" s="271">
        <f>-'Cash Flow'!AB84</f>
        <v>-62372.112000000081</v>
      </c>
      <c r="AC20" s="67">
        <f>-'Cash Flow'!AC84</f>
        <v>-44356.094399999944</v>
      </c>
      <c r="AD20" s="67">
        <f>-'Cash Flow'!AD84</f>
        <v>-73639.871999999988</v>
      </c>
      <c r="AE20" s="67">
        <f>-'Cash Flow'!AE84</f>
        <v>-25200.633600000059</v>
      </c>
      <c r="AF20" s="67">
        <f>-'Cash Flow'!AF84</f>
        <v>-60565.79760000002</v>
      </c>
      <c r="AG20" s="67">
        <f>-'Cash Flow'!AG84</f>
        <v>-94800.705599999841</v>
      </c>
      <c r="AH20" s="67">
        <f>-'Cash Flow'!AH84</f>
        <v>-67454.172480000081</v>
      </c>
      <c r="AI20" s="67">
        <f>-'Cash Flow'!AI84</f>
        <v>-31378.281119999941</v>
      </c>
      <c r="AJ20" s="67">
        <f>-'Cash Flow'!AJ84</f>
        <v>-24274.658399999978</v>
      </c>
      <c r="AK20" s="67">
        <f>-'Cash Flow'!AK84</f>
        <v>-87928.495200000048</v>
      </c>
      <c r="AL20" s="67">
        <f>-'Cash Flow'!AL84</f>
        <v>-62611.873967999963</v>
      </c>
      <c r="AM20" s="67">
        <f>-'Cash Flow'!AM84</f>
        <v>-61836.468191999942</v>
      </c>
    </row>
    <row r="21" spans="1:39" s="67" customFormat="1">
      <c r="A21" s="19"/>
      <c r="B21" s="255" t="s">
        <v>146</v>
      </c>
      <c r="C21" s="166"/>
      <c r="D21" s="67">
        <f>-'Cash Flow'!D99</f>
        <v>-5000</v>
      </c>
      <c r="E21" s="67">
        <f>-'Cash Flow'!E99</f>
        <v>2500</v>
      </c>
      <c r="F21" s="67">
        <f>-'Cash Flow'!F99</f>
        <v>2500</v>
      </c>
      <c r="G21" s="67">
        <f>-'Cash Flow'!G99</f>
        <v>-5000</v>
      </c>
      <c r="H21" s="67">
        <f>-'Cash Flow'!H99</f>
        <v>2500</v>
      </c>
      <c r="I21" s="67">
        <f>-'Cash Flow'!I99</f>
        <v>2500</v>
      </c>
      <c r="J21" s="67">
        <f>-'Cash Flow'!J99</f>
        <v>-5000</v>
      </c>
      <c r="K21" s="67">
        <f>-'Cash Flow'!K99</f>
        <v>2500</v>
      </c>
      <c r="L21" s="67">
        <f>-'Cash Flow'!L99</f>
        <v>2500</v>
      </c>
      <c r="M21" s="67">
        <f>-'Cash Flow'!M99</f>
        <v>-5000</v>
      </c>
      <c r="N21" s="67">
        <f>-'Cash Flow'!N99</f>
        <v>2500</v>
      </c>
      <c r="O21" s="68">
        <f>-'Cash Flow'!O99</f>
        <v>2500</v>
      </c>
      <c r="P21" s="271">
        <f>-'Cash Flow'!P99</f>
        <v>-5000</v>
      </c>
      <c r="Q21" s="67">
        <f>-'Cash Flow'!Q99</f>
        <v>2500</v>
      </c>
      <c r="R21" s="67">
        <f>-'Cash Flow'!R99</f>
        <v>2500</v>
      </c>
      <c r="S21" s="67">
        <f>-'Cash Flow'!S99</f>
        <v>-5000</v>
      </c>
      <c r="T21" s="67">
        <f>-'Cash Flow'!T99</f>
        <v>2500</v>
      </c>
      <c r="U21" s="67">
        <f>-'Cash Flow'!U99</f>
        <v>2500</v>
      </c>
      <c r="V21" s="67">
        <f>-'Cash Flow'!V99</f>
        <v>-5000</v>
      </c>
      <c r="W21" s="67">
        <f>-'Cash Flow'!W99</f>
        <v>2500</v>
      </c>
      <c r="X21" s="67">
        <f>-'Cash Flow'!X99</f>
        <v>2500</v>
      </c>
      <c r="Y21" s="67">
        <f>-'Cash Flow'!Y99</f>
        <v>-5000</v>
      </c>
      <c r="Z21" s="67">
        <f>-'Cash Flow'!Z99</f>
        <v>2500</v>
      </c>
      <c r="AA21" s="68">
        <f>-'Cash Flow'!AA99</f>
        <v>2500</v>
      </c>
      <c r="AB21" s="271">
        <f>-'Cash Flow'!AB99</f>
        <v>-5550</v>
      </c>
      <c r="AC21" s="67">
        <f>-'Cash Flow'!AC99</f>
        <v>2775</v>
      </c>
      <c r="AD21" s="67">
        <f>-'Cash Flow'!AD99</f>
        <v>2775</v>
      </c>
      <c r="AE21" s="67">
        <f>-'Cash Flow'!AE99</f>
        <v>-5550</v>
      </c>
      <c r="AF21" s="67">
        <f>-'Cash Flow'!AF99</f>
        <v>2775</v>
      </c>
      <c r="AG21" s="67">
        <f>-'Cash Flow'!AG99</f>
        <v>2775</v>
      </c>
      <c r="AH21" s="67">
        <f>-'Cash Flow'!AH99</f>
        <v>-5550</v>
      </c>
      <c r="AI21" s="67">
        <f>-'Cash Flow'!AI99</f>
        <v>2775</v>
      </c>
      <c r="AJ21" s="67">
        <f>-'Cash Flow'!AJ99</f>
        <v>2775</v>
      </c>
      <c r="AK21" s="67">
        <f>-'Cash Flow'!AK99</f>
        <v>-5550</v>
      </c>
      <c r="AL21" s="67">
        <f>-'Cash Flow'!AL99</f>
        <v>2775</v>
      </c>
      <c r="AM21" s="67">
        <f>-'Cash Flow'!AM99</f>
        <v>2775</v>
      </c>
    </row>
    <row r="22" spans="1:39" s="67" customFormat="1">
      <c r="A22" s="19"/>
      <c r="B22" s="254" t="s">
        <v>147</v>
      </c>
      <c r="C22" s="166"/>
      <c r="O22" s="68"/>
      <c r="P22" s="271"/>
      <c r="AA22" s="68"/>
      <c r="AB22" s="271"/>
    </row>
    <row r="23" spans="1:39" s="67" customFormat="1">
      <c r="A23" s="19"/>
      <c r="B23" s="255" t="s">
        <v>148</v>
      </c>
      <c r="C23" s="166"/>
      <c r="D23" s="67">
        <f>'Cash Flow'!D93</f>
        <v>20786.400000000001</v>
      </c>
      <c r="E23" s="67">
        <f>'Cash Flow'!E93</f>
        <v>27376.560000000005</v>
      </c>
      <c r="F23" s="67">
        <f>'Cash Flow'!F93</f>
        <v>-33826.559999999998</v>
      </c>
      <c r="G23" s="67">
        <f>'Cash Flow'!G93</f>
        <v>13128.959999999988</v>
      </c>
      <c r="H23" s="67">
        <f>'Cash Flow'!H93</f>
        <v>-4082.1599999999853</v>
      </c>
      <c r="I23" s="67">
        <f>'Cash Flow'!I93</f>
        <v>8600.5199999999895</v>
      </c>
      <c r="J23" s="67">
        <f>'Cash Flow'!J93</f>
        <v>857.16000000000713</v>
      </c>
      <c r="K23" s="67">
        <f>'Cash Flow'!K93</f>
        <v>2886.3420000000042</v>
      </c>
      <c r="L23" s="67">
        <f>'Cash Flow'!L93</f>
        <v>-4284.9420000000209</v>
      </c>
      <c r="M23" s="67">
        <f>'Cash Flow'!M93</f>
        <v>-3630.2399999999834</v>
      </c>
      <c r="N23" s="67">
        <f>'Cash Flow'!N93</f>
        <v>35010.2016</v>
      </c>
      <c r="O23" s="68">
        <f>'Cash Flow'!O93</f>
        <v>8461.844400000009</v>
      </c>
      <c r="P23" s="271">
        <f>'Cash Flow'!P93</f>
        <v>-32239.611600000011</v>
      </c>
      <c r="Q23" s="67">
        <f>'Cash Flow'!Q93</f>
        <v>36176.912400000008</v>
      </c>
      <c r="R23" s="67">
        <f>'Cash Flow'!R93</f>
        <v>84686.15519999995</v>
      </c>
      <c r="S23" s="67">
        <f>'Cash Flow'!S93</f>
        <v>10155.606000000087</v>
      </c>
      <c r="T23" s="67">
        <f>'Cash Flow'!T93</f>
        <v>3759.0923999999941</v>
      </c>
      <c r="U23" s="67">
        <f>'Cash Flow'!U93</f>
        <v>-12130.197600000101</v>
      </c>
      <c r="V23" s="67">
        <f>'Cash Flow'!V93</f>
        <v>10727.592000000033</v>
      </c>
      <c r="W23" s="67">
        <f>'Cash Flow'!W93</f>
        <v>-990.72995999993873</v>
      </c>
      <c r="X23" s="67">
        <f>'Cash Flow'!X93</f>
        <v>8142.3699599999527</v>
      </c>
      <c r="Y23" s="67">
        <f>'Cash Flow'!Y93</f>
        <v>14540.337600000057</v>
      </c>
      <c r="Z23" s="67">
        <f>'Cash Flow'!Z93</f>
        <v>28486.697999999917</v>
      </c>
      <c r="AA23" s="68">
        <f>'Cash Flow'!AA93</f>
        <v>45193.521360000013</v>
      </c>
      <c r="AB23" s="271">
        <f>'Cash Flow'!AB93</f>
        <v>-52031.62696799991</v>
      </c>
      <c r="AC23" s="67">
        <f>'Cash Flow'!AC93</f>
        <v>-3602.5492080000404</v>
      </c>
      <c r="AD23" s="67">
        <f>'Cash Flow'!AD93</f>
        <v>180154.11004800003</v>
      </c>
      <c r="AE23" s="67">
        <f>'Cash Flow'!AE93</f>
        <v>-60682.743888000026</v>
      </c>
      <c r="AF23" s="67">
        <f>'Cash Flow'!AF93</f>
        <v>-28487.849351999932</v>
      </c>
      <c r="AG23" s="67">
        <f>'Cash Flow'!AG93</f>
        <v>155869.42588799988</v>
      </c>
      <c r="AH23" s="67">
        <f>'Cash Flow'!AH93</f>
        <v>22213.022304000042</v>
      </c>
      <c r="AI23" s="67">
        <f>'Cash Flow'!AI93</f>
        <v>-65173.005063600081</v>
      </c>
      <c r="AJ23" s="67">
        <f>'Cash Flow'!AJ93</f>
        <v>-105637.87080839992</v>
      </c>
      <c r="AK23" s="67">
        <f>'Cash Flow'!AK93</f>
        <v>112860.56647199998</v>
      </c>
      <c r="AL23" s="67">
        <f>'Cash Flow'!AL93</f>
        <v>442601.46069887979</v>
      </c>
      <c r="AM23" s="67">
        <f>'Cash Flow'!AM93</f>
        <v>31136.537376720225</v>
      </c>
    </row>
    <row r="24" spans="1:39" s="67" customFormat="1">
      <c r="A24" s="19"/>
      <c r="B24" s="255" t="s">
        <v>149</v>
      </c>
      <c r="C24" s="166"/>
      <c r="D24" s="67">
        <f>'Cash Flow'!D103</f>
        <v>1508.3333333333333</v>
      </c>
      <c r="E24" s="67">
        <f>'Cash Flow'!E103</f>
        <v>1508.3333333333333</v>
      </c>
      <c r="F24" s="67">
        <f>'Cash Flow'!F103</f>
        <v>-3016.666666666667</v>
      </c>
      <c r="G24" s="67">
        <f>'Cash Flow'!G103</f>
        <v>1508.3333333333333</v>
      </c>
      <c r="H24" s="67">
        <f>'Cash Flow'!H103</f>
        <v>1508.3333333333333</v>
      </c>
      <c r="I24" s="67">
        <f>'Cash Flow'!I103</f>
        <v>-3016.666666666667</v>
      </c>
      <c r="J24" s="67">
        <f>'Cash Flow'!J103</f>
        <v>1508.3333333333333</v>
      </c>
      <c r="K24" s="67">
        <f>'Cash Flow'!K103</f>
        <v>1508.3333333333333</v>
      </c>
      <c r="L24" s="67">
        <f>'Cash Flow'!L103</f>
        <v>-3016.666666666667</v>
      </c>
      <c r="M24" s="67">
        <f>'Cash Flow'!M103</f>
        <v>1508.3333333333333</v>
      </c>
      <c r="N24" s="67">
        <f>'Cash Flow'!N103</f>
        <v>1508.3333333333333</v>
      </c>
      <c r="O24" s="68">
        <f>'Cash Flow'!O103</f>
        <v>-3016.666666666667</v>
      </c>
      <c r="P24" s="271">
        <f>'Cash Flow'!P103</f>
        <v>1808.3333333333333</v>
      </c>
      <c r="Q24" s="67">
        <f>'Cash Flow'!Q103</f>
        <v>1808.3333333333333</v>
      </c>
      <c r="R24" s="67">
        <f>'Cash Flow'!R103</f>
        <v>-3616.666666666667</v>
      </c>
      <c r="S24" s="67">
        <f>'Cash Flow'!S103</f>
        <v>1808.3333333333333</v>
      </c>
      <c r="T24" s="67">
        <f>'Cash Flow'!T103</f>
        <v>1808.3333333333333</v>
      </c>
      <c r="U24" s="67">
        <f>'Cash Flow'!U103</f>
        <v>-3616.666666666667</v>
      </c>
      <c r="V24" s="67">
        <f>'Cash Flow'!V103</f>
        <v>1808.3333333333333</v>
      </c>
      <c r="W24" s="67">
        <f>'Cash Flow'!W103</f>
        <v>1808.3333333333333</v>
      </c>
      <c r="X24" s="67">
        <f>'Cash Flow'!X103</f>
        <v>-3616.666666666667</v>
      </c>
      <c r="Y24" s="67">
        <f>'Cash Flow'!Y103</f>
        <v>1808.3333333333333</v>
      </c>
      <c r="Z24" s="67">
        <f>'Cash Flow'!Z103</f>
        <v>1808.3333333333333</v>
      </c>
      <c r="AA24" s="68">
        <f>'Cash Flow'!AA103</f>
        <v>-3616.666666666667</v>
      </c>
      <c r="AB24" s="271">
        <f>'Cash Flow'!AB103</f>
        <v>2230</v>
      </c>
      <c r="AC24" s="67">
        <f>'Cash Flow'!AC103</f>
        <v>2230</v>
      </c>
      <c r="AD24" s="67">
        <f>'Cash Flow'!AD103</f>
        <v>-4460</v>
      </c>
      <c r="AE24" s="67">
        <f>'Cash Flow'!AE103</f>
        <v>2230</v>
      </c>
      <c r="AF24" s="67">
        <f>'Cash Flow'!AF103</f>
        <v>2230</v>
      </c>
      <c r="AG24" s="67">
        <f>'Cash Flow'!AG103</f>
        <v>-4460</v>
      </c>
      <c r="AH24" s="67">
        <f>'Cash Flow'!AH103</f>
        <v>2230</v>
      </c>
      <c r="AI24" s="67">
        <f>'Cash Flow'!AI103</f>
        <v>2230</v>
      </c>
      <c r="AJ24" s="67">
        <f>'Cash Flow'!AJ103</f>
        <v>-4460</v>
      </c>
      <c r="AK24" s="67">
        <f>'Cash Flow'!AK103</f>
        <v>2230</v>
      </c>
      <c r="AL24" s="67">
        <f>'Cash Flow'!AL103</f>
        <v>2230</v>
      </c>
      <c r="AM24" s="67">
        <f>'Cash Flow'!AM103</f>
        <v>-4460</v>
      </c>
    </row>
    <row r="25" spans="1:39" s="67" customFormat="1">
      <c r="A25" s="19"/>
      <c r="B25" s="255" t="s">
        <v>177</v>
      </c>
      <c r="C25" s="166"/>
      <c r="D25" s="67">
        <f>'Cash Flow'!D115</f>
        <v>1690.0000000000005</v>
      </c>
      <c r="E25" s="67">
        <f>'Cash Flow'!E115</f>
        <v>-2115.5600000000004</v>
      </c>
      <c r="F25" s="67">
        <f>'Cash Flow'!F115</f>
        <v>425.56000000000131</v>
      </c>
      <c r="G25" s="67">
        <f>'Cash Flow'!G115</f>
        <v>3055.2400000000007</v>
      </c>
      <c r="H25" s="67">
        <f>'Cash Flow'!H115</f>
        <v>5052.7999999999984</v>
      </c>
      <c r="I25" s="67">
        <f>'Cash Flow'!I115</f>
        <v>-8108.04</v>
      </c>
      <c r="J25" s="67">
        <f>'Cash Flow'!J115</f>
        <v>5574.920000000001</v>
      </c>
      <c r="K25" s="67">
        <f>'Cash Flow'!K115</f>
        <v>5391.3630000000003</v>
      </c>
      <c r="L25" s="67">
        <f>'Cash Flow'!L115</f>
        <v>-10966.282999999999</v>
      </c>
      <c r="M25" s="67">
        <f>'Cash Flow'!M115</f>
        <v>8274.66</v>
      </c>
      <c r="N25" s="67">
        <f>'Cash Flow'!N115</f>
        <v>3551.7464000000018</v>
      </c>
      <c r="O25" s="68">
        <f>'Cash Flow'!O115</f>
        <v>-11826.4064</v>
      </c>
      <c r="P25" s="271">
        <f>'Cash Flow'!P115</f>
        <v>14203.9476</v>
      </c>
      <c r="Q25" s="67">
        <f>'Cash Flow'!Q115</f>
        <v>13497.882199999998</v>
      </c>
      <c r="R25" s="67">
        <f>'Cash Flow'!R115</f>
        <v>-27701.8298</v>
      </c>
      <c r="S25" s="67">
        <f>'Cash Flow'!S115</f>
        <v>11384.161999999997</v>
      </c>
      <c r="T25" s="67">
        <f>'Cash Flow'!T115</f>
        <v>13908.6666</v>
      </c>
      <c r="U25" s="67">
        <f>'Cash Flow'!U115</f>
        <v>-25292.828599999993</v>
      </c>
      <c r="V25" s="67">
        <f>'Cash Flow'!V115</f>
        <v>20924.474200000004</v>
      </c>
      <c r="W25" s="67">
        <f>'Cash Flow'!W115</f>
        <v>21276.195859999996</v>
      </c>
      <c r="X25" s="67">
        <f>'Cash Flow'!X115</f>
        <v>-42200.670060000004</v>
      </c>
      <c r="Y25" s="67">
        <f>'Cash Flow'!Y115</f>
        <v>27374.364599999997</v>
      </c>
      <c r="Z25" s="67">
        <f>'Cash Flow'!Z115</f>
        <v>27219.001600000003</v>
      </c>
      <c r="AA25" s="68">
        <f>'Cash Flow'!AA115</f>
        <v>-54593.366199999997</v>
      </c>
      <c r="AB25" s="271">
        <f>'Cash Flow'!AB115</f>
        <v>38416.577867999993</v>
      </c>
      <c r="AC25" s="67">
        <f>'Cash Flow'!AC115</f>
        <v>46409.685136000007</v>
      </c>
      <c r="AD25" s="67">
        <f>'Cash Flow'!AD115</f>
        <v>-84826.263004000008</v>
      </c>
      <c r="AE25" s="67">
        <f>'Cash Flow'!AE115</f>
        <v>42971.20837600001</v>
      </c>
      <c r="AF25" s="67">
        <f>'Cash Flow'!AF115</f>
        <v>57813.482868000014</v>
      </c>
      <c r="AG25" s="67">
        <f>'Cash Flow'!AG115</f>
        <v>-100784.69124399997</v>
      </c>
      <c r="AH25" s="67">
        <f>'Cash Flow'!AH115</f>
        <v>55175.554516000004</v>
      </c>
      <c r="AI25" s="67">
        <f>'Cash Flow'!AI115</f>
        <v>71267.435546600012</v>
      </c>
      <c r="AJ25" s="67">
        <f>'Cash Flow'!AJ115</f>
        <v>-126442.99006260003</v>
      </c>
      <c r="AK25" s="67">
        <f>'Cash Flow'!AK115</f>
        <v>88764.178535999992</v>
      </c>
      <c r="AL25" s="67">
        <f>'Cash Flow'!AL115</f>
        <v>25432.580747520027</v>
      </c>
      <c r="AM25" s="67">
        <f>'Cash Flow'!AM115</f>
        <v>-114196.75928351996</v>
      </c>
    </row>
    <row r="26" spans="1:39" s="67" customFormat="1">
      <c r="A26" s="19"/>
      <c r="B26" s="255" t="s">
        <v>4</v>
      </c>
      <c r="C26" s="166"/>
      <c r="D26" s="67">
        <f>'Cash Flow'!D122</f>
        <v>0</v>
      </c>
      <c r="E26" s="67">
        <f>'Cash Flow'!E122</f>
        <v>0</v>
      </c>
      <c r="F26" s="67">
        <f>'Cash Flow'!F122</f>
        <v>0</v>
      </c>
      <c r="G26" s="67">
        <f>'Cash Flow'!G122</f>
        <v>0</v>
      </c>
      <c r="H26" s="67">
        <f>'Cash Flow'!H122</f>
        <v>0</v>
      </c>
      <c r="I26" s="67">
        <f>'Cash Flow'!I122</f>
        <v>0</v>
      </c>
      <c r="J26" s="67">
        <f>'Cash Flow'!J122</f>
        <v>0</v>
      </c>
      <c r="K26" s="67">
        <f>'Cash Flow'!K122</f>
        <v>0</v>
      </c>
      <c r="L26" s="67">
        <f>'Cash Flow'!L122</f>
        <v>0</v>
      </c>
      <c r="M26" s="67">
        <f>'Cash Flow'!M122</f>
        <v>0</v>
      </c>
      <c r="N26" s="67">
        <f>'Cash Flow'!N122</f>
        <v>0</v>
      </c>
      <c r="O26" s="68">
        <f>'Cash Flow'!O122</f>
        <v>0</v>
      </c>
      <c r="P26" s="271">
        <f>'Cash Flow'!P122</f>
        <v>0</v>
      </c>
      <c r="Q26" s="67">
        <f>'Cash Flow'!Q122</f>
        <v>0</v>
      </c>
      <c r="R26" s="67">
        <f>'Cash Flow'!R122</f>
        <v>0</v>
      </c>
      <c r="S26" s="67">
        <f>'Cash Flow'!S122</f>
        <v>11251.170666130871</v>
      </c>
      <c r="T26" s="67">
        <f>'Cash Flow'!T122</f>
        <v>17876.700266475633</v>
      </c>
      <c r="U26" s="67">
        <f>'Cash Flow'!U122</f>
        <v>20276.610240317208</v>
      </c>
      <c r="V26" s="67">
        <f>'Cash Flow'!V122</f>
        <v>22726.614820299779</v>
      </c>
      <c r="W26" s="67">
        <f>'Cash Flow'!W122</f>
        <v>22191.795723532287</v>
      </c>
      <c r="X26" s="67">
        <f ca="1">'Cash Flow'!X122</f>
        <v>26651.511867715762</v>
      </c>
      <c r="Y26" s="67">
        <f>'Cash Flow'!Y122</f>
        <v>29855.572621145831</v>
      </c>
      <c r="Z26" s="67">
        <f>'Cash Flow'!Z122</f>
        <v>33397.446302715194</v>
      </c>
      <c r="AA26" s="68">
        <f>'Cash Flow'!AA122</f>
        <v>33181.396606916103</v>
      </c>
      <c r="AB26" s="271">
        <f>'Cash Flow'!AB122</f>
        <v>9662.8701971761693</v>
      </c>
      <c r="AC26" s="67">
        <f>'Cash Flow'!AC122</f>
        <v>35009.419367527611</v>
      </c>
      <c r="AD26" s="67">
        <f>'Cash Flow'!AD122</f>
        <v>44148.390102609665</v>
      </c>
      <c r="AE26" s="67">
        <f>'Cash Flow'!AE122</f>
        <v>45568.594464337912</v>
      </c>
      <c r="AF26" s="67">
        <f>'Cash Flow'!AF122</f>
        <v>52185.540785240017</v>
      </c>
      <c r="AG26" s="67">
        <f>'Cash Flow'!AG122</f>
        <v>63974.647283458384</v>
      </c>
      <c r="AH26" s="67">
        <f>'Cash Flow'!AH122</f>
        <v>73287.114462752666</v>
      </c>
      <c r="AI26" s="67">
        <f>'Cash Flow'!AI122</f>
        <v>75969.755135752333</v>
      </c>
      <c r="AJ26" s="67">
        <f ca="1">'Cash Flow'!AJ122</f>
        <v>-143606.82299253938</v>
      </c>
      <c r="AK26" s="67">
        <f>'Cash Flow'!AK122</f>
        <v>83144.953719000448</v>
      </c>
      <c r="AL26" s="67">
        <f>'Cash Flow'!AL122</f>
        <v>98606.552155363664</v>
      </c>
      <c r="AM26" s="67">
        <f>'Cash Flow'!AM122</f>
        <v>110429.23045140032</v>
      </c>
    </row>
    <row r="27" spans="1:39" s="67" customFormat="1">
      <c r="A27" s="19"/>
      <c r="B27" s="174" t="s">
        <v>150</v>
      </c>
      <c r="C27" s="166"/>
      <c r="D27" s="182">
        <f t="shared" ref="D27:AM27" si="0">SUM(D19:D26)</f>
        <v>-20289.666666666661</v>
      </c>
      <c r="E27" s="182">
        <f t="shared" si="0"/>
        <v>-4553.6666666666624</v>
      </c>
      <c r="F27" s="182">
        <f t="shared" si="0"/>
        <v>-39807.266666666663</v>
      </c>
      <c r="G27" s="182">
        <f t="shared" si="0"/>
        <v>1855.5333333333276</v>
      </c>
      <c r="H27" s="182">
        <f t="shared" si="0"/>
        <v>-5004.2266666666592</v>
      </c>
      <c r="I27" s="182">
        <f t="shared" si="0"/>
        <v>-13046.986666666675</v>
      </c>
      <c r="J27" s="182">
        <f t="shared" si="0"/>
        <v>-9740.7866666666596</v>
      </c>
      <c r="K27" s="182">
        <f t="shared" si="0"/>
        <v>3883.0383333333302</v>
      </c>
      <c r="L27" s="182">
        <f t="shared" si="0"/>
        <v>-21214.49166666668</v>
      </c>
      <c r="M27" s="182">
        <f t="shared" si="0"/>
        <v>-1557.2466666666496</v>
      </c>
      <c r="N27" s="182">
        <f t="shared" si="0"/>
        <v>12538.761333333332</v>
      </c>
      <c r="O27" s="182">
        <f t="shared" si="0"/>
        <v>-39085.108666666667</v>
      </c>
      <c r="P27" s="270">
        <f t="shared" si="0"/>
        <v>-38766.620666666669</v>
      </c>
      <c r="Q27" s="182">
        <f t="shared" si="0"/>
        <v>21333.897933333348</v>
      </c>
      <c r="R27" s="182">
        <f t="shared" si="0"/>
        <v>-38271.591266666714</v>
      </c>
      <c r="S27" s="182">
        <f t="shared" si="0"/>
        <v>-50513.178000535758</v>
      </c>
      <c r="T27" s="182">
        <f t="shared" si="0"/>
        <v>-16231.857400191057</v>
      </c>
      <c r="U27" s="182">
        <f t="shared" si="0"/>
        <v>-58363.632626349485</v>
      </c>
      <c r="V27" s="182">
        <f t="shared" si="0"/>
        <v>9842.9643536331496</v>
      </c>
      <c r="W27" s="182">
        <f t="shared" si="0"/>
        <v>28163.364956865669</v>
      </c>
      <c r="X27" s="182">
        <f t="shared" ca="1" si="0"/>
        <v>-56227.704898950979</v>
      </c>
      <c r="Y27" s="182">
        <f t="shared" si="0"/>
        <v>25370.038154479225</v>
      </c>
      <c r="Z27" s="182">
        <f t="shared" si="0"/>
        <v>33345.62923604848</v>
      </c>
      <c r="AA27" s="182">
        <f t="shared" si="0"/>
        <v>-46272.484899750554</v>
      </c>
      <c r="AB27" s="270">
        <f t="shared" si="0"/>
        <v>-74273.623902823834</v>
      </c>
      <c r="AC27" s="182">
        <f t="shared" si="0"/>
        <v>51506.956895527634</v>
      </c>
      <c r="AD27" s="182">
        <f t="shared" si="0"/>
        <v>-52078.820453390283</v>
      </c>
      <c r="AE27" s="182">
        <f t="shared" si="0"/>
        <v>-55948.354447662183</v>
      </c>
      <c r="AF27" s="182">
        <f t="shared" si="0"/>
        <v>12674.782301240135</v>
      </c>
      <c r="AG27" s="182">
        <f t="shared" si="0"/>
        <v>-95160.369272541604</v>
      </c>
      <c r="AH27" s="182">
        <f t="shared" si="0"/>
        <v>-37677.614997247394</v>
      </c>
      <c r="AI27" s="182">
        <f t="shared" si="0"/>
        <v>1927.5428987523192</v>
      </c>
      <c r="AJ27" s="182">
        <f t="shared" ca="1" si="0"/>
        <v>-354945.23266353935</v>
      </c>
      <c r="AK27" s="182">
        <f t="shared" si="0"/>
        <v>170045.88292700035</v>
      </c>
      <c r="AL27" s="182">
        <f t="shared" si="0"/>
        <v>135350.20123376366</v>
      </c>
      <c r="AM27" s="182">
        <f t="shared" si="0"/>
        <v>-415142.27924739948</v>
      </c>
    </row>
    <row r="28" spans="1:39" s="67" customFormat="1">
      <c r="A28" s="19"/>
      <c r="B28" s="174"/>
      <c r="C28" s="166"/>
      <c r="O28" s="68"/>
      <c r="P28" s="264"/>
      <c r="Q28" s="72"/>
      <c r="R28" s="72"/>
      <c r="S28" s="72"/>
      <c r="T28" s="72"/>
      <c r="U28" s="72"/>
      <c r="V28" s="72"/>
      <c r="W28" s="72"/>
      <c r="X28" s="72"/>
      <c r="Y28" s="72"/>
      <c r="Z28" s="72"/>
      <c r="AA28" s="71"/>
      <c r="AB28" s="264"/>
    </row>
    <row r="29" spans="1:39" s="67" customFormat="1" ht="16.2" thickBot="1">
      <c r="A29" s="19"/>
      <c r="B29" s="166" t="s">
        <v>151</v>
      </c>
      <c r="C29" s="166"/>
      <c r="D29" s="181">
        <f t="shared" ref="D29:AM29" si="1">D13+D15+D27</f>
        <v>-36330.833333333328</v>
      </c>
      <c r="E29" s="181">
        <f t="shared" si="1"/>
        <v>-18660.198818797195</v>
      </c>
      <c r="F29" s="181">
        <f t="shared" si="1"/>
        <v>-50426.836660450499</v>
      </c>
      <c r="G29" s="181">
        <f t="shared" si="1"/>
        <v>-7050.9463264440219</v>
      </c>
      <c r="H29" s="181">
        <f t="shared" si="1"/>
        <v>-10376.087282712506</v>
      </c>
      <c r="I29" s="181">
        <f t="shared" si="1"/>
        <v>-15557.598992965468</v>
      </c>
      <c r="J29" s="181">
        <f t="shared" si="1"/>
        <v>-8755.2209186777836</v>
      </c>
      <c r="K29" s="181">
        <f t="shared" si="1"/>
        <v>4835.8274809194063</v>
      </c>
      <c r="L29" s="181">
        <f t="shared" si="1"/>
        <v>-18452.478251151751</v>
      </c>
      <c r="M29" s="181">
        <f t="shared" si="1"/>
        <v>4312.8374303934961</v>
      </c>
      <c r="N29" s="181">
        <f t="shared" si="1"/>
        <v>21129.280073111811</v>
      </c>
      <c r="O29" s="181">
        <f t="shared" si="1"/>
        <v>-26999.391773158532</v>
      </c>
      <c r="P29" s="269">
        <f t="shared" si="1"/>
        <v>-17706.029222955018</v>
      </c>
      <c r="Q29" s="181">
        <f t="shared" si="1"/>
        <v>54219.544211485489</v>
      </c>
      <c r="R29" s="181">
        <f t="shared" si="1"/>
        <v>10276.115020236088</v>
      </c>
      <c r="S29" s="181">
        <f t="shared" si="1"/>
        <v>1235.9233623566251</v>
      </c>
      <c r="T29" s="181">
        <f t="shared" si="1"/>
        <v>37398.243399235856</v>
      </c>
      <c r="U29" s="181">
        <f t="shared" si="1"/>
        <v>2466.1980946021431</v>
      </c>
      <c r="V29" s="181">
        <f t="shared" si="1"/>
        <v>78022.808814532473</v>
      </c>
      <c r="W29" s="181">
        <f t="shared" si="1"/>
        <v>94738.752127462532</v>
      </c>
      <c r="X29" s="181">
        <f t="shared" ca="1" si="1"/>
        <v>23726.830704196313</v>
      </c>
      <c r="Y29" s="181">
        <f t="shared" si="1"/>
        <v>114936.75601791672</v>
      </c>
      <c r="Z29" s="181">
        <f t="shared" si="1"/>
        <v>133537.96814419405</v>
      </c>
      <c r="AA29" s="181">
        <f t="shared" si="1"/>
        <v>53271.704920997763</v>
      </c>
      <c r="AB29" s="269">
        <f t="shared" si="1"/>
        <v>37194.986688704681</v>
      </c>
      <c r="AC29" s="181">
        <f t="shared" si="1"/>
        <v>156535.21499811043</v>
      </c>
      <c r="AD29" s="181">
        <f t="shared" si="1"/>
        <v>80366.349854438711</v>
      </c>
      <c r="AE29" s="181">
        <f t="shared" si="1"/>
        <v>80757.428945351538</v>
      </c>
      <c r="AF29" s="181">
        <f t="shared" si="1"/>
        <v>169231.40465696019</v>
      </c>
      <c r="AG29" s="181">
        <f t="shared" si="1"/>
        <v>96763.572577833547</v>
      </c>
      <c r="AH29" s="181">
        <f t="shared" si="1"/>
        <v>182183.72839101061</v>
      </c>
      <c r="AI29" s="181">
        <f t="shared" si="1"/>
        <v>229836.80830600933</v>
      </c>
      <c r="AJ29" s="181">
        <f t="shared" ca="1" si="1"/>
        <v>-133539.24429541151</v>
      </c>
      <c r="AK29" s="181">
        <f t="shared" si="1"/>
        <v>419480.74408400169</v>
      </c>
      <c r="AL29" s="181">
        <f t="shared" si="1"/>
        <v>402527.30010485457</v>
      </c>
      <c r="AM29" s="181">
        <f t="shared" si="1"/>
        <v>-131373.70909319853</v>
      </c>
    </row>
    <row r="30" spans="1:39" s="67" customFormat="1" ht="16.2" thickTop="1">
      <c r="A30" s="19"/>
      <c r="B30" s="174"/>
      <c r="C30" s="166"/>
      <c r="O30" s="68"/>
      <c r="P30" s="264"/>
      <c r="Q30" s="72"/>
      <c r="R30" s="72"/>
      <c r="S30" s="72"/>
      <c r="T30" s="72"/>
      <c r="U30" s="72"/>
      <c r="V30" s="72"/>
      <c r="W30" s="72"/>
      <c r="X30" s="72"/>
      <c r="Y30" s="72"/>
      <c r="Z30" s="72"/>
      <c r="AA30" s="71"/>
      <c r="AB30" s="264"/>
    </row>
    <row r="31" spans="1:39" s="67" customFormat="1">
      <c r="A31" s="19"/>
      <c r="B31" s="166"/>
      <c r="C31" s="19"/>
      <c r="O31" s="68"/>
      <c r="P31" s="264"/>
      <c r="Q31" s="72"/>
      <c r="R31" s="72"/>
      <c r="S31" s="72"/>
      <c r="T31" s="72"/>
      <c r="U31" s="72"/>
      <c r="V31" s="72"/>
      <c r="W31" s="72"/>
      <c r="X31" s="72"/>
      <c r="Y31" s="72"/>
      <c r="Z31" s="72"/>
      <c r="AA31" s="71"/>
      <c r="AB31" s="264"/>
    </row>
    <row r="32" spans="1:39" s="252" customFormat="1">
      <c r="B32" s="253" t="s">
        <v>152</v>
      </c>
      <c r="O32" s="274"/>
      <c r="P32" s="277"/>
      <c r="AA32" s="274"/>
      <c r="AB32" s="277"/>
    </row>
    <row r="33" spans="1:39" s="67" customFormat="1">
      <c r="A33" s="19"/>
      <c r="B33" s="166"/>
      <c r="C33" s="19"/>
      <c r="O33" s="68"/>
      <c r="P33" s="264"/>
      <c r="Q33" s="72"/>
      <c r="R33" s="72"/>
      <c r="S33" s="72"/>
      <c r="T33" s="72"/>
      <c r="U33" s="72"/>
      <c r="V33" s="72"/>
      <c r="W33" s="72"/>
      <c r="X33" s="72"/>
      <c r="Y33" s="72"/>
      <c r="Z33" s="72"/>
      <c r="AA33" s="71"/>
      <c r="AB33" s="264"/>
    </row>
    <row r="34" spans="1:39" s="67" customFormat="1">
      <c r="A34" s="19"/>
      <c r="B34" s="166" t="s">
        <v>163</v>
      </c>
      <c r="C34" s="19"/>
      <c r="O34" s="68"/>
      <c r="P34" s="264"/>
      <c r="Q34" s="72"/>
      <c r="R34" s="72"/>
      <c r="S34" s="72"/>
      <c r="T34" s="72"/>
      <c r="U34" s="72"/>
      <c r="V34" s="72"/>
      <c r="W34" s="72"/>
      <c r="X34" s="72"/>
      <c r="Y34" s="72"/>
      <c r="Z34" s="72"/>
      <c r="AA34" s="71"/>
      <c r="AB34" s="264"/>
    </row>
    <row r="35" spans="1:39" s="67" customFormat="1">
      <c r="A35" s="19"/>
      <c r="B35" s="174" t="str">
        <f>'Profit &amp; Loss Ecommerce'!B77</f>
        <v>Purchase of Property</v>
      </c>
      <c r="C35" s="19"/>
      <c r="D35" s="67">
        <f>-'Profit &amp; Loss Ecommerce'!D77</f>
        <v>0</v>
      </c>
      <c r="O35" s="68"/>
      <c r="P35" s="264"/>
      <c r="Q35" s="72"/>
      <c r="R35" s="72"/>
      <c r="S35" s="72"/>
      <c r="T35" s="72"/>
      <c r="U35" s="72"/>
      <c r="V35" s="72"/>
      <c r="W35" s="72"/>
      <c r="X35" s="72"/>
      <c r="Y35" s="72"/>
      <c r="Z35" s="72"/>
      <c r="AA35" s="71"/>
      <c r="AB35" s="264"/>
    </row>
    <row r="36" spans="1:39" s="67" customFormat="1">
      <c r="A36" s="19"/>
      <c r="B36" s="174" t="e">
        <f>'Profit &amp; Loss Ecommerce'!#REF!</f>
        <v>#REF!</v>
      </c>
      <c r="C36" s="19"/>
      <c r="D36" s="67">
        <f>-'Cash Flow'!D126</f>
        <v>-9600</v>
      </c>
      <c r="E36" s="67">
        <f>'Cash Flow'!E126</f>
        <v>0</v>
      </c>
      <c r="F36" s="67">
        <f>'Cash Flow'!F126</f>
        <v>0</v>
      </c>
      <c r="G36" s="67">
        <f>'Cash Flow'!G126</f>
        <v>0</v>
      </c>
      <c r="H36" s="67">
        <f>'Cash Flow'!H126</f>
        <v>0</v>
      </c>
      <c r="I36" s="67">
        <f>'Cash Flow'!I126</f>
        <v>0</v>
      </c>
      <c r="J36" s="67">
        <f>'Cash Flow'!J126</f>
        <v>0</v>
      </c>
      <c r="K36" s="67">
        <f>'Cash Flow'!K126</f>
        <v>0</v>
      </c>
      <c r="L36" s="67">
        <f>'Cash Flow'!L126</f>
        <v>0</v>
      </c>
      <c r="M36" s="67">
        <f>'Cash Flow'!M126</f>
        <v>0</v>
      </c>
      <c r="N36" s="67">
        <f>'Cash Flow'!N126</f>
        <v>0</v>
      </c>
      <c r="O36" s="68">
        <f>'Cash Flow'!O126</f>
        <v>0</v>
      </c>
      <c r="P36" s="271">
        <f>'Cash Flow'!P126</f>
        <v>10400</v>
      </c>
      <c r="Q36" s="67">
        <f>'Cash Flow'!Q126</f>
        <v>0</v>
      </c>
      <c r="R36" s="67">
        <f>'Cash Flow'!R126</f>
        <v>0</v>
      </c>
      <c r="S36" s="67">
        <f>'Cash Flow'!S126</f>
        <v>0</v>
      </c>
      <c r="T36" s="67">
        <f>'Cash Flow'!T126</f>
        <v>0</v>
      </c>
      <c r="U36" s="67">
        <f>'Cash Flow'!U126</f>
        <v>0</v>
      </c>
      <c r="V36" s="67">
        <f>'Cash Flow'!V126</f>
        <v>0</v>
      </c>
      <c r="W36" s="67">
        <f>'Cash Flow'!W126</f>
        <v>0</v>
      </c>
      <c r="X36" s="67">
        <f>'Cash Flow'!X126</f>
        <v>0</v>
      </c>
      <c r="Y36" s="67">
        <f>'Cash Flow'!Y126</f>
        <v>0</v>
      </c>
      <c r="Z36" s="67">
        <f>'Cash Flow'!Z126</f>
        <v>0</v>
      </c>
      <c r="AA36" s="68">
        <f>'Cash Flow'!AA126</f>
        <v>0</v>
      </c>
      <c r="AB36" s="271">
        <f>'Cash Flow'!AB127</f>
        <v>1200</v>
      </c>
      <c r="AC36" s="67">
        <f>'Cash Flow'!AC126</f>
        <v>0</v>
      </c>
      <c r="AD36" s="67">
        <f>'Cash Flow'!AD126</f>
        <v>0</v>
      </c>
      <c r="AE36" s="67">
        <f>'Cash Flow'!AE126</f>
        <v>0</v>
      </c>
      <c r="AF36" s="67">
        <f>'Cash Flow'!AF126</f>
        <v>0</v>
      </c>
      <c r="AG36" s="67">
        <f>'Cash Flow'!AG126</f>
        <v>0</v>
      </c>
      <c r="AH36" s="67">
        <f>'Cash Flow'!AH126</f>
        <v>0</v>
      </c>
      <c r="AI36" s="67">
        <f>'Cash Flow'!AI126</f>
        <v>0</v>
      </c>
      <c r="AJ36" s="67">
        <f>'Cash Flow'!AJ126</f>
        <v>0</v>
      </c>
      <c r="AK36" s="67">
        <f>'Cash Flow'!AK126</f>
        <v>0</v>
      </c>
      <c r="AL36" s="67">
        <f>'Cash Flow'!AL126</f>
        <v>0</v>
      </c>
      <c r="AM36" s="67">
        <f>'Cash Flow'!AM126</f>
        <v>0</v>
      </c>
    </row>
    <row r="37" spans="1:39" s="67" customFormat="1">
      <c r="A37" s="19"/>
      <c r="B37" s="174" t="e">
        <f>'Profit &amp; Loss Ecommerce'!#REF!</f>
        <v>#REF!</v>
      </c>
      <c r="C37" s="19"/>
      <c r="D37" s="67">
        <f>-'Cash Flow'!D127</f>
        <v>-1200</v>
      </c>
      <c r="E37" s="67">
        <f>'Cash Flow'!E127</f>
        <v>0</v>
      </c>
      <c r="F37" s="67">
        <f>'Cash Flow'!F127</f>
        <v>0</v>
      </c>
      <c r="G37" s="67">
        <f>'Cash Flow'!G127</f>
        <v>0</v>
      </c>
      <c r="H37" s="67">
        <f>'Cash Flow'!H127</f>
        <v>0</v>
      </c>
      <c r="I37" s="67">
        <f>'Cash Flow'!I127</f>
        <v>0</v>
      </c>
      <c r="J37" s="67">
        <f>'Cash Flow'!J127</f>
        <v>0</v>
      </c>
      <c r="K37" s="67">
        <f>'Cash Flow'!K127</f>
        <v>0</v>
      </c>
      <c r="L37" s="67">
        <f>'Cash Flow'!L127</f>
        <v>0</v>
      </c>
      <c r="M37" s="67">
        <f>'Cash Flow'!M127</f>
        <v>0</v>
      </c>
      <c r="N37" s="67">
        <f>'Cash Flow'!N127</f>
        <v>0</v>
      </c>
      <c r="O37" s="68">
        <f>'Cash Flow'!O127</f>
        <v>0</v>
      </c>
      <c r="P37" s="271">
        <f>'Cash Flow'!P127</f>
        <v>0</v>
      </c>
      <c r="Q37" s="67">
        <f>'Cash Flow'!Q127</f>
        <v>0</v>
      </c>
      <c r="R37" s="67">
        <f>'Cash Flow'!R127</f>
        <v>0</v>
      </c>
      <c r="S37" s="67">
        <f>'Cash Flow'!S127</f>
        <v>0</v>
      </c>
      <c r="T37" s="67">
        <f>'Cash Flow'!T127</f>
        <v>0</v>
      </c>
      <c r="U37" s="67">
        <f>'Cash Flow'!U127</f>
        <v>0</v>
      </c>
      <c r="V37" s="67">
        <f>'Cash Flow'!V127</f>
        <v>0</v>
      </c>
      <c r="W37" s="67">
        <f>'Cash Flow'!W127</f>
        <v>0</v>
      </c>
      <c r="X37" s="67">
        <f>'Cash Flow'!X127</f>
        <v>0</v>
      </c>
      <c r="Y37" s="67">
        <f>'Cash Flow'!Y127</f>
        <v>0</v>
      </c>
      <c r="Z37" s="67">
        <f>'Cash Flow'!Z127</f>
        <v>0</v>
      </c>
      <c r="AA37" s="68">
        <f>'Cash Flow'!AA127</f>
        <v>0</v>
      </c>
      <c r="AB37" s="271">
        <f>'Cash Flow'!AB128</f>
        <v>480</v>
      </c>
      <c r="AC37" s="67">
        <f>'Cash Flow'!AC127</f>
        <v>0</v>
      </c>
      <c r="AD37" s="67">
        <f>'Cash Flow'!AD127</f>
        <v>0</v>
      </c>
      <c r="AE37" s="67">
        <f>'Cash Flow'!AE127</f>
        <v>0</v>
      </c>
      <c r="AF37" s="67">
        <f>'Cash Flow'!AF127</f>
        <v>0</v>
      </c>
      <c r="AG37" s="67">
        <f>'Cash Flow'!AG127</f>
        <v>0</v>
      </c>
      <c r="AH37" s="67">
        <f>'Cash Flow'!AH127</f>
        <v>0</v>
      </c>
      <c r="AI37" s="67">
        <f>'Cash Flow'!AI127</f>
        <v>0</v>
      </c>
      <c r="AJ37" s="67">
        <f>'Cash Flow'!AJ127</f>
        <v>0</v>
      </c>
      <c r="AK37" s="67">
        <f>'Cash Flow'!AK127</f>
        <v>0</v>
      </c>
      <c r="AL37" s="67">
        <f>'Cash Flow'!AL127</f>
        <v>0</v>
      </c>
      <c r="AM37" s="67">
        <f>'Cash Flow'!AM127</f>
        <v>0</v>
      </c>
    </row>
    <row r="38" spans="1:39" s="67" customFormat="1">
      <c r="A38" s="19"/>
      <c r="B38" s="174"/>
      <c r="C38" s="19"/>
      <c r="D38" s="182">
        <f>SUM(D35:D37)</f>
        <v>-10800</v>
      </c>
      <c r="E38" s="182">
        <f t="shared" ref="E38:AM38" si="2">SUM(E35:E37)</f>
        <v>0</v>
      </c>
      <c r="F38" s="182">
        <f t="shared" si="2"/>
        <v>0</v>
      </c>
      <c r="G38" s="182">
        <f t="shared" si="2"/>
        <v>0</v>
      </c>
      <c r="H38" s="182">
        <f t="shared" si="2"/>
        <v>0</v>
      </c>
      <c r="I38" s="182">
        <f t="shared" si="2"/>
        <v>0</v>
      </c>
      <c r="J38" s="182">
        <f t="shared" si="2"/>
        <v>0</v>
      </c>
      <c r="K38" s="182">
        <f t="shared" si="2"/>
        <v>0</v>
      </c>
      <c r="L38" s="182">
        <f t="shared" si="2"/>
        <v>0</v>
      </c>
      <c r="M38" s="182">
        <f t="shared" si="2"/>
        <v>0</v>
      </c>
      <c r="N38" s="182">
        <f t="shared" si="2"/>
        <v>0</v>
      </c>
      <c r="O38" s="182">
        <f t="shared" si="2"/>
        <v>0</v>
      </c>
      <c r="P38" s="270">
        <f t="shared" si="2"/>
        <v>10400</v>
      </c>
      <c r="Q38" s="182">
        <f t="shared" si="2"/>
        <v>0</v>
      </c>
      <c r="R38" s="182">
        <f t="shared" si="2"/>
        <v>0</v>
      </c>
      <c r="S38" s="182">
        <f t="shared" si="2"/>
        <v>0</v>
      </c>
      <c r="T38" s="182">
        <f t="shared" si="2"/>
        <v>0</v>
      </c>
      <c r="U38" s="182">
        <f t="shared" si="2"/>
        <v>0</v>
      </c>
      <c r="V38" s="182">
        <f t="shared" si="2"/>
        <v>0</v>
      </c>
      <c r="W38" s="182">
        <f t="shared" si="2"/>
        <v>0</v>
      </c>
      <c r="X38" s="182">
        <f t="shared" si="2"/>
        <v>0</v>
      </c>
      <c r="Y38" s="182">
        <f t="shared" si="2"/>
        <v>0</v>
      </c>
      <c r="Z38" s="182">
        <f t="shared" si="2"/>
        <v>0</v>
      </c>
      <c r="AA38" s="182">
        <f t="shared" si="2"/>
        <v>0</v>
      </c>
      <c r="AB38" s="270">
        <f t="shared" si="2"/>
        <v>1680</v>
      </c>
      <c r="AC38" s="182">
        <f t="shared" si="2"/>
        <v>0</v>
      </c>
      <c r="AD38" s="182">
        <f t="shared" si="2"/>
        <v>0</v>
      </c>
      <c r="AE38" s="182">
        <f t="shared" si="2"/>
        <v>0</v>
      </c>
      <c r="AF38" s="182">
        <f t="shared" si="2"/>
        <v>0</v>
      </c>
      <c r="AG38" s="182">
        <f t="shared" si="2"/>
        <v>0</v>
      </c>
      <c r="AH38" s="182">
        <f t="shared" si="2"/>
        <v>0</v>
      </c>
      <c r="AI38" s="182">
        <f t="shared" si="2"/>
        <v>0</v>
      </c>
      <c r="AJ38" s="182">
        <f t="shared" si="2"/>
        <v>0</v>
      </c>
      <c r="AK38" s="182">
        <f t="shared" si="2"/>
        <v>0</v>
      </c>
      <c r="AL38" s="182">
        <f t="shared" si="2"/>
        <v>0</v>
      </c>
      <c r="AM38" s="182">
        <f t="shared" si="2"/>
        <v>0</v>
      </c>
    </row>
    <row r="39" spans="1:39" s="67" customFormat="1">
      <c r="A39" s="19"/>
      <c r="B39" s="174"/>
      <c r="C39" s="19"/>
      <c r="O39" s="68"/>
      <c r="P39" s="271"/>
      <c r="AA39" s="68"/>
      <c r="AB39" s="271"/>
    </row>
    <row r="40" spans="1:39" s="67" customFormat="1">
      <c r="A40" s="19"/>
      <c r="B40" s="174" t="s">
        <v>164</v>
      </c>
      <c r="C40" s="19"/>
      <c r="O40" s="68"/>
      <c r="P40" s="271"/>
      <c r="AA40" s="68"/>
      <c r="AB40" s="271"/>
    </row>
    <row r="41" spans="1:39" s="67" customFormat="1">
      <c r="A41" s="19"/>
      <c r="B41" s="255" t="s">
        <v>148</v>
      </c>
      <c r="C41" s="19"/>
      <c r="D41" s="67">
        <f>'Cash Flow'!D142</f>
        <v>50000</v>
      </c>
      <c r="E41" s="67">
        <f>'Cash Flow'!E142</f>
        <v>0</v>
      </c>
      <c r="F41" s="67">
        <f>'Cash Flow'!F142</f>
        <v>-50000</v>
      </c>
      <c r="G41" s="67">
        <f>'Cash Flow'!G142</f>
        <v>0</v>
      </c>
      <c r="H41" s="67">
        <f>'Cash Flow'!H142</f>
        <v>0</v>
      </c>
      <c r="I41" s="67">
        <f>'Cash Flow'!I142</f>
        <v>0</v>
      </c>
      <c r="J41" s="67">
        <f>'Cash Flow'!J142</f>
        <v>0</v>
      </c>
      <c r="K41" s="67">
        <f>'Cash Flow'!K142</f>
        <v>0</v>
      </c>
      <c r="L41" s="67">
        <f>'Cash Flow'!L142</f>
        <v>0</v>
      </c>
      <c r="M41" s="67">
        <f>'Cash Flow'!M142</f>
        <v>0</v>
      </c>
      <c r="N41" s="67">
        <f>'Cash Flow'!N142</f>
        <v>0</v>
      </c>
      <c r="O41" s="68">
        <f>'Cash Flow'!O142</f>
        <v>0</v>
      </c>
      <c r="P41" s="271">
        <f>'Cash Flow'!P142</f>
        <v>0</v>
      </c>
      <c r="Q41" s="67">
        <f>'Cash Flow'!Q142</f>
        <v>0</v>
      </c>
      <c r="R41" s="67">
        <f>'Cash Flow'!R142</f>
        <v>-53256</v>
      </c>
      <c r="S41" s="67">
        <f>'Cash Flow'!S142</f>
        <v>0</v>
      </c>
      <c r="T41" s="67">
        <f>'Cash Flow'!T142</f>
        <v>0</v>
      </c>
      <c r="U41" s="67">
        <f>'Cash Flow'!U142</f>
        <v>0</v>
      </c>
      <c r="V41" s="67">
        <f>'Cash Flow'!V142</f>
        <v>0</v>
      </c>
      <c r="W41" s="67">
        <f>'Cash Flow'!W142</f>
        <v>0</v>
      </c>
      <c r="X41" s="67">
        <f>'Cash Flow'!X142</f>
        <v>0</v>
      </c>
      <c r="Y41" s="67">
        <f>'Cash Flow'!Y142</f>
        <v>0</v>
      </c>
      <c r="Z41" s="67">
        <f>'Cash Flow'!Z142</f>
        <v>0</v>
      </c>
      <c r="AA41" s="68">
        <f>'Cash Flow'!AA142</f>
        <v>0</v>
      </c>
      <c r="AB41" s="271">
        <f>'Cash Flow'!AB142</f>
        <v>0</v>
      </c>
      <c r="AC41" s="67">
        <f>'Cash Flow'!AC142</f>
        <v>0</v>
      </c>
      <c r="AD41" s="67">
        <f>'Cash Flow'!AD142</f>
        <v>0</v>
      </c>
      <c r="AE41" s="67">
        <f>'Cash Flow'!AE142</f>
        <v>-276080</v>
      </c>
      <c r="AF41" s="67">
        <f>'Cash Flow'!AF142</f>
        <v>0</v>
      </c>
      <c r="AG41" s="67">
        <f>'Cash Flow'!AG142</f>
        <v>0</v>
      </c>
      <c r="AH41" s="67">
        <f>'Cash Flow'!AH142</f>
        <v>0</v>
      </c>
      <c r="AI41" s="67">
        <f>'Cash Flow'!AI142</f>
        <v>0</v>
      </c>
      <c r="AJ41" s="67">
        <f>'Cash Flow'!AJ142</f>
        <v>0</v>
      </c>
      <c r="AK41" s="67">
        <f>'Cash Flow'!AK142</f>
        <v>0</v>
      </c>
      <c r="AL41" s="67">
        <f>'Cash Flow'!AL142</f>
        <v>0</v>
      </c>
      <c r="AM41" s="67">
        <f>'Cash Flow'!AM142</f>
        <v>0</v>
      </c>
    </row>
    <row r="42" spans="1:39" s="67" customFormat="1">
      <c r="A42" s="19"/>
      <c r="B42" s="255" t="s">
        <v>177</v>
      </c>
      <c r="C42" s="19"/>
      <c r="D42" s="67">
        <f>'Cash Flow'!D116</f>
        <v>-9960</v>
      </c>
      <c r="E42" s="67">
        <f>'Cash Flow'!E116</f>
        <v>0</v>
      </c>
      <c r="F42" s="67">
        <f>'Cash Flow'!F116</f>
        <v>9960</v>
      </c>
      <c r="G42" s="67">
        <f>'Cash Flow'!G116</f>
        <v>0</v>
      </c>
      <c r="H42" s="67">
        <f>'Cash Flow'!H116</f>
        <v>0</v>
      </c>
      <c r="I42" s="67">
        <f>'Cash Flow'!I116</f>
        <v>0</v>
      </c>
      <c r="J42" s="67">
        <f>'Cash Flow'!J116</f>
        <v>0</v>
      </c>
      <c r="K42" s="67">
        <f>'Cash Flow'!K116</f>
        <v>0</v>
      </c>
      <c r="L42" s="67">
        <f>'Cash Flow'!L116</f>
        <v>0</v>
      </c>
      <c r="M42" s="67">
        <f>'Cash Flow'!M116</f>
        <v>0</v>
      </c>
      <c r="N42" s="67">
        <f>'Cash Flow'!N116</f>
        <v>0</v>
      </c>
      <c r="O42" s="68">
        <f>'Cash Flow'!O116</f>
        <v>0</v>
      </c>
      <c r="P42" s="271">
        <f>'Cash Flow'!P116</f>
        <v>-8876</v>
      </c>
      <c r="Q42" s="67">
        <f>'Cash Flow'!Q116</f>
        <v>0</v>
      </c>
      <c r="R42" s="67">
        <f>'Cash Flow'!R116</f>
        <v>8876</v>
      </c>
      <c r="S42" s="67">
        <f>'Cash Flow'!S116</f>
        <v>0</v>
      </c>
      <c r="T42" s="67">
        <f>'Cash Flow'!T116</f>
        <v>0</v>
      </c>
      <c r="U42" s="67">
        <f>'Cash Flow'!U116</f>
        <v>0</v>
      </c>
      <c r="V42" s="67">
        <f>'Cash Flow'!V116</f>
        <v>0</v>
      </c>
      <c r="W42" s="67">
        <f>'Cash Flow'!W116</f>
        <v>0</v>
      </c>
      <c r="X42" s="67">
        <f>'Cash Flow'!X116</f>
        <v>0</v>
      </c>
      <c r="Y42" s="67">
        <f>'Cash Flow'!Y116</f>
        <v>0</v>
      </c>
      <c r="Z42" s="67">
        <f>'Cash Flow'!Z116</f>
        <v>0</v>
      </c>
      <c r="AA42" s="68">
        <f>'Cash Flow'!AA116</f>
        <v>0</v>
      </c>
      <c r="AB42" s="271">
        <f>'Cash Flow'!AB116</f>
        <v>-96800</v>
      </c>
      <c r="AC42" s="67">
        <f>'Cash Flow'!AC116</f>
        <v>0</v>
      </c>
      <c r="AD42" s="67">
        <f>'Cash Flow'!AD116</f>
        <v>96800</v>
      </c>
      <c r="AE42" s="67">
        <f>'Cash Flow'!AE116</f>
        <v>0</v>
      </c>
      <c r="AF42" s="67">
        <f>'Cash Flow'!AF116</f>
        <v>0</v>
      </c>
      <c r="AG42" s="67">
        <f>'Cash Flow'!AG116</f>
        <v>0</v>
      </c>
      <c r="AH42" s="67">
        <f>'Cash Flow'!AH116</f>
        <v>0</v>
      </c>
      <c r="AI42" s="67">
        <f>'Cash Flow'!AI116</f>
        <v>0</v>
      </c>
      <c r="AJ42" s="67">
        <f>'Cash Flow'!AJ116</f>
        <v>0</v>
      </c>
      <c r="AK42" s="67">
        <f>'Cash Flow'!AK116</f>
        <v>0</v>
      </c>
      <c r="AL42" s="67">
        <f>'Cash Flow'!AL116</f>
        <v>0</v>
      </c>
      <c r="AM42" s="67">
        <f>'Cash Flow'!AM116</f>
        <v>0</v>
      </c>
    </row>
    <row r="43" spans="1:39" s="67" customFormat="1">
      <c r="A43" s="19"/>
      <c r="B43" s="255"/>
      <c r="C43" s="19"/>
      <c r="D43" s="182">
        <f t="shared" ref="D43:AM43" si="3">SUM(D41:D42)</f>
        <v>40040</v>
      </c>
      <c r="E43" s="182">
        <f t="shared" si="3"/>
        <v>0</v>
      </c>
      <c r="F43" s="182">
        <f t="shared" si="3"/>
        <v>-40040</v>
      </c>
      <c r="G43" s="182">
        <f t="shared" si="3"/>
        <v>0</v>
      </c>
      <c r="H43" s="182">
        <f t="shared" si="3"/>
        <v>0</v>
      </c>
      <c r="I43" s="182">
        <f t="shared" si="3"/>
        <v>0</v>
      </c>
      <c r="J43" s="182">
        <f t="shared" si="3"/>
        <v>0</v>
      </c>
      <c r="K43" s="182">
        <f t="shared" si="3"/>
        <v>0</v>
      </c>
      <c r="L43" s="182">
        <f t="shared" si="3"/>
        <v>0</v>
      </c>
      <c r="M43" s="182">
        <f t="shared" si="3"/>
        <v>0</v>
      </c>
      <c r="N43" s="182">
        <f t="shared" si="3"/>
        <v>0</v>
      </c>
      <c r="O43" s="182">
        <f t="shared" si="3"/>
        <v>0</v>
      </c>
      <c r="P43" s="270">
        <f t="shared" si="3"/>
        <v>-8876</v>
      </c>
      <c r="Q43" s="182">
        <f t="shared" si="3"/>
        <v>0</v>
      </c>
      <c r="R43" s="182">
        <f t="shared" si="3"/>
        <v>-44380</v>
      </c>
      <c r="S43" s="182">
        <f t="shared" si="3"/>
        <v>0</v>
      </c>
      <c r="T43" s="182">
        <f t="shared" si="3"/>
        <v>0</v>
      </c>
      <c r="U43" s="182">
        <f t="shared" si="3"/>
        <v>0</v>
      </c>
      <c r="V43" s="182">
        <f t="shared" si="3"/>
        <v>0</v>
      </c>
      <c r="W43" s="182">
        <f t="shared" si="3"/>
        <v>0</v>
      </c>
      <c r="X43" s="182">
        <f t="shared" si="3"/>
        <v>0</v>
      </c>
      <c r="Y43" s="182">
        <f t="shared" si="3"/>
        <v>0</v>
      </c>
      <c r="Z43" s="182">
        <f t="shared" si="3"/>
        <v>0</v>
      </c>
      <c r="AA43" s="182">
        <f t="shared" si="3"/>
        <v>0</v>
      </c>
      <c r="AB43" s="270">
        <f t="shared" si="3"/>
        <v>-96800</v>
      </c>
      <c r="AC43" s="182">
        <f t="shared" si="3"/>
        <v>0</v>
      </c>
      <c r="AD43" s="182">
        <f t="shared" si="3"/>
        <v>96800</v>
      </c>
      <c r="AE43" s="182">
        <f t="shared" si="3"/>
        <v>-276080</v>
      </c>
      <c r="AF43" s="182">
        <f t="shared" si="3"/>
        <v>0</v>
      </c>
      <c r="AG43" s="182">
        <f t="shared" si="3"/>
        <v>0</v>
      </c>
      <c r="AH43" s="182">
        <f t="shared" si="3"/>
        <v>0</v>
      </c>
      <c r="AI43" s="182">
        <f t="shared" si="3"/>
        <v>0</v>
      </c>
      <c r="AJ43" s="182">
        <f t="shared" si="3"/>
        <v>0</v>
      </c>
      <c r="AK43" s="182">
        <f t="shared" si="3"/>
        <v>0</v>
      </c>
      <c r="AL43" s="182">
        <f t="shared" si="3"/>
        <v>0</v>
      </c>
      <c r="AM43" s="182">
        <f t="shared" si="3"/>
        <v>0</v>
      </c>
    </row>
    <row r="44" spans="1:39" s="67" customFormat="1">
      <c r="A44" s="19"/>
      <c r="B44" s="166"/>
      <c r="C44" s="19"/>
      <c r="O44" s="68"/>
      <c r="P44" s="271"/>
      <c r="AA44" s="68"/>
      <c r="AB44" s="271"/>
    </row>
    <row r="45" spans="1:39" s="67" customFormat="1" ht="16.2" thickBot="1">
      <c r="A45" s="19"/>
      <c r="B45" s="166" t="s">
        <v>153</v>
      </c>
      <c r="C45" s="19"/>
      <c r="D45" s="181">
        <f t="shared" ref="D45:AM45" si="4">D38+D43</f>
        <v>29240</v>
      </c>
      <c r="E45" s="181">
        <f t="shared" si="4"/>
        <v>0</v>
      </c>
      <c r="F45" s="181">
        <f t="shared" si="4"/>
        <v>-40040</v>
      </c>
      <c r="G45" s="181">
        <f t="shared" si="4"/>
        <v>0</v>
      </c>
      <c r="H45" s="181">
        <f t="shared" si="4"/>
        <v>0</v>
      </c>
      <c r="I45" s="181">
        <f t="shared" si="4"/>
        <v>0</v>
      </c>
      <c r="J45" s="181">
        <f t="shared" si="4"/>
        <v>0</v>
      </c>
      <c r="K45" s="181">
        <f t="shared" si="4"/>
        <v>0</v>
      </c>
      <c r="L45" s="181">
        <f t="shared" si="4"/>
        <v>0</v>
      </c>
      <c r="M45" s="181">
        <f t="shared" si="4"/>
        <v>0</v>
      </c>
      <c r="N45" s="181">
        <f t="shared" si="4"/>
        <v>0</v>
      </c>
      <c r="O45" s="181">
        <f t="shared" si="4"/>
        <v>0</v>
      </c>
      <c r="P45" s="269">
        <f t="shared" si="4"/>
        <v>1524</v>
      </c>
      <c r="Q45" s="181">
        <f t="shared" si="4"/>
        <v>0</v>
      </c>
      <c r="R45" s="181">
        <f t="shared" si="4"/>
        <v>-44380</v>
      </c>
      <c r="S45" s="181">
        <f t="shared" si="4"/>
        <v>0</v>
      </c>
      <c r="T45" s="181">
        <f t="shared" si="4"/>
        <v>0</v>
      </c>
      <c r="U45" s="181">
        <f t="shared" si="4"/>
        <v>0</v>
      </c>
      <c r="V45" s="181">
        <f t="shared" si="4"/>
        <v>0</v>
      </c>
      <c r="W45" s="181">
        <f t="shared" si="4"/>
        <v>0</v>
      </c>
      <c r="X45" s="181">
        <f t="shared" si="4"/>
        <v>0</v>
      </c>
      <c r="Y45" s="181">
        <f t="shared" si="4"/>
        <v>0</v>
      </c>
      <c r="Z45" s="181">
        <f t="shared" si="4"/>
        <v>0</v>
      </c>
      <c r="AA45" s="181">
        <f t="shared" si="4"/>
        <v>0</v>
      </c>
      <c r="AB45" s="269">
        <f t="shared" si="4"/>
        <v>-95120</v>
      </c>
      <c r="AC45" s="181">
        <f t="shared" si="4"/>
        <v>0</v>
      </c>
      <c r="AD45" s="181">
        <f t="shared" si="4"/>
        <v>96800</v>
      </c>
      <c r="AE45" s="181">
        <f t="shared" si="4"/>
        <v>-276080</v>
      </c>
      <c r="AF45" s="181">
        <f t="shared" si="4"/>
        <v>0</v>
      </c>
      <c r="AG45" s="181">
        <f t="shared" si="4"/>
        <v>0</v>
      </c>
      <c r="AH45" s="181">
        <f t="shared" si="4"/>
        <v>0</v>
      </c>
      <c r="AI45" s="181">
        <f t="shared" si="4"/>
        <v>0</v>
      </c>
      <c r="AJ45" s="181">
        <f t="shared" si="4"/>
        <v>0</v>
      </c>
      <c r="AK45" s="181">
        <f t="shared" si="4"/>
        <v>0</v>
      </c>
      <c r="AL45" s="181">
        <f t="shared" si="4"/>
        <v>0</v>
      </c>
      <c r="AM45" s="181">
        <f t="shared" si="4"/>
        <v>0</v>
      </c>
    </row>
    <row r="46" spans="1:39" s="67" customFormat="1" ht="16.2" thickTop="1">
      <c r="A46" s="19"/>
      <c r="B46" s="174"/>
      <c r="C46" s="19"/>
      <c r="O46" s="68"/>
      <c r="P46" s="264"/>
      <c r="Q46" s="72"/>
      <c r="R46" s="72"/>
      <c r="S46" s="72"/>
      <c r="T46" s="72"/>
      <c r="U46" s="72"/>
      <c r="V46" s="72"/>
      <c r="W46" s="72"/>
      <c r="X46" s="72"/>
      <c r="Y46" s="72"/>
      <c r="Z46" s="72"/>
      <c r="AA46" s="71"/>
      <c r="AB46" s="264"/>
    </row>
    <row r="47" spans="1:39" s="67" customFormat="1">
      <c r="A47" s="19"/>
      <c r="B47" s="166"/>
      <c r="C47" s="19"/>
      <c r="O47" s="68"/>
      <c r="P47" s="264"/>
      <c r="Q47" s="72"/>
      <c r="R47" s="72"/>
      <c r="S47" s="72"/>
      <c r="T47" s="72"/>
      <c r="U47" s="72"/>
      <c r="V47" s="72"/>
      <c r="W47" s="72"/>
      <c r="X47" s="72"/>
      <c r="Y47" s="72"/>
      <c r="Z47" s="72"/>
      <c r="AA47" s="71"/>
      <c r="AB47" s="264"/>
    </row>
    <row r="48" spans="1:39" s="252" customFormat="1">
      <c r="B48" s="253" t="s">
        <v>154</v>
      </c>
      <c r="O48" s="274"/>
      <c r="P48" s="277"/>
      <c r="AA48" s="274"/>
      <c r="AB48" s="277"/>
    </row>
    <row r="49" spans="1:39" s="67" customFormat="1">
      <c r="A49" s="19"/>
      <c r="B49" s="166"/>
      <c r="C49" s="19"/>
      <c r="O49" s="68"/>
      <c r="P49" s="264"/>
      <c r="Q49" s="72"/>
      <c r="R49" s="72"/>
      <c r="S49" s="72"/>
      <c r="T49" s="72"/>
      <c r="U49" s="72"/>
      <c r="V49" s="72"/>
      <c r="W49" s="72"/>
      <c r="X49" s="72"/>
      <c r="Y49" s="72"/>
      <c r="Z49" s="72"/>
      <c r="AA49" s="71"/>
      <c r="AB49" s="264"/>
    </row>
    <row r="50" spans="1:39" s="67" customFormat="1">
      <c r="A50" s="19"/>
      <c r="B50" s="166" t="s">
        <v>165</v>
      </c>
      <c r="C50" s="19"/>
      <c r="D50" s="67">
        <f>'Cash Flow'!D43</f>
        <v>200000</v>
      </c>
      <c r="E50" s="67">
        <f>'Cash Flow'!E43</f>
        <v>0</v>
      </c>
      <c r="F50" s="67">
        <f>'Cash Flow'!F43</f>
        <v>0</v>
      </c>
      <c r="G50" s="67">
        <f>'Cash Flow'!G43</f>
        <v>0</v>
      </c>
      <c r="H50" s="67">
        <f>'Cash Flow'!H43</f>
        <v>0</v>
      </c>
      <c r="I50" s="67">
        <f>'Cash Flow'!I43</f>
        <v>0</v>
      </c>
      <c r="J50" s="67">
        <f>'Cash Flow'!J43</f>
        <v>0</v>
      </c>
      <c r="K50" s="67">
        <f>'Cash Flow'!K43</f>
        <v>0</v>
      </c>
      <c r="L50" s="67">
        <f>'Cash Flow'!L43</f>
        <v>0</v>
      </c>
      <c r="M50" s="67">
        <f>'Cash Flow'!M43</f>
        <v>0</v>
      </c>
      <c r="N50" s="67">
        <f>'Cash Flow'!N43</f>
        <v>0</v>
      </c>
      <c r="O50" s="68">
        <f>'Cash Flow'!O43</f>
        <v>0</v>
      </c>
      <c r="P50" s="271">
        <f>'Cash Flow'!P43</f>
        <v>0</v>
      </c>
      <c r="Q50" s="67">
        <f>'Cash Flow'!Q43</f>
        <v>0</v>
      </c>
      <c r="R50" s="67">
        <f>'Cash Flow'!R43</f>
        <v>0</v>
      </c>
      <c r="S50" s="67">
        <f>'Cash Flow'!S43</f>
        <v>0</v>
      </c>
      <c r="T50" s="67">
        <f>'Cash Flow'!T43</f>
        <v>0</v>
      </c>
      <c r="U50" s="67">
        <f>'Cash Flow'!U43</f>
        <v>0</v>
      </c>
      <c r="V50" s="67">
        <f>'Cash Flow'!V43</f>
        <v>0</v>
      </c>
      <c r="W50" s="67">
        <f>'Cash Flow'!W43</f>
        <v>0</v>
      </c>
      <c r="X50" s="67">
        <f>'Cash Flow'!X43</f>
        <v>0</v>
      </c>
      <c r="Y50" s="67">
        <f>'Cash Flow'!Y43</f>
        <v>0</v>
      </c>
      <c r="Z50" s="67">
        <f>'Cash Flow'!Z43</f>
        <v>0</v>
      </c>
      <c r="AA50" s="68">
        <f>'Cash Flow'!AA43</f>
        <v>0</v>
      </c>
      <c r="AB50" s="271">
        <f>'Cash Flow'!AB43</f>
        <v>0</v>
      </c>
      <c r="AC50" s="67">
        <f>'Cash Flow'!AC43</f>
        <v>0</v>
      </c>
      <c r="AD50" s="67">
        <f>'Cash Flow'!AD43</f>
        <v>0</v>
      </c>
      <c r="AE50" s="67">
        <f>'Cash Flow'!AE43</f>
        <v>0</v>
      </c>
      <c r="AF50" s="67">
        <f>'Cash Flow'!AF43</f>
        <v>0</v>
      </c>
      <c r="AG50" s="67">
        <f>'Cash Flow'!AG43</f>
        <v>0</v>
      </c>
      <c r="AH50" s="67">
        <f>'Cash Flow'!AH43</f>
        <v>0</v>
      </c>
      <c r="AI50" s="67">
        <f>'Cash Flow'!AI43</f>
        <v>0</v>
      </c>
      <c r="AJ50" s="67">
        <f>'Cash Flow'!AJ43</f>
        <v>0</v>
      </c>
      <c r="AK50" s="67">
        <f>'Cash Flow'!AK43</f>
        <v>0</v>
      </c>
      <c r="AL50" s="67">
        <f>'Cash Flow'!AL43</f>
        <v>0</v>
      </c>
      <c r="AM50" s="67">
        <f>'Cash Flow'!AM43</f>
        <v>0</v>
      </c>
    </row>
    <row r="51" spans="1:39" s="67" customFormat="1">
      <c r="A51" s="19"/>
      <c r="B51" s="166"/>
      <c r="C51" s="19"/>
      <c r="O51" s="68"/>
      <c r="P51" s="271"/>
      <c r="AA51" s="68"/>
      <c r="AB51" s="271"/>
    </row>
    <row r="52" spans="1:39" s="67" customFormat="1">
      <c r="A52" s="19"/>
      <c r="B52" s="166" t="s">
        <v>155</v>
      </c>
      <c r="C52" s="19"/>
      <c r="D52" s="67">
        <f>-'Cash Flow'!D154</f>
        <v>0</v>
      </c>
      <c r="E52" s="67">
        <f>-'Cash Flow'!E154</f>
        <v>0</v>
      </c>
      <c r="F52" s="67">
        <f>-'Cash Flow'!F154</f>
        <v>0</v>
      </c>
      <c r="G52" s="67">
        <f>-'Cash Flow'!G154</f>
        <v>0</v>
      </c>
      <c r="H52" s="67">
        <f>-'Cash Flow'!H154</f>
        <v>0</v>
      </c>
      <c r="I52" s="67">
        <f>-'Cash Flow'!I154</f>
        <v>0</v>
      </c>
      <c r="J52" s="67">
        <f>-'Cash Flow'!J154</f>
        <v>0</v>
      </c>
      <c r="K52" s="67">
        <f>-'Cash Flow'!K154</f>
        <v>0</v>
      </c>
      <c r="L52" s="67">
        <f>-'Cash Flow'!L154</f>
        <v>0</v>
      </c>
      <c r="M52" s="67">
        <f>-'Cash Flow'!M154</f>
        <v>0</v>
      </c>
      <c r="N52" s="67">
        <f>-'Cash Flow'!N154</f>
        <v>0</v>
      </c>
      <c r="O52" s="68">
        <f>-'Cash Flow'!O154</f>
        <v>0</v>
      </c>
      <c r="P52" s="271">
        <f>-'Cash Flow'!P154</f>
        <v>0</v>
      </c>
      <c r="Q52" s="67">
        <f>-'Cash Flow'!Q154</f>
        <v>0</v>
      </c>
      <c r="R52" s="67">
        <f>-'Cash Flow'!R154</f>
        <v>0</v>
      </c>
      <c r="S52" s="67">
        <f>-'Cash Flow'!S154</f>
        <v>0</v>
      </c>
      <c r="T52" s="67">
        <f>-'Cash Flow'!T154</f>
        <v>-2000</v>
      </c>
      <c r="U52" s="67">
        <f>-'Cash Flow'!U154</f>
        <v>-2000</v>
      </c>
      <c r="V52" s="67">
        <f>-'Cash Flow'!V154</f>
        <v>-2000</v>
      </c>
      <c r="W52" s="67">
        <f>-'Cash Flow'!W154</f>
        <v>-2000</v>
      </c>
      <c r="X52" s="67">
        <f>-'Cash Flow'!X154</f>
        <v>-2000</v>
      </c>
      <c r="Y52" s="67">
        <f>-'Cash Flow'!Y154</f>
        <v>-2000</v>
      </c>
      <c r="Z52" s="67">
        <f>-'Cash Flow'!Z154</f>
        <v>-2000</v>
      </c>
      <c r="AA52" s="68">
        <f>-'Cash Flow'!AA154</f>
        <v>-2000</v>
      </c>
      <c r="AB52" s="271">
        <f>-'Cash Flow'!AB154</f>
        <v>-3000</v>
      </c>
      <c r="AC52" s="67">
        <f>-'Cash Flow'!AC154</f>
        <v>-3000</v>
      </c>
      <c r="AD52" s="67">
        <f>-'Cash Flow'!AD154</f>
        <v>-3000</v>
      </c>
      <c r="AE52" s="67">
        <f>-'Cash Flow'!AE154</f>
        <v>-3000</v>
      </c>
      <c r="AF52" s="67">
        <f>-'Cash Flow'!AF154</f>
        <v>-3000</v>
      </c>
      <c r="AG52" s="67">
        <f>-'Cash Flow'!AG154</f>
        <v>-3000</v>
      </c>
      <c r="AH52" s="67">
        <f>-'Cash Flow'!AH154</f>
        <v>-3000</v>
      </c>
      <c r="AI52" s="67">
        <f>-'Cash Flow'!AI154</f>
        <v>-3000</v>
      </c>
      <c r="AJ52" s="67">
        <f>-'Cash Flow'!AJ154</f>
        <v>-3000</v>
      </c>
      <c r="AK52" s="67">
        <f>-'Cash Flow'!AK154</f>
        <v>-3000</v>
      </c>
      <c r="AL52" s="67">
        <f>-'Cash Flow'!AL154</f>
        <v>-3000</v>
      </c>
      <c r="AM52" s="67">
        <f>-'Cash Flow'!AM154</f>
        <v>-3000</v>
      </c>
    </row>
    <row r="53" spans="1:39" s="67" customFormat="1">
      <c r="A53" s="19"/>
      <c r="B53" s="166"/>
      <c r="C53" s="19"/>
      <c r="O53" s="68"/>
      <c r="P53" s="271"/>
      <c r="AA53" s="68"/>
      <c r="AB53" s="271"/>
    </row>
    <row r="54" spans="1:39" s="67" customFormat="1">
      <c r="A54" s="19"/>
      <c r="B54" s="166" t="s">
        <v>156</v>
      </c>
      <c r="C54" s="19"/>
      <c r="O54" s="68"/>
      <c r="P54" s="271"/>
      <c r="AA54" s="68"/>
      <c r="AB54" s="271"/>
    </row>
    <row r="55" spans="1:39" s="67" customFormat="1">
      <c r="A55" s="19"/>
      <c r="B55" s="254" t="s">
        <v>157</v>
      </c>
      <c r="C55" s="19"/>
      <c r="D55" s="67">
        <f>'Cash Flow'!D146-'Cash Flow'!D147</f>
        <v>492647.71651132789</v>
      </c>
      <c r="E55" s="67">
        <f>'Cash Flow'!E146-'Cash Flow'!E147</f>
        <v>-7382.9180032082677</v>
      </c>
      <c r="F55" s="67">
        <f>'Cash Flow'!F146-'Cash Flow'!F147</f>
        <v>-7413.6801615549684</v>
      </c>
      <c r="G55" s="67">
        <f>'Cash Flow'!G146-'Cash Flow'!G147</f>
        <v>-7444.5704955614483</v>
      </c>
      <c r="H55" s="67">
        <f>'Cash Flow'!H146-'Cash Flow'!H147</f>
        <v>-7475.5895392929542</v>
      </c>
      <c r="I55" s="67">
        <f>'Cash Flow'!I146-'Cash Flow'!I147</f>
        <v>-7506.7378290400075</v>
      </c>
      <c r="J55" s="67">
        <f>'Cash Flow'!J146-'Cash Flow'!J147</f>
        <v>-7538.0159033276741</v>
      </c>
      <c r="K55" s="67">
        <f>'Cash Flow'!K146-'Cash Flow'!K147</f>
        <v>-7569.4243029248728</v>
      </c>
      <c r="L55" s="67">
        <f>'Cash Flow'!L146-'Cash Flow'!L147</f>
        <v>-7600.9635708537271</v>
      </c>
      <c r="M55" s="67">
        <f>'Cash Flow'!M146-'Cash Flow'!M147</f>
        <v>-7632.6342523989506</v>
      </c>
      <c r="N55" s="67">
        <f>'Cash Flow'!N146-'Cash Flow'!N147</f>
        <v>-7664.4368951172801</v>
      </c>
      <c r="O55" s="68">
        <f>'Cash Flow'!O146-'Cash Flow'!O147</f>
        <v>-7696.3720488469362</v>
      </c>
      <c r="P55" s="271">
        <f>'Cash Flow'!P146-'Cash Flow'!P147</f>
        <v>-7728.4402657171304</v>
      </c>
      <c r="Q55" s="67">
        <f>'Cash Flow'!Q146-'Cash Flow'!Q147</f>
        <v>-7760.6421001576173</v>
      </c>
      <c r="R55" s="67">
        <f>'Cash Flow'!R146-'Cash Flow'!R147</f>
        <v>-7792.9781089082753</v>
      </c>
      <c r="S55" s="67">
        <f>'Cash Flow'!S146-'Cash Flow'!S147</f>
        <v>-7825.4488510287256</v>
      </c>
      <c r="T55" s="67">
        <f>'Cash Flow'!T146-'Cash Flow'!T147</f>
        <v>-7858.0548879080125</v>
      </c>
      <c r="U55" s="67">
        <f>'Cash Flow'!U146-'Cash Flow'!U147</f>
        <v>-7890.796783274297</v>
      </c>
      <c r="V55" s="67">
        <f>'Cash Flow'!V146-'Cash Flow'!V147</f>
        <v>-7923.6751032046059</v>
      </c>
      <c r="W55" s="67">
        <f>'Cash Flow'!W146-'Cash Flow'!W147</f>
        <v>-7956.6904161346247</v>
      </c>
      <c r="X55" s="67">
        <f>'Cash Flow'!X146-'Cash Flow'!X147</f>
        <v>-7989.8432928685188</v>
      </c>
      <c r="Y55" s="67">
        <f>'Cash Flow'!Y146-'Cash Flow'!Y147</f>
        <v>-8023.1343065888041</v>
      </c>
      <c r="Z55" s="67">
        <f>'Cash Flow'!Z146-'Cash Flow'!Z147</f>
        <v>-8056.5640328662585</v>
      </c>
      <c r="AA55" s="68">
        <f>'Cash Flow'!AA146-'Cash Flow'!AA147</f>
        <v>-8090.1330496698665</v>
      </c>
      <c r="AB55" s="271">
        <f>'Cash Flow'!AB146-'Cash Flow'!AB147</f>
        <v>-8123.8419373768247</v>
      </c>
      <c r="AC55" s="67">
        <f>'Cash Flow'!AC146-'Cash Flow'!AC147</f>
        <v>-8157.6912787825613</v>
      </c>
      <c r="AD55" s="67">
        <f>'Cash Flow'!AD146-'Cash Flow'!AD147</f>
        <v>-8191.6816591108227</v>
      </c>
      <c r="AE55" s="67">
        <f>'Cash Flow'!AE146-'Cash Flow'!AE147</f>
        <v>-8225.8136660237851</v>
      </c>
      <c r="AF55" s="67">
        <f>'Cash Flow'!AF146-'Cash Flow'!AF147</f>
        <v>-8260.0878896322174</v>
      </c>
      <c r="AG55" s="67">
        <f>'Cash Flow'!AG146-'Cash Flow'!AG147</f>
        <v>-8294.5049225056846</v>
      </c>
      <c r="AH55" s="67">
        <f>'Cash Flow'!AH146-'Cash Flow'!AH147</f>
        <v>-8329.0653596827906</v>
      </c>
      <c r="AI55" s="67">
        <f>'Cash Flow'!AI146-'Cash Flow'!AI147</f>
        <v>-8363.7697986814692</v>
      </c>
      <c r="AJ55" s="67">
        <f>'Cash Flow'!AJ146-'Cash Flow'!AJ147</f>
        <v>-8398.6188395093086</v>
      </c>
      <c r="AK55" s="67">
        <f>'Cash Flow'!AK146-'Cash Flow'!AK147</f>
        <v>-8433.6130846739306</v>
      </c>
      <c r="AL55" s="67">
        <f>'Cash Flow'!AL146-'Cash Flow'!AL147</f>
        <v>-8468.7531391934062</v>
      </c>
      <c r="AM55" s="67">
        <f>'Cash Flow'!AM146-'Cash Flow'!AM147</f>
        <v>-8504.0396106067128</v>
      </c>
    </row>
    <row r="56" spans="1:39" s="67" customFormat="1">
      <c r="A56" s="19"/>
      <c r="B56" s="254" t="s">
        <v>63</v>
      </c>
      <c r="C56" s="19"/>
      <c r="D56" s="67">
        <f>'Cash Flow'!D152</f>
        <v>40000</v>
      </c>
      <c r="E56" s="67">
        <f>'Cash Flow'!E152</f>
        <v>0</v>
      </c>
      <c r="F56" s="67">
        <f>'Cash Flow'!F152</f>
        <v>0</v>
      </c>
      <c r="G56" s="67">
        <f>'Cash Flow'!G152</f>
        <v>0</v>
      </c>
      <c r="H56" s="67">
        <f>'Cash Flow'!H152</f>
        <v>0</v>
      </c>
      <c r="I56" s="67">
        <f>'Cash Flow'!I152</f>
        <v>0</v>
      </c>
      <c r="J56" s="67">
        <f>'Cash Flow'!J152</f>
        <v>-5000</v>
      </c>
      <c r="K56" s="67">
        <f>'Cash Flow'!K152</f>
        <v>0</v>
      </c>
      <c r="L56" s="67">
        <f>'Cash Flow'!L152</f>
        <v>0</v>
      </c>
      <c r="M56" s="67">
        <f>'Cash Flow'!M152</f>
        <v>0</v>
      </c>
      <c r="N56" s="67">
        <f>'Cash Flow'!N152</f>
        <v>0</v>
      </c>
      <c r="O56" s="68">
        <f>'Cash Flow'!O152</f>
        <v>0</v>
      </c>
      <c r="P56" s="271">
        <f>'Cash Flow'!P152</f>
        <v>0</v>
      </c>
      <c r="Q56" s="67">
        <f>'Cash Flow'!Q152</f>
        <v>-5000</v>
      </c>
      <c r="R56" s="67">
        <f>'Cash Flow'!R152</f>
        <v>0</v>
      </c>
      <c r="S56" s="67">
        <f>'Cash Flow'!S152</f>
        <v>0</v>
      </c>
      <c r="T56" s="67">
        <f>'Cash Flow'!T152</f>
        <v>0</v>
      </c>
      <c r="U56" s="67">
        <f>'Cash Flow'!U152</f>
        <v>0</v>
      </c>
      <c r="V56" s="67">
        <f>'Cash Flow'!V152</f>
        <v>0</v>
      </c>
      <c r="W56" s="67">
        <f>'Cash Flow'!W152</f>
        <v>0</v>
      </c>
      <c r="X56" s="67">
        <f>'Cash Flow'!X152</f>
        <v>0</v>
      </c>
      <c r="Y56" s="67">
        <f>'Cash Flow'!Y152</f>
        <v>0</v>
      </c>
      <c r="Z56" s="67">
        <f>'Cash Flow'!Z152</f>
        <v>0</v>
      </c>
      <c r="AA56" s="68">
        <f>'Cash Flow'!AA152</f>
        <v>0</v>
      </c>
      <c r="AB56" s="271">
        <f>'Cash Flow'!AB152</f>
        <v>0</v>
      </c>
      <c r="AC56" s="67">
        <f>'Cash Flow'!AC152</f>
        <v>0</v>
      </c>
      <c r="AD56" s="67">
        <f>'Cash Flow'!AD152</f>
        <v>0</v>
      </c>
      <c r="AE56" s="67">
        <f>'Cash Flow'!AE152</f>
        <v>0</v>
      </c>
      <c r="AF56" s="67">
        <f>'Cash Flow'!AF152</f>
        <v>0</v>
      </c>
      <c r="AG56" s="67">
        <f>'Cash Flow'!AG152</f>
        <v>0</v>
      </c>
      <c r="AH56" s="67">
        <f>'Cash Flow'!AH152</f>
        <v>0</v>
      </c>
      <c r="AI56" s="67">
        <f>'Cash Flow'!AI152</f>
        <v>0</v>
      </c>
      <c r="AJ56" s="67">
        <f>'Cash Flow'!AJ152</f>
        <v>0</v>
      </c>
      <c r="AK56" s="67">
        <f>'Cash Flow'!AK152</f>
        <v>0</v>
      </c>
      <c r="AL56" s="67">
        <f>'Cash Flow'!AL152</f>
        <v>0</v>
      </c>
      <c r="AM56" s="67">
        <f>'Cash Flow'!AM152</f>
        <v>0</v>
      </c>
    </row>
    <row r="57" spans="1:39" s="67" customFormat="1">
      <c r="A57" s="19"/>
      <c r="B57" s="166"/>
      <c r="C57" s="19"/>
      <c r="O57" s="68"/>
      <c r="P57" s="271"/>
      <c r="AA57" s="68"/>
      <c r="AB57" s="271"/>
    </row>
    <row r="58" spans="1:39" s="67" customFormat="1" ht="16.2" thickBot="1">
      <c r="A58" s="19"/>
      <c r="B58" s="166" t="s">
        <v>158</v>
      </c>
      <c r="C58" s="19"/>
      <c r="D58" s="181">
        <f t="shared" ref="D58:AM58" si="5">SUM(D50:D56)</f>
        <v>732647.71651132789</v>
      </c>
      <c r="E58" s="181">
        <f t="shared" si="5"/>
        <v>-7382.9180032082677</v>
      </c>
      <c r="F58" s="181">
        <f t="shared" si="5"/>
        <v>-7413.6801615549684</v>
      </c>
      <c r="G58" s="181">
        <f t="shared" si="5"/>
        <v>-7444.5704955614483</v>
      </c>
      <c r="H58" s="181">
        <f t="shared" si="5"/>
        <v>-7475.5895392929542</v>
      </c>
      <c r="I58" s="181">
        <f t="shared" si="5"/>
        <v>-7506.7378290400075</v>
      </c>
      <c r="J58" s="181">
        <f t="shared" si="5"/>
        <v>-12538.015903327674</v>
      </c>
      <c r="K58" s="181">
        <f t="shared" si="5"/>
        <v>-7569.4243029248728</v>
      </c>
      <c r="L58" s="181">
        <f t="shared" si="5"/>
        <v>-7600.9635708537271</v>
      </c>
      <c r="M58" s="181">
        <f t="shared" si="5"/>
        <v>-7632.6342523989506</v>
      </c>
      <c r="N58" s="181">
        <f t="shared" si="5"/>
        <v>-7664.4368951172801</v>
      </c>
      <c r="O58" s="181">
        <f t="shared" si="5"/>
        <v>-7696.3720488469362</v>
      </c>
      <c r="P58" s="269">
        <f t="shared" si="5"/>
        <v>-7728.4402657171304</v>
      </c>
      <c r="Q58" s="181">
        <f t="shared" si="5"/>
        <v>-12760.642100157616</v>
      </c>
      <c r="R58" s="181">
        <f t="shared" si="5"/>
        <v>-7792.9781089082753</v>
      </c>
      <c r="S58" s="181">
        <f t="shared" si="5"/>
        <v>-7825.4488510287256</v>
      </c>
      <c r="T58" s="181">
        <f t="shared" si="5"/>
        <v>-9858.0548879080125</v>
      </c>
      <c r="U58" s="181">
        <f t="shared" si="5"/>
        <v>-9890.7967832742979</v>
      </c>
      <c r="V58" s="181">
        <f t="shared" si="5"/>
        <v>-9923.675103204605</v>
      </c>
      <c r="W58" s="181">
        <f t="shared" si="5"/>
        <v>-9956.6904161346247</v>
      </c>
      <c r="X58" s="181">
        <f t="shared" si="5"/>
        <v>-9989.8432928685179</v>
      </c>
      <c r="Y58" s="181">
        <f t="shared" si="5"/>
        <v>-10023.134306588803</v>
      </c>
      <c r="Z58" s="181">
        <f t="shared" si="5"/>
        <v>-10056.564032866259</v>
      </c>
      <c r="AA58" s="181">
        <f t="shared" si="5"/>
        <v>-10090.133049669867</v>
      </c>
      <c r="AB58" s="269">
        <f t="shared" si="5"/>
        <v>-11123.841937376825</v>
      </c>
      <c r="AC58" s="181">
        <f t="shared" si="5"/>
        <v>-11157.69127878256</v>
      </c>
      <c r="AD58" s="181">
        <f t="shared" si="5"/>
        <v>-11191.681659110822</v>
      </c>
      <c r="AE58" s="181">
        <f t="shared" si="5"/>
        <v>-11225.813666023785</v>
      </c>
      <c r="AF58" s="181">
        <f t="shared" si="5"/>
        <v>-11260.087889632217</v>
      </c>
      <c r="AG58" s="181">
        <f t="shared" si="5"/>
        <v>-11294.504922505685</v>
      </c>
      <c r="AH58" s="181">
        <f t="shared" si="5"/>
        <v>-11329.065359682791</v>
      </c>
      <c r="AI58" s="181">
        <f t="shared" si="5"/>
        <v>-11363.769798681469</v>
      </c>
      <c r="AJ58" s="181">
        <f t="shared" si="5"/>
        <v>-11398.618839509309</v>
      </c>
      <c r="AK58" s="181">
        <f t="shared" si="5"/>
        <v>-11433.613084673931</v>
      </c>
      <c r="AL58" s="181">
        <f t="shared" si="5"/>
        <v>-11468.753139193406</v>
      </c>
      <c r="AM58" s="181">
        <f t="shared" si="5"/>
        <v>-11504.039610606713</v>
      </c>
    </row>
    <row r="59" spans="1:39" s="67" customFormat="1" ht="16.2" thickTop="1">
      <c r="A59" s="19"/>
      <c r="B59" s="18" t="s">
        <v>150</v>
      </c>
      <c r="C59" s="19"/>
      <c r="O59" s="68"/>
      <c r="P59" s="264"/>
      <c r="Q59" s="72"/>
      <c r="R59" s="72"/>
      <c r="S59" s="72"/>
      <c r="T59" s="72"/>
      <c r="U59" s="72"/>
      <c r="V59" s="72"/>
      <c r="W59" s="72"/>
      <c r="X59" s="72"/>
      <c r="Y59" s="72"/>
      <c r="Z59" s="72"/>
      <c r="AA59" s="71"/>
      <c r="AB59" s="264"/>
    </row>
    <row r="60" spans="1:39" s="67" customFormat="1">
      <c r="A60" s="19"/>
      <c r="B60" s="18"/>
      <c r="C60" s="19"/>
      <c r="O60" s="68"/>
      <c r="P60" s="264"/>
      <c r="Q60" s="72"/>
      <c r="R60" s="72"/>
      <c r="S60" s="72"/>
      <c r="T60" s="72"/>
      <c r="U60" s="72"/>
      <c r="V60" s="72"/>
      <c r="W60" s="72"/>
      <c r="X60" s="72"/>
      <c r="Y60" s="72"/>
      <c r="Z60" s="72"/>
      <c r="AA60" s="71"/>
      <c r="AB60" s="264"/>
    </row>
    <row r="61" spans="1:39" s="248" customFormat="1">
      <c r="A61" s="252"/>
      <c r="B61" s="256" t="s">
        <v>36</v>
      </c>
      <c r="C61" s="252"/>
      <c r="D61" s="252">
        <f t="shared" ref="D61:AM61" si="6">D29+D45+D58</f>
        <v>725556.88317799452</v>
      </c>
      <c r="E61" s="252">
        <f t="shared" si="6"/>
        <v>-26043.116822005461</v>
      </c>
      <c r="F61" s="252">
        <f t="shared" si="6"/>
        <v>-97880.516822005462</v>
      </c>
      <c r="G61" s="252">
        <f t="shared" si="6"/>
        <v>-14495.516822005469</v>
      </c>
      <c r="H61" s="252">
        <f t="shared" si="6"/>
        <v>-17851.676822005458</v>
      </c>
      <c r="I61" s="252">
        <f t="shared" si="6"/>
        <v>-23064.336822005476</v>
      </c>
      <c r="J61" s="252">
        <f t="shared" si="6"/>
        <v>-21293.236822005456</v>
      </c>
      <c r="K61" s="252">
        <f t="shared" si="6"/>
        <v>-2733.5968220054665</v>
      </c>
      <c r="L61" s="252">
        <f t="shared" si="6"/>
        <v>-26053.441822005479</v>
      </c>
      <c r="M61" s="252">
        <f t="shared" si="6"/>
        <v>-3319.7968220054545</v>
      </c>
      <c r="N61" s="252">
        <f t="shared" si="6"/>
        <v>13464.843177994531</v>
      </c>
      <c r="O61" s="274">
        <f t="shared" si="6"/>
        <v>-34695.763822005465</v>
      </c>
      <c r="P61" s="277">
        <f t="shared" si="6"/>
        <v>-23910.469488672148</v>
      </c>
      <c r="Q61" s="252">
        <f t="shared" si="6"/>
        <v>41458.902111327872</v>
      </c>
      <c r="R61" s="252">
        <f t="shared" si="6"/>
        <v>-41896.863088672188</v>
      </c>
      <c r="S61" s="252">
        <f t="shared" si="6"/>
        <v>-6589.5254886721004</v>
      </c>
      <c r="T61" s="252">
        <f t="shared" si="6"/>
        <v>27540.188511327844</v>
      </c>
      <c r="U61" s="252">
        <f t="shared" si="6"/>
        <v>-7424.5986886721548</v>
      </c>
      <c r="V61" s="252">
        <f t="shared" si="6"/>
        <v>68099.133711327871</v>
      </c>
      <c r="W61" s="252">
        <f t="shared" si="6"/>
        <v>84782.0617113279</v>
      </c>
      <c r="X61" s="252">
        <f t="shared" ca="1" si="6"/>
        <v>13736.987411327795</v>
      </c>
      <c r="Y61" s="252">
        <f t="shared" si="6"/>
        <v>104913.62171132791</v>
      </c>
      <c r="Z61" s="252">
        <f t="shared" si="6"/>
        <v>123481.40411132779</v>
      </c>
      <c r="AA61" s="274">
        <f t="shared" si="6"/>
        <v>43181.571871327898</v>
      </c>
      <c r="AB61" s="277">
        <f t="shared" si="6"/>
        <v>-69048.855248672146</v>
      </c>
      <c r="AC61" s="252">
        <f t="shared" si="6"/>
        <v>145377.52371932787</v>
      </c>
      <c r="AD61" s="252">
        <f t="shared" si="6"/>
        <v>165974.66819532789</v>
      </c>
      <c r="AE61" s="252">
        <f t="shared" si="6"/>
        <v>-206548.38472067224</v>
      </c>
      <c r="AF61" s="252">
        <f t="shared" si="6"/>
        <v>157971.31676732798</v>
      </c>
      <c r="AG61" s="252">
        <f t="shared" si="6"/>
        <v>85469.067655327861</v>
      </c>
      <c r="AH61" s="252">
        <f t="shared" si="6"/>
        <v>170854.66303132783</v>
      </c>
      <c r="AI61" s="252">
        <f t="shared" si="6"/>
        <v>218473.03850732787</v>
      </c>
      <c r="AJ61" s="252">
        <f t="shared" ca="1" si="6"/>
        <v>-144937.86313492083</v>
      </c>
      <c r="AK61" s="252">
        <f t="shared" si="6"/>
        <v>408047.13099932775</v>
      </c>
      <c r="AL61" s="252">
        <f t="shared" si="6"/>
        <v>391058.54696566117</v>
      </c>
      <c r="AM61" s="252">
        <f t="shared" si="6"/>
        <v>-142877.74870380523</v>
      </c>
    </row>
    <row r="63" spans="1:39" s="183" customFormat="1">
      <c r="B63" s="18" t="s">
        <v>26</v>
      </c>
      <c r="D63" s="183">
        <v>0</v>
      </c>
      <c r="E63" s="183">
        <f t="shared" ref="E63:AM63" si="7">D64</f>
        <v>725556.88317799452</v>
      </c>
      <c r="F63" s="183">
        <f t="shared" si="7"/>
        <v>699513.76635598904</v>
      </c>
      <c r="G63" s="183">
        <f t="shared" si="7"/>
        <v>601633.24953398353</v>
      </c>
      <c r="H63" s="183">
        <f t="shared" si="7"/>
        <v>587137.73271197802</v>
      </c>
      <c r="I63" s="183">
        <f t="shared" si="7"/>
        <v>569286.0558899726</v>
      </c>
      <c r="J63" s="183">
        <f t="shared" si="7"/>
        <v>546221.71906796715</v>
      </c>
      <c r="K63" s="183">
        <f t="shared" si="7"/>
        <v>524928.48224596167</v>
      </c>
      <c r="L63" s="183">
        <f t="shared" si="7"/>
        <v>522194.88542395621</v>
      </c>
      <c r="M63" s="183">
        <f t="shared" si="7"/>
        <v>496141.44360195071</v>
      </c>
      <c r="N63" s="183">
        <f t="shared" si="7"/>
        <v>492821.64677994524</v>
      </c>
      <c r="O63" s="263">
        <f t="shared" si="7"/>
        <v>506286.48995793978</v>
      </c>
      <c r="P63" s="272">
        <f t="shared" si="7"/>
        <v>471590.7261359343</v>
      </c>
      <c r="Q63" s="183">
        <f t="shared" si="7"/>
        <v>447680.25664726214</v>
      </c>
      <c r="R63" s="183">
        <f t="shared" si="7"/>
        <v>489139.15875859</v>
      </c>
      <c r="S63" s="183">
        <f t="shared" si="7"/>
        <v>447242.29566991783</v>
      </c>
      <c r="T63" s="183">
        <f t="shared" si="7"/>
        <v>440652.77018124575</v>
      </c>
      <c r="U63" s="183">
        <f t="shared" si="7"/>
        <v>468192.95869257359</v>
      </c>
      <c r="V63" s="183">
        <f t="shared" si="7"/>
        <v>460768.36000390141</v>
      </c>
      <c r="W63" s="183">
        <f t="shared" si="7"/>
        <v>528867.49371522933</v>
      </c>
      <c r="X63" s="183">
        <f t="shared" si="7"/>
        <v>613649.5554265572</v>
      </c>
      <c r="Y63" s="183">
        <f t="shared" ca="1" si="7"/>
        <v>627386.54283788498</v>
      </c>
      <c r="Z63" s="183">
        <f t="shared" ca="1" si="7"/>
        <v>732300.1645492129</v>
      </c>
      <c r="AA63" s="263">
        <f t="shared" ca="1" si="7"/>
        <v>855781.56866054074</v>
      </c>
      <c r="AB63" s="272">
        <f t="shared" ca="1" si="7"/>
        <v>898963.14053186867</v>
      </c>
      <c r="AC63" s="183">
        <f t="shared" ca="1" si="7"/>
        <v>829914.28528319648</v>
      </c>
      <c r="AD63" s="183">
        <f t="shared" ca="1" si="7"/>
        <v>975291.80900252436</v>
      </c>
      <c r="AE63" s="183">
        <f t="shared" ca="1" si="7"/>
        <v>1141266.4771978522</v>
      </c>
      <c r="AF63" s="183">
        <f t="shared" ca="1" si="7"/>
        <v>934718.09247717995</v>
      </c>
      <c r="AG63" s="183">
        <f t="shared" ca="1" si="7"/>
        <v>1092689.409244508</v>
      </c>
      <c r="AH63" s="183">
        <f t="shared" ca="1" si="7"/>
        <v>1178158.476899836</v>
      </c>
      <c r="AI63" s="183">
        <f t="shared" ca="1" si="7"/>
        <v>1349013.1399311638</v>
      </c>
      <c r="AJ63" s="183">
        <f t="shared" ca="1" si="7"/>
        <v>1567486.1784384917</v>
      </c>
      <c r="AK63" s="183">
        <f t="shared" ca="1" si="7"/>
        <v>1422548.3153035708</v>
      </c>
      <c r="AL63" s="183">
        <f t="shared" ca="1" si="7"/>
        <v>1830595.4463028987</v>
      </c>
      <c r="AM63" s="183">
        <f t="shared" ca="1" si="7"/>
        <v>2221653.9932685597</v>
      </c>
    </row>
    <row r="64" spans="1:39" s="252" customFormat="1">
      <c r="B64" s="257" t="s">
        <v>213</v>
      </c>
      <c r="C64" s="258"/>
      <c r="D64" s="252">
        <f t="shared" ref="D64:AM64" si="8">D63+D61</f>
        <v>725556.88317799452</v>
      </c>
      <c r="E64" s="252">
        <f t="shared" si="8"/>
        <v>699513.76635598904</v>
      </c>
      <c r="F64" s="252">
        <f t="shared" si="8"/>
        <v>601633.24953398353</v>
      </c>
      <c r="G64" s="252">
        <f t="shared" si="8"/>
        <v>587137.73271197802</v>
      </c>
      <c r="H64" s="252">
        <f t="shared" si="8"/>
        <v>569286.0558899726</v>
      </c>
      <c r="I64" s="252">
        <f t="shared" si="8"/>
        <v>546221.71906796715</v>
      </c>
      <c r="J64" s="252">
        <f t="shared" si="8"/>
        <v>524928.48224596167</v>
      </c>
      <c r="K64" s="252">
        <f t="shared" si="8"/>
        <v>522194.88542395621</v>
      </c>
      <c r="L64" s="252">
        <f t="shared" si="8"/>
        <v>496141.44360195071</v>
      </c>
      <c r="M64" s="252">
        <f t="shared" si="8"/>
        <v>492821.64677994524</v>
      </c>
      <c r="N64" s="252">
        <f t="shared" si="8"/>
        <v>506286.48995793978</v>
      </c>
      <c r="O64" s="274">
        <f t="shared" si="8"/>
        <v>471590.7261359343</v>
      </c>
      <c r="P64" s="277">
        <f t="shared" si="8"/>
        <v>447680.25664726214</v>
      </c>
      <c r="Q64" s="252">
        <f t="shared" si="8"/>
        <v>489139.15875859</v>
      </c>
      <c r="R64" s="252">
        <f t="shared" si="8"/>
        <v>447242.29566991783</v>
      </c>
      <c r="S64" s="252">
        <f t="shared" si="8"/>
        <v>440652.77018124575</v>
      </c>
      <c r="T64" s="252">
        <f t="shared" si="8"/>
        <v>468192.95869257359</v>
      </c>
      <c r="U64" s="252">
        <f t="shared" si="8"/>
        <v>460768.36000390141</v>
      </c>
      <c r="V64" s="252">
        <f t="shared" si="8"/>
        <v>528867.49371522933</v>
      </c>
      <c r="W64" s="252">
        <f t="shared" si="8"/>
        <v>613649.5554265572</v>
      </c>
      <c r="X64" s="252">
        <f t="shared" ca="1" si="8"/>
        <v>627386.54283788498</v>
      </c>
      <c r="Y64" s="252">
        <f t="shared" ca="1" si="8"/>
        <v>732300.1645492129</v>
      </c>
      <c r="Z64" s="252">
        <f t="shared" ca="1" si="8"/>
        <v>855781.56866054074</v>
      </c>
      <c r="AA64" s="274">
        <f t="shared" ca="1" si="8"/>
        <v>898963.14053186867</v>
      </c>
      <c r="AB64" s="277">
        <f t="shared" ca="1" si="8"/>
        <v>829914.28528319648</v>
      </c>
      <c r="AC64" s="252">
        <f t="shared" ca="1" si="8"/>
        <v>975291.80900252436</v>
      </c>
      <c r="AD64" s="252">
        <f t="shared" ca="1" si="8"/>
        <v>1141266.4771978522</v>
      </c>
      <c r="AE64" s="252">
        <f t="shared" ca="1" si="8"/>
        <v>934718.09247717995</v>
      </c>
      <c r="AF64" s="252">
        <f t="shared" ca="1" si="8"/>
        <v>1092689.409244508</v>
      </c>
      <c r="AG64" s="252">
        <f t="shared" ca="1" si="8"/>
        <v>1178158.476899836</v>
      </c>
      <c r="AH64" s="252">
        <f t="shared" ca="1" si="8"/>
        <v>1349013.1399311638</v>
      </c>
      <c r="AI64" s="252">
        <f t="shared" ca="1" si="8"/>
        <v>1567486.1784384917</v>
      </c>
      <c r="AJ64" s="252">
        <f t="shared" ca="1" si="8"/>
        <v>1422548.3153035708</v>
      </c>
      <c r="AK64" s="252">
        <f t="shared" ca="1" si="8"/>
        <v>1830595.4463028987</v>
      </c>
      <c r="AL64" s="252">
        <f t="shared" ca="1" si="8"/>
        <v>2221653.9932685597</v>
      </c>
      <c r="AM64" s="252">
        <f t="shared" ca="1" si="8"/>
        <v>2078776.2445647544</v>
      </c>
    </row>
    <row r="66" spans="2:39" s="187" customFormat="1">
      <c r="B66" s="186" t="s">
        <v>23</v>
      </c>
      <c r="D66" s="187">
        <f>'Balance Sheet'!D67</f>
        <v>0</v>
      </c>
      <c r="E66" s="187">
        <f>'Balance Sheet'!E67</f>
        <v>0</v>
      </c>
      <c r="F66" s="187">
        <f>'Balance Sheet'!F67</f>
        <v>0</v>
      </c>
      <c r="G66" s="187">
        <f>'Balance Sheet'!G67</f>
        <v>0</v>
      </c>
      <c r="H66" s="187">
        <f>'Balance Sheet'!H67</f>
        <v>0</v>
      </c>
      <c r="I66" s="187">
        <f>'Balance Sheet'!I67</f>
        <v>0</v>
      </c>
      <c r="J66" s="187">
        <f>'Balance Sheet'!J67</f>
        <v>0</v>
      </c>
      <c r="K66" s="187">
        <f>'Balance Sheet'!K67</f>
        <v>0</v>
      </c>
      <c r="L66" s="187">
        <f>'Balance Sheet'!L67</f>
        <v>0</v>
      </c>
      <c r="M66" s="187">
        <f>'Balance Sheet'!M67</f>
        <v>0</v>
      </c>
      <c r="N66" s="187">
        <f>'Balance Sheet'!N67</f>
        <v>0</v>
      </c>
      <c r="O66" s="187">
        <f>'Balance Sheet'!O67</f>
        <v>0</v>
      </c>
      <c r="P66" s="273">
        <f>'Balance Sheet'!P67</f>
        <v>0</v>
      </c>
      <c r="Q66" s="187">
        <f>'Balance Sheet'!Q67</f>
        <v>0</v>
      </c>
      <c r="R66" s="187">
        <f>'Balance Sheet'!R67</f>
        <v>0</v>
      </c>
      <c r="S66" s="187">
        <f>'Balance Sheet'!S67</f>
        <v>0</v>
      </c>
      <c r="T66" s="187">
        <f>'Balance Sheet'!T67</f>
        <v>0</v>
      </c>
      <c r="U66" s="187">
        <f>'Balance Sheet'!U67</f>
        <v>0</v>
      </c>
      <c r="V66" s="187">
        <f>'Balance Sheet'!V67</f>
        <v>0</v>
      </c>
      <c r="W66" s="187">
        <f>'Balance Sheet'!W67</f>
        <v>0</v>
      </c>
      <c r="X66" s="187">
        <f ca="1">'Balance Sheet'!X67</f>
        <v>0</v>
      </c>
      <c r="Y66" s="187">
        <f ca="1">'Balance Sheet'!Y67</f>
        <v>0</v>
      </c>
      <c r="Z66" s="187">
        <f ca="1">'Balance Sheet'!Z67</f>
        <v>0</v>
      </c>
      <c r="AA66" s="187">
        <f ca="1">'Balance Sheet'!AA67</f>
        <v>0</v>
      </c>
      <c r="AB66" s="273">
        <f ca="1">'Balance Sheet'!AB67</f>
        <v>0</v>
      </c>
      <c r="AC66" s="187">
        <f ca="1">'Balance Sheet'!AC67</f>
        <v>0</v>
      </c>
      <c r="AD66" s="187">
        <f ca="1">'Balance Sheet'!AD67</f>
        <v>0</v>
      </c>
      <c r="AE66" s="187">
        <f ca="1">'Balance Sheet'!AE67</f>
        <v>0</v>
      </c>
      <c r="AF66" s="187">
        <f ca="1">'Balance Sheet'!AF67</f>
        <v>0</v>
      </c>
      <c r="AG66" s="187">
        <f ca="1">'Balance Sheet'!AG67</f>
        <v>0</v>
      </c>
      <c r="AH66" s="187">
        <f ca="1">'Balance Sheet'!AH67</f>
        <v>0</v>
      </c>
      <c r="AI66" s="187">
        <f ca="1">'Balance Sheet'!AI67</f>
        <v>0</v>
      </c>
      <c r="AJ66" s="187">
        <f ca="1">'Balance Sheet'!AJ67</f>
        <v>0</v>
      </c>
      <c r="AK66" s="187">
        <f ca="1">'Balance Sheet'!AK67</f>
        <v>0</v>
      </c>
      <c r="AL66" s="187">
        <f ca="1">'Balance Sheet'!AL67</f>
        <v>0</v>
      </c>
      <c r="AM66" s="187">
        <f ca="1">'Balance Sheet'!AM67</f>
        <v>0</v>
      </c>
    </row>
    <row r="806" spans="1:70" s="18" customFormat="1">
      <c r="A806" s="6">
        <v>30217</v>
      </c>
      <c r="C806" s="19"/>
      <c r="D806" s="19"/>
      <c r="E806" s="19"/>
      <c r="F806" s="19"/>
      <c r="G806" s="19"/>
      <c r="H806" s="19"/>
      <c r="I806" s="19"/>
      <c r="J806" s="19"/>
      <c r="K806" s="19"/>
      <c r="L806" s="19"/>
      <c r="M806" s="19"/>
      <c r="N806" s="19"/>
      <c r="O806" s="19"/>
      <c r="P806" s="268"/>
      <c r="Q806" s="19"/>
      <c r="R806" s="19"/>
      <c r="S806" s="19"/>
      <c r="T806" s="19"/>
      <c r="U806" s="19"/>
      <c r="V806" s="19"/>
      <c r="W806" s="19"/>
      <c r="X806" s="19"/>
      <c r="Y806" s="19"/>
      <c r="Z806" s="19"/>
      <c r="AA806" s="19"/>
      <c r="AB806" s="268"/>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19"/>
      <c r="BL806" s="19"/>
      <c r="BM806" s="19"/>
      <c r="BN806" s="19"/>
      <c r="BO806" s="19"/>
      <c r="BP806" s="19"/>
      <c r="BQ806" s="19"/>
      <c r="BR806" s="19"/>
    </row>
  </sheetData>
  <sheetProtection formatCells="0" formatColumns="0" formatRows="0" insertColumns="0" insertRows="0" insertHyperlinks="0" deleteColumns="0" deleteRows="0" sort="0" autoFilter="0" pivotTables="0"/>
  <pageMargins left="0.75000000000000011" right="0.75000000000000011" top="1" bottom="1" header="0.5" footer="0.5"/>
  <pageSetup paperSize="9" orientation="portrait" horizontalDpi="4294967292" verticalDpi="4294967292"/>
  <colBreaks count="3" manualBreakCount="3">
    <brk id="15" max="1048575" man="1"/>
    <brk id="27" max="1048575" man="1"/>
    <brk id="39" max="1048575" man="1"/>
  </colBreaks>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4B322-8857-6640-8924-28ACED4060E1}">
  <sheetPr codeName="Sheet10"/>
  <dimension ref="A2:P24"/>
  <sheetViews>
    <sheetView showGridLines="0" workbookViewId="0">
      <selection activeCell="C18" sqref="C18"/>
    </sheetView>
  </sheetViews>
  <sheetFormatPr defaultColWidth="11.19921875" defaultRowHeight="15.6"/>
  <cols>
    <col min="2" max="2" width="17" customWidth="1"/>
    <col min="3" max="3" width="43.69921875" customWidth="1"/>
  </cols>
  <sheetData>
    <row r="2" spans="1:16" s="10" customFormat="1" ht="25.8">
      <c r="A2" s="10" t="s">
        <v>270</v>
      </c>
    </row>
    <row r="3" spans="1:16" s="10" customFormat="1" ht="25.8">
      <c r="A3" s="10" t="s">
        <v>271</v>
      </c>
    </row>
    <row r="6" spans="1:16" ht="18">
      <c r="B6" s="5" t="s">
        <v>5</v>
      </c>
      <c r="C6" s="4" t="s">
        <v>295</v>
      </c>
      <c r="D6" s="259"/>
      <c r="E6" s="259"/>
      <c r="F6" s="259"/>
      <c r="G6" s="259"/>
      <c r="H6" s="259"/>
      <c r="I6" s="259"/>
      <c r="J6" s="259"/>
      <c r="K6" s="259"/>
      <c r="L6" s="259"/>
      <c r="M6" s="259"/>
      <c r="N6" s="259"/>
      <c r="O6" s="259"/>
      <c r="P6" s="259"/>
    </row>
    <row r="8" spans="1:16" s="11" customFormat="1" ht="18">
      <c r="B8" s="5" t="s">
        <v>266</v>
      </c>
      <c r="C8" s="5"/>
      <c r="F8" s="11" t="s">
        <v>273</v>
      </c>
    </row>
    <row r="9" spans="1:16" s="11" customFormat="1" ht="18">
      <c r="B9" s="12" t="s">
        <v>268</v>
      </c>
      <c r="C9" s="4">
        <v>2023</v>
      </c>
      <c r="F9" s="1325"/>
      <c r="G9" s="1326"/>
      <c r="H9" s="1326"/>
      <c r="I9" s="1326"/>
      <c r="J9" s="1326"/>
      <c r="K9" s="1326"/>
      <c r="L9" s="1326"/>
      <c r="M9" s="1326"/>
      <c r="N9" s="1326"/>
      <c r="O9" s="1326"/>
      <c r="P9" s="1326"/>
    </row>
    <row r="10" spans="1:16" s="11" customFormat="1" ht="18">
      <c r="B10" s="12" t="s">
        <v>269</v>
      </c>
      <c r="C10" s="4">
        <v>2</v>
      </c>
      <c r="F10" s="1326"/>
      <c r="G10" s="1326"/>
      <c r="H10" s="1326"/>
      <c r="I10" s="1326"/>
      <c r="J10" s="1326"/>
      <c r="K10" s="1326"/>
      <c r="L10" s="1326"/>
      <c r="M10" s="1326"/>
      <c r="N10" s="1326"/>
      <c r="O10" s="1326"/>
      <c r="P10" s="1326"/>
    </row>
    <row r="11" spans="1:16" ht="18">
      <c r="B11" s="12" t="s">
        <v>272</v>
      </c>
      <c r="C11" s="14">
        <v>44931</v>
      </c>
      <c r="F11" s="1326"/>
      <c r="G11" s="1326"/>
      <c r="H11" s="1326"/>
      <c r="I11" s="1326"/>
      <c r="J11" s="1326"/>
      <c r="K11" s="1326"/>
      <c r="L11" s="1326"/>
      <c r="M11" s="1326"/>
      <c r="N11" s="1326"/>
      <c r="O11" s="1326"/>
      <c r="P11" s="1326"/>
    </row>
    <row r="12" spans="1:16">
      <c r="B12" s="1"/>
      <c r="F12" s="1326"/>
      <c r="G12" s="1326"/>
      <c r="H12" s="1326"/>
      <c r="I12" s="1326"/>
      <c r="J12" s="1326"/>
      <c r="K12" s="1326"/>
      <c r="L12" s="1326"/>
      <c r="M12" s="1326"/>
      <c r="N12" s="1326"/>
      <c r="O12" s="1326"/>
      <c r="P12" s="1326"/>
    </row>
    <row r="13" spans="1:16">
      <c r="F13" s="1326"/>
      <c r="G13" s="1326"/>
      <c r="H13" s="1326"/>
      <c r="I13" s="1326"/>
      <c r="J13" s="1326"/>
      <c r="K13" s="1326"/>
      <c r="L13" s="1326"/>
      <c r="M13" s="1326"/>
      <c r="N13" s="1326"/>
      <c r="O13" s="1326"/>
      <c r="P13" s="1326"/>
    </row>
    <row r="14" spans="1:16" ht="21">
      <c r="C14" s="13" t="str">
        <f>C9&amp;"."&amp;C10</f>
        <v>2023.2</v>
      </c>
      <c r="F14" s="1326"/>
      <c r="G14" s="1326"/>
      <c r="H14" s="1326"/>
      <c r="I14" s="1326"/>
      <c r="J14" s="1326"/>
      <c r="K14" s="1326"/>
      <c r="L14" s="1326"/>
      <c r="M14" s="1326"/>
      <c r="N14" s="1326"/>
      <c r="O14" s="1326"/>
      <c r="P14" s="1326"/>
    </row>
    <row r="15" spans="1:16">
      <c r="F15" s="1326"/>
      <c r="G15" s="1326"/>
      <c r="H15" s="1326"/>
      <c r="I15" s="1326"/>
      <c r="J15" s="1326"/>
      <c r="K15" s="1326"/>
      <c r="L15" s="1326"/>
      <c r="M15" s="1326"/>
      <c r="N15" s="1326"/>
      <c r="O15" s="1326"/>
      <c r="P15" s="1326"/>
    </row>
    <row r="16" spans="1:16">
      <c r="F16" s="1326"/>
      <c r="G16" s="1326"/>
      <c r="H16" s="1326"/>
      <c r="I16" s="1326"/>
      <c r="J16" s="1326"/>
      <c r="K16" s="1326"/>
      <c r="L16" s="1326"/>
      <c r="M16" s="1326"/>
      <c r="N16" s="1326"/>
      <c r="O16" s="1326"/>
      <c r="P16" s="1326"/>
    </row>
    <row r="17" spans="6:16">
      <c r="F17" s="1326"/>
      <c r="G17" s="1326"/>
      <c r="H17" s="1326"/>
      <c r="I17" s="1326"/>
      <c r="J17" s="1326"/>
      <c r="K17" s="1326"/>
      <c r="L17" s="1326"/>
      <c r="M17" s="1326"/>
      <c r="N17" s="1326"/>
      <c r="O17" s="1326"/>
      <c r="P17" s="1326"/>
    </row>
    <row r="18" spans="6:16">
      <c r="F18" s="1326"/>
      <c r="G18" s="1326"/>
      <c r="H18" s="1326"/>
      <c r="I18" s="1326"/>
      <c r="J18" s="1326"/>
      <c r="K18" s="1326"/>
      <c r="L18" s="1326"/>
      <c r="M18" s="1326"/>
      <c r="N18" s="1326"/>
      <c r="O18" s="1326"/>
      <c r="P18" s="1326"/>
    </row>
    <row r="19" spans="6:16">
      <c r="F19" s="1326"/>
      <c r="G19" s="1326"/>
      <c r="H19" s="1326"/>
      <c r="I19" s="1326"/>
      <c r="J19" s="1326"/>
      <c r="K19" s="1326"/>
      <c r="L19" s="1326"/>
      <c r="M19" s="1326"/>
      <c r="N19" s="1326"/>
      <c r="O19" s="1326"/>
      <c r="P19" s="1326"/>
    </row>
    <row r="20" spans="6:16">
      <c r="F20" s="1326"/>
      <c r="G20" s="1326"/>
      <c r="H20" s="1326"/>
      <c r="I20" s="1326"/>
      <c r="J20" s="1326"/>
      <c r="K20" s="1326"/>
      <c r="L20" s="1326"/>
      <c r="M20" s="1326"/>
      <c r="N20" s="1326"/>
      <c r="O20" s="1326"/>
      <c r="P20" s="1326"/>
    </row>
    <row r="21" spans="6:16">
      <c r="F21" s="1326"/>
      <c r="G21" s="1326"/>
      <c r="H21" s="1326"/>
      <c r="I21" s="1326"/>
      <c r="J21" s="1326"/>
      <c r="K21" s="1326"/>
      <c r="L21" s="1326"/>
      <c r="M21" s="1326"/>
      <c r="N21" s="1326"/>
      <c r="O21" s="1326"/>
      <c r="P21" s="1326"/>
    </row>
    <row r="22" spans="6:16">
      <c r="F22" s="1326"/>
      <c r="G22" s="1326"/>
      <c r="H22" s="1326"/>
      <c r="I22" s="1326"/>
      <c r="J22" s="1326"/>
      <c r="K22" s="1326"/>
      <c r="L22" s="1326"/>
      <c r="M22" s="1326"/>
      <c r="N22" s="1326"/>
      <c r="O22" s="1326"/>
      <c r="P22" s="1326"/>
    </row>
    <row r="23" spans="6:16">
      <c r="F23" s="1326"/>
      <c r="G23" s="1326"/>
      <c r="H23" s="1326"/>
      <c r="I23" s="1326"/>
      <c r="J23" s="1326"/>
      <c r="K23" s="1326"/>
      <c r="L23" s="1326"/>
      <c r="M23" s="1326"/>
      <c r="N23" s="1326"/>
      <c r="O23" s="1326"/>
      <c r="P23" s="1326"/>
    </row>
    <row r="24" spans="6:16">
      <c r="F24" s="1326"/>
      <c r="G24" s="1326"/>
      <c r="H24" s="1326"/>
      <c r="I24" s="1326"/>
      <c r="J24" s="1326"/>
      <c r="K24" s="1326"/>
      <c r="L24" s="1326"/>
      <c r="M24" s="1326"/>
      <c r="N24" s="1326"/>
      <c r="O24" s="1326"/>
      <c r="P24" s="1326"/>
    </row>
  </sheetData>
  <sheetProtection algorithmName="SHA-512" hashValue="+eS+FDY2HqwQuBJm5idOw/DSC75A0zUwUr9+B69J2HBlLf+DVxI4O4H0KsYsI5BuyTrV9FyXW23HOjE/bqzN9Q==" saltValue="8XM6JOywyhJwaWmwwjg39g==" spinCount="100000" sheet="1" scenarios="1" selectLockedCells="1" selectUnlockedCells="1"/>
  <mergeCells count="1">
    <mergeCell ref="F9:P2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37179D52158EF4382AB35A2624C72F2" ma:contentTypeVersion="6" ma:contentTypeDescription="Create a new document." ma:contentTypeScope="" ma:versionID="29491cfc9c4b93a444a0376f41742817">
  <xsd:schema xmlns:xsd="http://www.w3.org/2001/XMLSchema" xmlns:xs="http://www.w3.org/2001/XMLSchema" xmlns:p="http://schemas.microsoft.com/office/2006/metadata/properties" xmlns:ns3="29bd5f13-9faf-49d5-85a7-b92cd10d3653" xmlns:ns4="bd0c9d91-9e0b-4c20-b565-a81dd98b8750" targetNamespace="http://schemas.microsoft.com/office/2006/metadata/properties" ma:root="true" ma:fieldsID="ae66c156fd74876e3d13d348b62cd3b4" ns3:_="" ns4:_="">
    <xsd:import namespace="29bd5f13-9faf-49d5-85a7-b92cd10d3653"/>
    <xsd:import namespace="bd0c9d91-9e0b-4c20-b565-a81dd98b8750"/>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9bd5f13-9faf-49d5-85a7-b92cd10d365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3"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d0c9d91-9e0b-4c20-b565-a81dd98b8750"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29bd5f13-9faf-49d5-85a7-b92cd10d3653" xsi:nil="true"/>
  </documentManagement>
</p:properties>
</file>

<file path=customXml/itemProps1.xml><?xml version="1.0" encoding="utf-8"?>
<ds:datastoreItem xmlns:ds="http://schemas.openxmlformats.org/officeDocument/2006/customXml" ds:itemID="{E8A4FA1C-5103-4F19-A67E-590D9E24D7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9bd5f13-9faf-49d5-85a7-b92cd10d3653"/>
    <ds:schemaRef ds:uri="bd0c9d91-9e0b-4c20-b565-a81dd98b87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F9E09B9-4612-41D7-B61F-E01E99105220}">
  <ds:schemaRefs>
    <ds:schemaRef ds:uri="http://schemas.microsoft.com/sharepoint/v3/contenttype/forms"/>
  </ds:schemaRefs>
</ds:datastoreItem>
</file>

<file path=customXml/itemProps3.xml><?xml version="1.0" encoding="utf-8"?>
<ds:datastoreItem xmlns:ds="http://schemas.openxmlformats.org/officeDocument/2006/customXml" ds:itemID="{03AED1EF-1848-44B4-A2FE-ECF635C4A9D4}">
  <ds:schemaRefs>
    <ds:schemaRef ds:uri="http://schemas.microsoft.com/office/infopath/2007/PartnerControls"/>
    <ds:schemaRef ds:uri="http://schemas.microsoft.com/office/2006/documentManagement/types"/>
    <ds:schemaRef ds:uri="http://purl.org/dc/terms/"/>
    <ds:schemaRef ds:uri="http://schemas.openxmlformats.org/package/2006/metadata/core-properties"/>
    <ds:schemaRef ds:uri="http://www.w3.org/XML/1998/namespace"/>
    <ds:schemaRef ds:uri="http://purl.org/dc/elements/1.1/"/>
    <ds:schemaRef ds:uri="http://schemas.microsoft.com/office/2006/metadata/properties"/>
    <ds:schemaRef ds:uri="http://purl.org/dc/dcmitype/"/>
    <ds:schemaRef ds:uri="bd0c9d91-9e0b-4c20-b565-a81dd98b8750"/>
    <ds:schemaRef ds:uri="29bd5f13-9faf-49d5-85a7-b92cd10d365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Cover Page</vt:lpstr>
      <vt:lpstr>Intro</vt:lpstr>
      <vt:lpstr>Pricing Model</vt:lpstr>
      <vt:lpstr>Sales Forecast</vt:lpstr>
      <vt:lpstr>Stock Model</vt:lpstr>
      <vt:lpstr>Profit &amp; Loss Ecommerce</vt:lpstr>
      <vt:lpstr>Profit &amp; Loss Store</vt:lpstr>
      <vt:lpstr>Consolidated Profit and Loss</vt:lpstr>
      <vt:lpstr>Cash Flow</vt:lpstr>
      <vt:lpstr>Balance Sheet</vt:lpstr>
      <vt:lpstr>Ratio Analysis and Graphs</vt:lpstr>
      <vt:lpstr>Graphs</vt:lpstr>
      <vt:lpstr>Profit &amp; Loss Retail</vt:lpstr>
      <vt:lpstr>Copyright (DO NOT DELETE)</vt:lpstr>
      <vt:lpstr>Cash Flow - Indirect Method</vt:lpstr>
      <vt:lpstr>'Cash Flow'!Print_Area</vt:lpstr>
      <vt:lpstr>'Cash Flow - Indirect Method'!Print_Area</vt:lpstr>
      <vt:lpstr>'Consolidated Profit and Loss'!Print_Area</vt:lpstr>
      <vt:lpstr>Graphs!Print_Area</vt:lpstr>
      <vt:lpstr>'Profit &amp; Loss Ecommerce'!Print_Area</vt:lpstr>
      <vt:lpstr>'Profit &amp; Loss Retail'!Print_Area</vt:lpstr>
      <vt:lpstr>'Profit &amp; Loss Store'!Print_Area</vt:lpstr>
      <vt:lpstr>'Ratio Analysis and Graphs'!Print_Area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Simon Hulme</dc:creator>
  <cp:keywords/>
  <dc:description/>
  <cp:lastModifiedBy>Gunewardena, Mahima</cp:lastModifiedBy>
  <cp:lastPrinted>2023-03-10T09:09:25Z</cp:lastPrinted>
  <dcterms:created xsi:type="dcterms:W3CDTF">2011-05-28T11:03:23Z</dcterms:created>
  <dcterms:modified xsi:type="dcterms:W3CDTF">2024-01-07T06:00:25Z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0x010100F37179D52158EF4382AB35A2624C72F2</vt:lpwstr>
  </property>
</Properties>
</file>