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066849DB-5435-43B6-8321-F1F98C367384}" xr6:coauthVersionLast="47" xr6:coauthVersionMax="47" xr10:uidLastSave="{00000000-0000-0000-0000-000000000000}"/>
  <bookViews>
    <workbookView xWindow="-120" yWindow="-120" windowWidth="20730" windowHeight="11160" firstSheet="9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T2" i="1"/>
  <c r="T3" i="1"/>
  <c r="T5" i="1"/>
  <c r="T27" i="1"/>
  <c r="T24" i="1"/>
  <c r="T17" i="1"/>
  <c r="T18" i="1"/>
  <c r="T59" i="1"/>
  <c r="T40" i="1"/>
  <c r="T80" i="1"/>
  <c r="T52" i="1"/>
  <c r="T9" i="1"/>
  <c r="T90" i="1"/>
  <c r="T29" i="1"/>
  <c r="T78" i="1"/>
  <c r="T31" i="1"/>
  <c r="T57" i="1"/>
  <c r="T42" i="1"/>
  <c r="T66" i="1"/>
  <c r="T61" i="1"/>
  <c r="T71" i="1"/>
  <c r="T44" i="1"/>
  <c r="T32" i="1"/>
  <c r="T7" i="1"/>
  <c r="T50" i="1"/>
  <c r="T20" i="1"/>
  <c r="T16" i="1"/>
  <c r="T26" i="1"/>
  <c r="T19" i="1"/>
  <c r="T25" i="1"/>
  <c r="T11" i="1"/>
  <c r="T35" i="1"/>
  <c r="T70" i="1"/>
  <c r="T73" i="1"/>
  <c r="T49" i="1"/>
  <c r="T76" i="1"/>
  <c r="T88" i="1"/>
  <c r="T39" i="1"/>
  <c r="T85" i="1"/>
  <c r="T30" i="1"/>
  <c r="T46" i="1"/>
  <c r="T53" i="1"/>
  <c r="T28" i="1"/>
  <c r="T56" i="1"/>
  <c r="T60" i="1"/>
  <c r="T43" i="1"/>
  <c r="T13" i="1"/>
  <c r="T54" i="1"/>
  <c r="T82" i="1"/>
  <c r="T38" i="1"/>
  <c r="T23" i="1"/>
  <c r="T81" i="1"/>
  <c r="T79" i="1"/>
  <c r="T21" i="1"/>
  <c r="T58" i="1"/>
  <c r="T37" i="1"/>
  <c r="T64" i="1"/>
  <c r="T72" i="1"/>
  <c r="T8" i="1"/>
  <c r="T10" i="1"/>
  <c r="T93" i="1"/>
  <c r="F93" i="1"/>
  <c r="D93" i="1"/>
  <c r="T47" i="1"/>
  <c r="G47" i="1"/>
  <c r="F47" i="1"/>
  <c r="T4" i="1"/>
  <c r="T6" i="1"/>
  <c r="T84" i="1"/>
  <c r="T12" i="1"/>
  <c r="T83" i="1"/>
  <c r="E83" i="1"/>
  <c r="T69" i="1"/>
  <c r="T62" i="1"/>
  <c r="T48" i="1"/>
  <c r="T45" i="1"/>
  <c r="T22" i="1"/>
  <c r="T15" i="1"/>
  <c r="F3" i="1"/>
  <c r="T74" i="1"/>
  <c r="T86" i="1"/>
  <c r="T55" i="1"/>
  <c r="M73" i="1"/>
  <c r="T65" i="1"/>
  <c r="M65" i="1"/>
  <c r="T87" i="1"/>
  <c r="M87" i="1"/>
  <c r="T33" i="1"/>
  <c r="M33" i="1"/>
  <c r="E33" i="1"/>
  <c r="T41" i="1"/>
  <c r="T14" i="1"/>
  <c r="T89" i="1"/>
  <c r="O89" i="1"/>
  <c r="T77" i="1"/>
  <c r="E77" i="1"/>
  <c r="T68" i="1"/>
  <c r="T75" i="1"/>
  <c r="T34" i="1"/>
  <c r="O34" i="1"/>
  <c r="M34" i="1"/>
  <c r="T36" i="1"/>
  <c r="O36" i="1"/>
  <c r="E36" i="1"/>
  <c r="T63" i="1"/>
  <c r="T94" i="1"/>
  <c r="Q94" i="1"/>
  <c r="T92" i="1"/>
  <c r="T91" i="1"/>
  <c r="T51" i="1"/>
  <c r="M31" i="1"/>
  <c r="L31" i="1"/>
  <c r="T67" i="1"/>
  <c r="R67" i="1"/>
  <c r="T95" i="1"/>
  <c r="D4" i="21"/>
  <c r="D5" i="21"/>
  <c r="D6" i="21"/>
  <c r="D10" i="20"/>
  <c r="D9" i="20"/>
  <c r="D7" i="20"/>
  <c r="D5" i="20"/>
  <c r="D6" i="20"/>
  <c r="D4" i="20"/>
  <c r="D17" i="19"/>
  <c r="D13" i="19"/>
  <c r="D9" i="19"/>
  <c r="D11" i="19"/>
  <c r="D10" i="19"/>
  <c r="D7" i="19"/>
  <c r="D4" i="19"/>
  <c r="D14" i="19"/>
  <c r="D5" i="19"/>
  <c r="D8" i="19"/>
  <c r="D4" i="18"/>
  <c r="D6" i="17"/>
  <c r="D4" i="17"/>
  <c r="D5" i="17"/>
  <c r="D9" i="16"/>
  <c r="D8" i="16"/>
  <c r="D5" i="16"/>
  <c r="D6" i="16"/>
  <c r="D4" i="16"/>
  <c r="D10" i="15"/>
  <c r="D4" i="15"/>
  <c r="D10" i="14"/>
  <c r="D6" i="14"/>
  <c r="D8" i="14"/>
  <c r="D5" i="14"/>
  <c r="D4" i="14"/>
  <c r="D8" i="13"/>
  <c r="D4" i="13"/>
  <c r="D6" i="13"/>
  <c r="D5" i="13"/>
  <c r="D14" i="12"/>
  <c r="D7" i="12"/>
  <c r="D10" i="12"/>
  <c r="D8" i="12"/>
  <c r="D5" i="12"/>
  <c r="D6" i="12"/>
  <c r="D4" i="12"/>
  <c r="D4" i="11"/>
  <c r="D7" i="11"/>
  <c r="D5" i="11"/>
  <c r="D19" i="10"/>
  <c r="D18" i="10"/>
  <c r="D15" i="10"/>
  <c r="D11" i="10"/>
  <c r="D14" i="10"/>
  <c r="D13" i="10"/>
  <c r="D10" i="10"/>
  <c r="D4" i="10"/>
  <c r="D5" i="10"/>
  <c r="D8" i="10"/>
  <c r="D5" i="9"/>
  <c r="D9" i="9"/>
  <c r="D7" i="9"/>
  <c r="D4" i="9"/>
  <c r="D8" i="9"/>
  <c r="D6" i="8"/>
  <c r="D8" i="8"/>
  <c r="D9" i="8"/>
  <c r="D4" i="8"/>
  <c r="D32" i="7"/>
  <c r="D31" i="7"/>
  <c r="D7" i="7"/>
  <c r="D30" i="7"/>
  <c r="D25" i="7"/>
  <c r="D21" i="7"/>
  <c r="D22" i="7"/>
  <c r="D26" i="7"/>
  <c r="D18" i="7"/>
  <c r="D15" i="7"/>
  <c r="D16" i="7"/>
  <c r="D19" i="7"/>
  <c r="D20" i="7"/>
  <c r="D12" i="7"/>
  <c r="D11" i="7"/>
  <c r="D10" i="7"/>
  <c r="D6" i="7"/>
  <c r="D9" i="7"/>
  <c r="D4" i="7"/>
  <c r="D5" i="7"/>
  <c r="D9" i="6"/>
  <c r="D31" i="6"/>
  <c r="D34" i="6"/>
  <c r="D33" i="6"/>
  <c r="D32" i="6"/>
  <c r="D19" i="6"/>
  <c r="D21" i="6"/>
  <c r="D24" i="6"/>
  <c r="D15" i="6"/>
  <c r="D26" i="6"/>
  <c r="D17" i="6"/>
  <c r="D12" i="6"/>
  <c r="D10" i="6"/>
  <c r="D14" i="6"/>
  <c r="D8" i="6"/>
  <c r="D6" i="6"/>
  <c r="D13" i="6"/>
  <c r="D5" i="6"/>
  <c r="D4" i="6"/>
  <c r="D17" i="5"/>
  <c r="D15" i="5"/>
  <c r="D13" i="5"/>
  <c r="D14" i="5"/>
  <c r="D9" i="5"/>
  <c r="D10" i="5"/>
  <c r="D5" i="5"/>
  <c r="D8" i="5"/>
  <c r="D4" i="5"/>
  <c r="D14" i="4"/>
  <c r="D12" i="4"/>
  <c r="D11" i="4"/>
  <c r="D9" i="4"/>
  <c r="D8" i="4"/>
  <c r="D7" i="4"/>
  <c r="D5" i="4"/>
  <c r="D36" i="3"/>
  <c r="D35" i="3"/>
  <c r="D30" i="3"/>
  <c r="D27" i="3"/>
  <c r="D24" i="3"/>
  <c r="D25" i="3"/>
  <c r="D10" i="3"/>
  <c r="D12" i="3"/>
  <c r="D17" i="3"/>
  <c r="D11" i="3"/>
  <c r="D21" i="3"/>
  <c r="D13" i="3"/>
  <c r="D14" i="3"/>
  <c r="D7" i="3"/>
  <c r="D5" i="3"/>
  <c r="D8" i="3"/>
  <c r="D9" i="3"/>
  <c r="D4" i="3"/>
  <c r="D17" i="2"/>
  <c r="D16" i="2"/>
  <c r="D15" i="2"/>
  <c r="D12" i="2"/>
  <c r="D11" i="2"/>
  <c r="D9" i="2"/>
  <c r="D8" i="2"/>
  <c r="D5" i="2"/>
  <c r="D6" i="2"/>
  <c r="D13" i="15"/>
  <c r="D12" i="15"/>
  <c r="D11" i="15"/>
  <c r="D8" i="15"/>
  <c r="D6" i="15"/>
  <c r="D7" i="15"/>
  <c r="D5" i="15"/>
  <c r="D21" i="19"/>
  <c r="D19" i="19"/>
  <c r="D16" i="19"/>
  <c r="D6" i="19"/>
  <c r="D6" i="18"/>
  <c r="D22" i="19"/>
  <c r="D20" i="19"/>
  <c r="D12" i="19"/>
  <c r="D5" i="18"/>
  <c r="D15" i="15"/>
  <c r="D9" i="15"/>
  <c r="D7" i="14"/>
  <c r="D9" i="14"/>
  <c r="D7" i="21"/>
  <c r="D11" i="13"/>
  <c r="D12" i="13"/>
  <c r="D10" i="13"/>
  <c r="D9" i="13"/>
  <c r="D13" i="12"/>
  <c r="D12" i="12"/>
  <c r="D9" i="12"/>
  <c r="D8" i="11"/>
  <c r="D6" i="11"/>
  <c r="D17" i="10"/>
  <c r="D12" i="10"/>
  <c r="D9" i="10"/>
  <c r="D7" i="10"/>
  <c r="D6" i="10"/>
  <c r="D8" i="20"/>
  <c r="D12" i="9"/>
  <c r="D11" i="9"/>
  <c r="D10" i="9"/>
  <c r="D6" i="9"/>
  <c r="D13" i="8"/>
  <c r="D12" i="8"/>
  <c r="D7" i="8"/>
  <c r="D10" i="8"/>
  <c r="D11" i="8"/>
  <c r="D5" i="8"/>
  <c r="D28" i="7"/>
  <c r="D17" i="7"/>
  <c r="D23" i="7"/>
  <c r="D24" i="7"/>
  <c r="D27" i="7"/>
  <c r="D8" i="7"/>
  <c r="D13" i="7"/>
  <c r="D14" i="7"/>
  <c r="D29" i="7"/>
  <c r="D25" i="6"/>
  <c r="D27" i="6"/>
  <c r="D28" i="6"/>
  <c r="D30" i="6"/>
  <c r="D18" i="6"/>
  <c r="D23" i="6"/>
  <c r="D20" i="6"/>
  <c r="D16" i="6"/>
  <c r="D11" i="6"/>
  <c r="D29" i="6"/>
  <c r="D22" i="6"/>
  <c r="D7" i="6"/>
  <c r="D18" i="5"/>
  <c r="D16" i="5"/>
  <c r="D6" i="5"/>
  <c r="D11" i="5"/>
  <c r="D7" i="5"/>
  <c r="D6" i="4"/>
  <c r="D4" i="4"/>
  <c r="D18" i="3"/>
  <c r="D32" i="3"/>
  <c r="D31" i="3"/>
  <c r="D29" i="3"/>
  <c r="D26" i="3"/>
  <c r="D20" i="3"/>
  <c r="D28" i="3"/>
  <c r="D23" i="3"/>
  <c r="D6" i="3"/>
  <c r="D14" i="2"/>
  <c r="D19" i="2"/>
  <c r="D13" i="2"/>
  <c r="D7" i="2"/>
  <c r="D10" i="2"/>
  <c r="D4" i="2"/>
  <c r="D24" i="19"/>
  <c r="D23" i="19"/>
  <c r="D25" i="19"/>
  <c r="D18" i="19"/>
  <c r="D15" i="19"/>
  <c r="D7" i="18"/>
  <c r="D7" i="16"/>
  <c r="D16" i="15"/>
  <c r="D14" i="15"/>
  <c r="D14" i="13"/>
  <c r="D13" i="13"/>
  <c r="D7" i="13"/>
  <c r="D11" i="12"/>
  <c r="D13" i="11"/>
  <c r="D12" i="11"/>
  <c r="D11" i="11"/>
  <c r="D10" i="11"/>
  <c r="D9" i="11"/>
  <c r="D16" i="10"/>
  <c r="D12" i="5"/>
  <c r="D15" i="4"/>
  <c r="D13" i="4"/>
  <c r="D10" i="4"/>
  <c r="D34" i="3"/>
  <c r="D33" i="3"/>
  <c r="D22" i="3"/>
  <c r="D19" i="3"/>
  <c r="D16" i="3"/>
  <c r="D15" i="3"/>
  <c r="D20" i="2"/>
  <c r="A3" i="1"/>
</calcChain>
</file>

<file path=xl/sharedStrings.xml><?xml version="1.0" encoding="utf-8"?>
<sst xmlns="http://schemas.openxmlformats.org/spreadsheetml/2006/main" count="503" uniqueCount="166">
  <si>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</si>
  <si>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</si>
  <si>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</si>
  <si>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</si>
  <si>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</si>
  <si>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</si>
  <si>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</si>
  <si>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</si>
  <si>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</si>
  <si>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</si>
  <si>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</si>
  <si>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</si>
  <si>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</si>
  <si>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</si>
  <si>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</si>
  <si>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</si>
  <si>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</si>
  <si>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</si>
  <si>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</si>
  <si>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</si>
  <si>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Adam Robarts</t>
  </si>
  <si>
    <t>Chris Sarbora</t>
  </si>
  <si>
    <t>62X</t>
  </si>
  <si>
    <t>Andy DiBrino</t>
  </si>
  <si>
    <t>Steven Campbell</t>
  </si>
  <si>
    <t>21X</t>
  </si>
  <si>
    <t>Kevin Pinkstaff</t>
  </si>
  <si>
    <t>Philip Melnyk</t>
  </si>
  <si>
    <t>24X</t>
  </si>
  <si>
    <t>Todd Eugene</t>
  </si>
  <si>
    <t>Volga Mermut</t>
  </si>
  <si>
    <t>58X</t>
  </si>
  <si>
    <t>Drat Diestler</t>
  </si>
  <si>
    <t>Andy Halbert</t>
  </si>
  <si>
    <t>Garret Visser</t>
  </si>
  <si>
    <t>Miles McElhany</t>
  </si>
  <si>
    <t>Adam Fausett</t>
  </si>
  <si>
    <t>David Kohlstaedt</t>
  </si>
  <si>
    <t>Micah Kudo</t>
  </si>
  <si>
    <t>David Pearce</t>
  </si>
  <si>
    <t>Darrin Griffin</t>
  </si>
  <si>
    <t>Ryan Doherty</t>
  </si>
  <si>
    <t>Kevin Nanthrup</t>
  </si>
  <si>
    <t>Andrew Kapaldo</t>
  </si>
  <si>
    <t>Sean Cresap</t>
  </si>
  <si>
    <t>Zach Halbert</t>
  </si>
  <si>
    <t>Paul McComsey</t>
  </si>
  <si>
    <t>Jeff Lane</t>
  </si>
  <si>
    <t>Cedric Smith</t>
  </si>
  <si>
    <t>Dave Heinricks</t>
  </si>
  <si>
    <t>Donald Williams</t>
  </si>
  <si>
    <t>Robert Stine</t>
  </si>
  <si>
    <t>Paul Gienau</t>
  </si>
  <si>
    <t>Kumpy Kump</t>
  </si>
  <si>
    <t>Jonathan Hudak</t>
  </si>
  <si>
    <t>Ryan Cresap</t>
  </si>
  <si>
    <t>Joe Pittman</t>
  </si>
  <si>
    <t>Mallory Dobbs</t>
  </si>
  <si>
    <t>Dustin Walbon</t>
  </si>
  <si>
    <t>Dave Oster</t>
  </si>
  <si>
    <t>Matthew Winter</t>
  </si>
  <si>
    <t>Tico Sandoval</t>
  </si>
  <si>
    <t>Jay Brown</t>
  </si>
  <si>
    <t>Ron Rudy</t>
  </si>
  <si>
    <t>Brian Burchill</t>
  </si>
  <si>
    <t>Jacob Brown</t>
  </si>
  <si>
    <t>Cliff Griffin</t>
  </si>
  <si>
    <t>Matthew White</t>
  </si>
  <si>
    <t>Simon Smith</t>
  </si>
  <si>
    <t>Brian Pinkstaff</t>
  </si>
  <si>
    <t>Joel Ohman</t>
  </si>
  <si>
    <t>Matthew Wichgers</t>
  </si>
  <si>
    <t>Gary Ryder</t>
  </si>
  <si>
    <t>Loren DeShon</t>
  </si>
  <si>
    <t>Nick Hawson</t>
  </si>
  <si>
    <t>Sergio Gingerich</t>
  </si>
  <si>
    <t>Arash Nadershahi</t>
  </si>
  <si>
    <t>Luke O'Brien</t>
  </si>
  <si>
    <t>Garrick Fulbright</t>
  </si>
  <si>
    <t>Chris Wilcox</t>
  </si>
  <si>
    <t>Perry Lund</t>
  </si>
  <si>
    <t>Charles Hobbs</t>
  </si>
  <si>
    <t>Jolene Janacek</t>
  </si>
  <si>
    <t>Kent Swendseid</t>
  </si>
  <si>
    <t>Jeremy Goddard</t>
  </si>
  <si>
    <t>Keith Stone</t>
  </si>
  <si>
    <t>Christopher Ritnoppakun</t>
  </si>
  <si>
    <t>David Bostashvili</t>
  </si>
  <si>
    <t>Micah Smith</t>
  </si>
  <si>
    <t>Howard Nusbaum</t>
  </si>
  <si>
    <t>Jennifer Chancellor</t>
  </si>
  <si>
    <t>Joseph Palmeri</t>
  </si>
  <si>
    <t>Scott Harris</t>
  </si>
  <si>
    <t>Zachary Smith</t>
  </si>
  <si>
    <t>Kevin O'Neil</t>
  </si>
  <si>
    <t>Matt Taylor</t>
  </si>
  <si>
    <t>Andy Moore</t>
  </si>
  <si>
    <t>Chris Burgess</t>
  </si>
  <si>
    <t>Aleksandr Kibis</t>
  </si>
  <si>
    <t>Dion LaBlue</t>
  </si>
  <si>
    <t>Becky Smith</t>
  </si>
  <si>
    <t>Seppi "T-Rex" Hutter</t>
  </si>
  <si>
    <t>Joe Van Patten</t>
  </si>
  <si>
    <t>Pete Markey</t>
  </si>
  <si>
    <t>Brent Dwyer Love</t>
  </si>
  <si>
    <t>Matthew Kitchell</t>
  </si>
  <si>
    <t>Ryan Parlin</t>
  </si>
  <si>
    <t>Tim Fowler</t>
  </si>
  <si>
    <t>Patrick Ball</t>
  </si>
  <si>
    <t>Lucas Brown</t>
  </si>
  <si>
    <t>Dustin Knudsen</t>
  </si>
  <si>
    <t>Joseph Wright</t>
  </si>
  <si>
    <t>Scott Schnider</t>
  </si>
  <si>
    <t>Brett Andrist</t>
  </si>
  <si>
    <t>Stephanie Dinescu</t>
  </si>
  <si>
    <t>Jeffrey Seehorn</t>
  </si>
  <si>
    <t>Stacey Andrist</t>
  </si>
  <si>
    <t>Duncan Craick</t>
  </si>
  <si>
    <t>2021 Formula Ultra</t>
  </si>
  <si>
    <t>Points</t>
  </si>
  <si>
    <t>2021 Formula 2</t>
  </si>
  <si>
    <t>2021 Open SS</t>
  </si>
  <si>
    <t>2021 Open SBK</t>
  </si>
  <si>
    <t>21R</t>
  </si>
  <si>
    <t>62R</t>
  </si>
  <si>
    <t>2021 600 SS</t>
  </si>
  <si>
    <t>2021 600 SBK</t>
  </si>
  <si>
    <t>2021 MW SS</t>
  </si>
  <si>
    <t>2021 MW SBK</t>
  </si>
  <si>
    <t>2021 LW SS</t>
  </si>
  <si>
    <t>24x</t>
  </si>
  <si>
    <t>2021 LW SBK</t>
  </si>
  <si>
    <t>2021 ULW SS</t>
  </si>
  <si>
    <t>2021 450 SBK</t>
  </si>
  <si>
    <t>2021 Classic SBK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</si>
  <si>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</si>
  <si>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</si>
  <si>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</si>
  <si>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</si>
  <si>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</si>
  <si>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</si>
  <si>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Jonathan Kirkland</t>
  </si>
  <si>
    <t>Chance Terrell</t>
  </si>
  <si>
    <t>2021 Novice 600</t>
  </si>
  <si>
    <t>Logan Oster</t>
  </si>
  <si>
    <t>Chris Eaker</t>
  </si>
  <si>
    <t>Trevor Petersen</t>
  </si>
  <si>
    <t>Cory Balma</t>
  </si>
  <si>
    <t>John Vento</t>
  </si>
  <si>
    <t>Dawson Hart</t>
  </si>
  <si>
    <t>Drew Lenihan</t>
  </si>
  <si>
    <t>Colin Carrihill</t>
  </si>
  <si>
    <t>Keith Radcliff</t>
  </si>
  <si>
    <t>Ken Dawson</t>
  </si>
  <si>
    <t>Lou Bragg</t>
  </si>
  <si>
    <t>Salman Khan</t>
  </si>
  <si>
    <t>Robert Prindle</t>
  </si>
  <si>
    <t>Sam Crawford</t>
  </si>
  <si>
    <t>Tyler Brown</t>
  </si>
  <si>
    <t>Kevin O'Neill</t>
  </si>
  <si>
    <t>Hunter Fitch</t>
  </si>
  <si>
    <t>Thomas Arnesen</t>
  </si>
  <si>
    <t>2021 Formula 40</t>
  </si>
  <si>
    <t>2021 Formula Female</t>
  </si>
  <si>
    <t>Crystal Platt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</si>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</sst>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0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9FF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6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wrapText="1"/>
    </xf>
    <xf numFmtId="0" fontId="6" fillId="2" borderId="30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30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 vertical="justify" wrapText="1"/>
    </xf>
    <xf numFmtId="0" fontId="8" fillId="0" borderId="26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6" fillId="0" borderId="36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8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23" xfId="0" applyFont="1" applyBorder="1" applyAlignment="1">
      <alignment horizontal="center" wrapText="1"/>
    </xf>
    <xf numFmtId="0" fontId="9" fillId="0" borderId="21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5" xfId="0" applyFont="1" applyBorder="1" applyAlignment="1">
      <alignment horizont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42" xfId="0" applyFont="1" applyBorder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8" xfId="0" applyFont="1" applyFill="1" applyBorder="1" applyAlignment="1">
      <alignment horizontal="center" wrapText="1"/>
    </xf>
    <xf numFmtId="0" fontId="9" fillId="0" borderId="23" xfId="0" applyFont="1" applyFill="1" applyBorder="1" applyAlignment="1">
      <alignment horizontal="center" wrapText="1"/>
    </xf>
    <xf numFmtId="0" fontId="9" fillId="0" borderId="30" xfId="0" applyFont="1" applyFill="1" applyBorder="1"/>
    <xf numFmtId="0" fontId="6" fillId="2" borderId="38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7" fillId="0" borderId="37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30" xfId="0" applyFont="1" applyBorder="1"/>
    <xf numFmtId="0" fontId="9" fillId="0" borderId="30" xfId="0" applyFont="1" applyBorder="1" applyAlignment="1">
      <alignment horizontal="center"/>
    </xf>
    <xf numFmtId="0" fontId="7" fillId="2" borderId="38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9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5" xfId="0" applyFont="1" applyBorder="1"/>
    <xf numFmtId="0" fontId="7" fillId="0" borderId="13" xfId="0" applyFont="1" applyFill="1" applyBorder="1" applyAlignment="1">
      <alignment horizontal="center"/>
    </xf>
    <xf numFmtId="164" fontId="8" fillId="0" borderId="12" xfId="0" applyNumberFormat="1" applyFont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wrapText="1"/>
    </xf>
    <xf numFmtId="0" fontId="2" fillId="3" borderId="35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vertical="center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95"/>
  <sheetViews>
    <sheetView tabSelected="1" zoomScaleNormal="100" workbookViewId="0">
      <pane xSplit="3" ySplit="1" topLeftCell="S2" activePane="bottomRight" state="frozen"/>
      <selection pane="bottomRight" activeCell="U9" sqref="U9"/>
      <selection pane="bottomLeft" activeCell="A2" sqref="A2"/>
      <selection pane="topRight" activeCell="C1" sqref="C1"/>
    </sheetView>
  </sheetViews>
  <sheetFormatPr defaultRowHeight="15.75"/>
  <cols>
    <col min="1" max="1" width="12" style="148" customWidth="1"/>
    <col min="2" max="2" width="6.7109375" style="148" customWidth="1"/>
    <col min="3" max="3" width="21.28515625" style="152" customWidth="1"/>
    <col min="4" max="4" width="11.28515625" style="148" customWidth="1"/>
    <col min="5" max="5" width="11.85546875" style="148" customWidth="1"/>
    <col min="6" max="6" width="8.7109375" style="148" bestFit="1" customWidth="1"/>
    <col min="7" max="7" width="10.28515625" style="148" bestFit="1" customWidth="1"/>
    <col min="8" max="8" width="7.7109375" style="148" customWidth="1"/>
    <col min="9" max="9" width="8.5703125" style="148" customWidth="1"/>
    <col min="10" max="10" width="7.85546875" style="148" customWidth="1"/>
    <col min="11" max="11" width="9.28515625" style="148" bestFit="1" customWidth="1"/>
    <col min="12" max="13" width="8.5703125" style="148" bestFit="1" customWidth="1"/>
    <col min="14" max="14" width="9.28515625" style="146" bestFit="1" customWidth="1"/>
    <col min="15" max="15" width="8.42578125" style="148" bestFit="1" customWidth="1"/>
    <col min="16" max="16" width="11.42578125" style="148" bestFit="1" customWidth="1"/>
    <col min="17" max="17" width="9.42578125" style="148" bestFit="1" customWidth="1"/>
    <col min="18" max="19" width="11.28515625" style="148" bestFit="1" customWidth="1"/>
    <col min="20" max="20" width="11.28515625" style="150" customWidth="1"/>
    <col min="21" max="21" width="14.28515625" style="146" bestFit="1" customWidth="1"/>
    <col min="22" max="16384" width="9.140625" style="146"/>
  </cols>
  <sheetData>
    <row r="1" spans="1:21" s="2" customFormat="1" ht="31.5">
      <c r="A1" s="1" t="s">
        <v>0</v>
      </c>
      <c r="B1" s="1" t="s">
        <v>1</v>
      </c>
      <c r="C1" s="15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Q1" s="141" t="s">
        <v>16</v>
      </c>
      <c r="R1" s="141" t="s">
        <v>17</v>
      </c>
      <c r="S1" s="142" t="s">
        <v>18</v>
      </c>
      <c r="T1" s="53" t="s">
        <v>19</v>
      </c>
      <c r="U1" s="32">
        <v>44393</v>
      </c>
    </row>
    <row r="2" spans="1:21" s="144" customFormat="1">
      <c r="A2" s="61">
        <v>1</v>
      </c>
      <c r="B2" s="143">
        <v>1</v>
      </c>
      <c r="C2" s="156" t="s">
        <v>20</v>
      </c>
      <c r="D2" s="54">
        <v>251</v>
      </c>
      <c r="E2" s="55">
        <v>211</v>
      </c>
      <c r="F2" s="54"/>
      <c r="G2" s="56"/>
      <c r="H2" s="55">
        <v>222</v>
      </c>
      <c r="I2" s="55">
        <v>168</v>
      </c>
      <c r="J2" s="55"/>
      <c r="K2" s="55"/>
      <c r="L2" s="55"/>
      <c r="M2" s="55"/>
      <c r="N2" s="76"/>
      <c r="O2" s="55"/>
      <c r="P2" s="55"/>
      <c r="Q2" s="55"/>
      <c r="R2" s="55"/>
      <c r="S2" s="75"/>
      <c r="T2" s="49">
        <f>251+222</f>
        <v>473</v>
      </c>
      <c r="U2" s="146"/>
    </row>
    <row r="3" spans="1:21">
      <c r="A3" s="61">
        <f>A2+1</f>
        <v>2</v>
      </c>
      <c r="B3" s="143">
        <v>2</v>
      </c>
      <c r="C3" s="156" t="s">
        <v>21</v>
      </c>
      <c r="D3" s="54">
        <v>254</v>
      </c>
      <c r="E3" s="55">
        <v>95</v>
      </c>
      <c r="F3" s="54">
        <f>32+9</f>
        <v>41</v>
      </c>
      <c r="G3" s="56">
        <v>125</v>
      </c>
      <c r="H3" s="56">
        <v>177</v>
      </c>
      <c r="I3" s="56">
        <v>173</v>
      </c>
      <c r="J3" s="56"/>
      <c r="K3" s="56"/>
      <c r="L3" s="56"/>
      <c r="M3" s="56"/>
      <c r="N3" s="48"/>
      <c r="O3" s="56"/>
      <c r="P3" s="56"/>
      <c r="Q3" s="56"/>
      <c r="R3" s="56"/>
      <c r="S3" s="59"/>
      <c r="T3" s="50">
        <f>254+177</f>
        <v>431</v>
      </c>
    </row>
    <row r="4" spans="1:21">
      <c r="A4" s="61">
        <f t="shared" ref="A4:A67" si="0">A3+1</f>
        <v>3</v>
      </c>
      <c r="B4" s="143" t="s">
        <v>22</v>
      </c>
      <c r="C4" s="152" t="s">
        <v>23</v>
      </c>
      <c r="D4" s="54">
        <v>272</v>
      </c>
      <c r="E4" s="55"/>
      <c r="F4" s="54">
        <v>134</v>
      </c>
      <c r="G4" s="55">
        <v>83</v>
      </c>
      <c r="H4" s="54"/>
      <c r="I4" s="56"/>
      <c r="J4" s="56"/>
      <c r="K4" s="57"/>
      <c r="L4" s="57"/>
      <c r="M4" s="57"/>
      <c r="N4" s="48"/>
      <c r="O4" s="57"/>
      <c r="P4" s="57"/>
      <c r="Q4" s="57"/>
      <c r="R4" s="57"/>
      <c r="S4" s="60"/>
      <c r="T4" s="50">
        <f>272+134</f>
        <v>406</v>
      </c>
    </row>
    <row r="5" spans="1:21">
      <c r="A5" s="61">
        <f t="shared" si="0"/>
        <v>4</v>
      </c>
      <c r="B5" s="143">
        <v>4</v>
      </c>
      <c r="C5" s="156" t="s">
        <v>24</v>
      </c>
      <c r="D5" s="54">
        <v>181</v>
      </c>
      <c r="E5" s="55">
        <v>119</v>
      </c>
      <c r="F5" s="54">
        <v>133</v>
      </c>
      <c r="G5" s="55">
        <v>115</v>
      </c>
      <c r="H5" s="54">
        <v>144</v>
      </c>
      <c r="I5" s="56">
        <v>83</v>
      </c>
      <c r="J5" s="56"/>
      <c r="K5" s="57"/>
      <c r="L5" s="57"/>
      <c r="M5" s="57"/>
      <c r="N5" s="48"/>
      <c r="O5" s="57"/>
      <c r="P5" s="57"/>
      <c r="Q5" s="57"/>
      <c r="R5" s="57"/>
      <c r="S5" s="60"/>
      <c r="T5" s="50">
        <f>181+144</f>
        <v>325</v>
      </c>
    </row>
    <row r="6" spans="1:21">
      <c r="A6" s="61">
        <f t="shared" si="0"/>
        <v>5</v>
      </c>
      <c r="B6" s="148" t="s">
        <v>25</v>
      </c>
      <c r="C6" s="156" t="s">
        <v>26</v>
      </c>
      <c r="D6" s="56">
        <v>204</v>
      </c>
      <c r="E6" s="55"/>
      <c r="F6" s="56">
        <v>102</v>
      </c>
      <c r="G6" s="56">
        <v>104</v>
      </c>
      <c r="H6" s="55"/>
      <c r="I6" s="55"/>
      <c r="J6" s="55"/>
      <c r="K6" s="55"/>
      <c r="L6" s="55"/>
      <c r="M6" s="55"/>
      <c r="N6" s="48"/>
      <c r="O6" s="55"/>
      <c r="P6" s="55"/>
      <c r="Q6" s="55"/>
      <c r="R6" s="55"/>
      <c r="S6" s="75"/>
      <c r="T6" s="50">
        <f>104+204</f>
        <v>308</v>
      </c>
    </row>
    <row r="7" spans="1:21">
      <c r="A7" s="61">
        <f t="shared" si="0"/>
        <v>6</v>
      </c>
      <c r="B7" s="143">
        <v>73</v>
      </c>
      <c r="C7" s="156" t="s">
        <v>27</v>
      </c>
      <c r="D7" s="54">
        <v>61</v>
      </c>
      <c r="E7" s="55">
        <v>110</v>
      </c>
      <c r="F7" s="55"/>
      <c r="G7" s="55"/>
      <c r="H7" s="55"/>
      <c r="I7" s="56">
        <v>135</v>
      </c>
      <c r="J7" s="56"/>
      <c r="K7" s="56"/>
      <c r="L7" s="56"/>
      <c r="M7" s="56"/>
      <c r="N7" s="48"/>
      <c r="O7" s="56"/>
      <c r="P7" s="56"/>
      <c r="Q7" s="56"/>
      <c r="R7" s="56"/>
      <c r="S7" s="59"/>
      <c r="T7" s="50">
        <f>135+110</f>
        <v>245</v>
      </c>
    </row>
    <row r="8" spans="1:21">
      <c r="A8" s="61">
        <f t="shared" si="0"/>
        <v>7</v>
      </c>
      <c r="B8" s="143" t="s">
        <v>28</v>
      </c>
      <c r="C8" s="157" t="s">
        <v>29</v>
      </c>
      <c r="D8" s="54"/>
      <c r="E8" s="55"/>
      <c r="F8" s="55"/>
      <c r="G8" s="56"/>
      <c r="H8" s="56"/>
      <c r="I8" s="55"/>
      <c r="J8" s="55">
        <v>51</v>
      </c>
      <c r="K8" s="56">
        <v>66</v>
      </c>
      <c r="L8" s="56">
        <v>115.5</v>
      </c>
      <c r="M8" s="57">
        <v>119.5</v>
      </c>
      <c r="N8" s="48"/>
      <c r="O8" s="56">
        <v>13</v>
      </c>
      <c r="P8" s="57"/>
      <c r="Q8" s="57"/>
      <c r="R8" s="55"/>
      <c r="S8" s="60"/>
      <c r="T8" s="50">
        <f>119.5+115.5</f>
        <v>235</v>
      </c>
    </row>
    <row r="9" spans="1:21">
      <c r="A9" s="61">
        <f t="shared" si="0"/>
        <v>8</v>
      </c>
      <c r="B9" s="143">
        <v>38</v>
      </c>
      <c r="C9" s="156" t="s">
        <v>30</v>
      </c>
      <c r="D9" s="54">
        <v>148</v>
      </c>
      <c r="E9" s="55"/>
      <c r="F9" s="54">
        <v>83</v>
      </c>
      <c r="G9" s="56">
        <v>80</v>
      </c>
      <c r="H9" s="55"/>
      <c r="I9" s="55"/>
      <c r="J9" s="55"/>
      <c r="K9" s="55"/>
      <c r="L9" s="55"/>
      <c r="M9" s="55"/>
      <c r="N9" s="48"/>
      <c r="O9" s="55"/>
      <c r="P9" s="55"/>
      <c r="Q9" s="55"/>
      <c r="R9" s="55"/>
      <c r="S9" s="75"/>
      <c r="T9" s="50">
        <f>148+83</f>
        <v>231</v>
      </c>
    </row>
    <row r="10" spans="1:21">
      <c r="A10" s="61">
        <f t="shared" si="0"/>
        <v>9</v>
      </c>
      <c r="B10" s="143" t="s">
        <v>31</v>
      </c>
      <c r="C10" s="156" t="s">
        <v>32</v>
      </c>
      <c r="D10" s="54"/>
      <c r="E10" s="55"/>
      <c r="F10" s="55"/>
      <c r="G10" s="56"/>
      <c r="H10" s="56"/>
      <c r="I10" s="55"/>
      <c r="J10" s="55"/>
      <c r="K10" s="56">
        <v>123</v>
      </c>
      <c r="L10" s="56"/>
      <c r="M10" s="57"/>
      <c r="N10" s="48"/>
      <c r="O10" s="56">
        <v>95</v>
      </c>
      <c r="P10" s="57"/>
      <c r="Q10" s="57"/>
      <c r="R10" s="55"/>
      <c r="S10" s="60"/>
      <c r="T10" s="50">
        <f>95+123</f>
        <v>218</v>
      </c>
    </row>
    <row r="11" spans="1:21">
      <c r="A11" s="61">
        <f t="shared" si="0"/>
        <v>10</v>
      </c>
      <c r="B11" s="143">
        <v>107</v>
      </c>
      <c r="C11" s="156" t="s">
        <v>33</v>
      </c>
      <c r="D11" s="55"/>
      <c r="E11" s="55"/>
      <c r="F11" s="55"/>
      <c r="G11" s="55"/>
      <c r="H11" s="55"/>
      <c r="I11" s="56"/>
      <c r="J11" s="56"/>
      <c r="K11" s="56"/>
      <c r="L11" s="56">
        <v>89.5</v>
      </c>
      <c r="M11" s="56"/>
      <c r="N11" s="48">
        <v>128</v>
      </c>
      <c r="O11" s="56"/>
      <c r="P11" s="56"/>
      <c r="Q11" s="56"/>
      <c r="R11" s="56"/>
      <c r="S11" s="59"/>
      <c r="T11" s="50">
        <f>128+89.5</f>
        <v>217.5</v>
      </c>
    </row>
    <row r="12" spans="1:21">
      <c r="A12" s="61">
        <f t="shared" si="0"/>
        <v>11</v>
      </c>
      <c r="B12" s="145">
        <v>284</v>
      </c>
      <c r="C12" s="158" t="s">
        <v>34</v>
      </c>
      <c r="D12" s="54">
        <v>99</v>
      </c>
      <c r="E12" s="55">
        <v>102</v>
      </c>
      <c r="F12" s="54">
        <v>65</v>
      </c>
      <c r="G12" s="54">
        <v>39</v>
      </c>
      <c r="H12" s="55">
        <v>81</v>
      </c>
      <c r="I12" s="55">
        <v>73</v>
      </c>
      <c r="J12" s="55"/>
      <c r="K12" s="55"/>
      <c r="L12" s="55"/>
      <c r="M12" s="55"/>
      <c r="N12" s="48"/>
      <c r="O12" s="55"/>
      <c r="P12" s="55"/>
      <c r="Q12" s="55"/>
      <c r="R12" s="55"/>
      <c r="S12" s="75"/>
      <c r="T12" s="50">
        <f>102+99</f>
        <v>201</v>
      </c>
    </row>
    <row r="13" spans="1:21">
      <c r="A13" s="61">
        <f t="shared" si="0"/>
        <v>12</v>
      </c>
      <c r="B13" s="143">
        <v>343</v>
      </c>
      <c r="C13" s="156" t="s">
        <v>35</v>
      </c>
      <c r="D13" s="55">
        <v>14</v>
      </c>
      <c r="E13" s="55">
        <v>41</v>
      </c>
      <c r="F13" s="55"/>
      <c r="G13" s="55">
        <v>17</v>
      </c>
      <c r="H13" s="54">
        <v>67</v>
      </c>
      <c r="I13" s="54">
        <v>43</v>
      </c>
      <c r="J13" s="54"/>
      <c r="K13" s="57"/>
      <c r="L13" s="57"/>
      <c r="M13" s="57"/>
      <c r="N13" s="48"/>
      <c r="O13" s="57"/>
      <c r="P13" s="57">
        <v>111</v>
      </c>
      <c r="Q13" s="57"/>
      <c r="R13" s="57"/>
      <c r="S13" s="60"/>
      <c r="T13" s="50">
        <f>67+111</f>
        <v>178</v>
      </c>
    </row>
    <row r="14" spans="1:21">
      <c r="A14" s="61">
        <f t="shared" si="0"/>
        <v>13</v>
      </c>
      <c r="B14" s="149">
        <v>204</v>
      </c>
      <c r="C14" s="158" t="s">
        <v>36</v>
      </c>
      <c r="D14" s="77"/>
      <c r="E14" s="77"/>
      <c r="F14" s="77"/>
      <c r="G14" s="77"/>
      <c r="H14" s="77"/>
      <c r="I14" s="77"/>
      <c r="J14" s="57">
        <v>84</v>
      </c>
      <c r="K14" s="54">
        <v>58</v>
      </c>
      <c r="L14" s="54">
        <v>87</v>
      </c>
      <c r="M14" s="54">
        <v>67</v>
      </c>
      <c r="N14" s="48"/>
      <c r="O14" s="54"/>
      <c r="P14" s="77"/>
      <c r="Q14" s="54"/>
      <c r="R14" s="54"/>
      <c r="S14" s="58"/>
      <c r="T14" s="50">
        <f>87+84</f>
        <v>171</v>
      </c>
    </row>
    <row r="15" spans="1:21">
      <c r="A15" s="61">
        <f t="shared" si="0"/>
        <v>14</v>
      </c>
      <c r="B15" s="143">
        <v>29</v>
      </c>
      <c r="C15" s="156" t="s">
        <v>37</v>
      </c>
      <c r="D15" s="54">
        <v>112</v>
      </c>
      <c r="E15" s="55">
        <v>48</v>
      </c>
      <c r="F15" s="55"/>
      <c r="G15" s="55">
        <v>35</v>
      </c>
      <c r="H15" s="55"/>
      <c r="I15" s="55">
        <v>50</v>
      </c>
      <c r="J15" s="55"/>
      <c r="K15" s="54"/>
      <c r="L15" s="54"/>
      <c r="M15" s="54"/>
      <c r="N15" s="48"/>
      <c r="O15" s="54"/>
      <c r="P15" s="55"/>
      <c r="Q15" s="54"/>
      <c r="R15" s="54"/>
      <c r="S15" s="58"/>
      <c r="T15" s="50">
        <f>112+50</f>
        <v>162</v>
      </c>
    </row>
    <row r="16" spans="1:21">
      <c r="A16" s="61">
        <f t="shared" si="0"/>
        <v>15</v>
      </c>
      <c r="B16" s="143">
        <v>84</v>
      </c>
      <c r="C16" s="156" t="s">
        <v>38</v>
      </c>
      <c r="D16" s="55"/>
      <c r="E16" s="55">
        <v>74</v>
      </c>
      <c r="F16" s="55"/>
      <c r="G16" s="55"/>
      <c r="H16" s="54">
        <v>79</v>
      </c>
      <c r="I16" s="56">
        <v>82</v>
      </c>
      <c r="J16" s="56"/>
      <c r="K16" s="56"/>
      <c r="L16" s="56"/>
      <c r="M16" s="56"/>
      <c r="N16" s="48"/>
      <c r="O16" s="56"/>
      <c r="P16" s="56"/>
      <c r="Q16" s="56"/>
      <c r="R16" s="56"/>
      <c r="S16" s="59"/>
      <c r="T16" s="50">
        <f>82+79</f>
        <v>161</v>
      </c>
    </row>
    <row r="17" spans="1:21">
      <c r="A17" s="61">
        <f t="shared" si="0"/>
        <v>16</v>
      </c>
      <c r="B17" s="143">
        <v>17</v>
      </c>
      <c r="C17" s="158" t="s">
        <v>39</v>
      </c>
      <c r="D17" s="54"/>
      <c r="E17" s="55"/>
      <c r="F17" s="55"/>
      <c r="G17" s="55"/>
      <c r="H17" s="55"/>
      <c r="I17" s="55"/>
      <c r="J17" s="55"/>
      <c r="K17" s="57"/>
      <c r="L17" s="56">
        <v>44.5</v>
      </c>
      <c r="M17" s="57"/>
      <c r="N17" s="48">
        <v>114.5</v>
      </c>
      <c r="O17" s="57"/>
      <c r="P17" s="57"/>
      <c r="Q17" s="57"/>
      <c r="R17" s="57"/>
      <c r="S17" s="60"/>
      <c r="T17" s="50">
        <f>114.5+44.5</f>
        <v>159</v>
      </c>
    </row>
    <row r="18" spans="1:21">
      <c r="A18" s="61">
        <f t="shared" si="0"/>
        <v>17</v>
      </c>
      <c r="B18" s="143">
        <v>23</v>
      </c>
      <c r="C18" s="156" t="s">
        <v>40</v>
      </c>
      <c r="D18" s="54"/>
      <c r="E18" s="55"/>
      <c r="F18" s="54"/>
      <c r="G18" s="56"/>
      <c r="H18" s="55"/>
      <c r="I18" s="55"/>
      <c r="J18" s="55"/>
      <c r="K18" s="55"/>
      <c r="L18" s="55"/>
      <c r="M18" s="55"/>
      <c r="N18" s="48"/>
      <c r="O18" s="55"/>
      <c r="P18" s="55"/>
      <c r="Q18" s="56">
        <v>157.5</v>
      </c>
      <c r="R18" s="55"/>
      <c r="S18" s="75"/>
      <c r="T18" s="50">
        <f>157.5</f>
        <v>157.5</v>
      </c>
    </row>
    <row r="19" spans="1:21" ht="17.25">
      <c r="A19" s="61">
        <f t="shared" si="0"/>
        <v>18</v>
      </c>
      <c r="B19" s="89">
        <v>90</v>
      </c>
      <c r="C19" s="154" t="s">
        <v>41</v>
      </c>
      <c r="D19" s="47"/>
      <c r="E19" s="47">
        <v>83</v>
      </c>
      <c r="F19" s="47"/>
      <c r="G19" s="47"/>
      <c r="H19" s="47">
        <v>69</v>
      </c>
      <c r="I19" s="47">
        <v>74</v>
      </c>
      <c r="J19" s="47"/>
      <c r="K19" s="47"/>
      <c r="L19" s="47"/>
      <c r="M19" s="47"/>
      <c r="N19" s="48"/>
      <c r="O19" s="47"/>
      <c r="P19" s="47"/>
      <c r="Q19" s="47"/>
      <c r="R19" s="47"/>
      <c r="S19" s="52"/>
      <c r="T19" s="50">
        <f>83+74</f>
        <v>157</v>
      </c>
    </row>
    <row r="20" spans="1:21">
      <c r="A20" s="61">
        <f t="shared" si="0"/>
        <v>19</v>
      </c>
      <c r="B20" s="143">
        <v>82</v>
      </c>
      <c r="C20" s="156" t="s">
        <v>42</v>
      </c>
      <c r="D20" s="54">
        <v>88</v>
      </c>
      <c r="E20" s="55"/>
      <c r="F20" s="54">
        <v>68</v>
      </c>
      <c r="G20" s="56">
        <v>44</v>
      </c>
      <c r="H20" s="55"/>
      <c r="I20" s="55"/>
      <c r="J20" s="55"/>
      <c r="K20" s="55"/>
      <c r="L20" s="55"/>
      <c r="M20" s="55"/>
      <c r="N20" s="48"/>
      <c r="O20" s="55"/>
      <c r="P20" s="55"/>
      <c r="Q20" s="55"/>
      <c r="R20" s="55"/>
      <c r="S20" s="75"/>
      <c r="T20" s="50">
        <f>88+68</f>
        <v>156</v>
      </c>
    </row>
    <row r="21" spans="1:21">
      <c r="A21" s="61">
        <f t="shared" si="0"/>
        <v>20</v>
      </c>
      <c r="B21" s="143">
        <v>813</v>
      </c>
      <c r="C21" s="157" t="s">
        <v>43</v>
      </c>
      <c r="D21" s="54"/>
      <c r="E21" s="55"/>
      <c r="F21" s="55"/>
      <c r="G21" s="56"/>
      <c r="H21" s="56"/>
      <c r="I21" s="55"/>
      <c r="J21" s="55">
        <v>147</v>
      </c>
      <c r="K21" s="56"/>
      <c r="L21" s="56"/>
      <c r="M21" s="57"/>
      <c r="N21" s="48"/>
      <c r="O21" s="56"/>
      <c r="P21" s="57"/>
      <c r="Q21" s="57"/>
      <c r="R21" s="55"/>
      <c r="S21" s="60"/>
      <c r="T21" s="50">
        <f>147</f>
        <v>147</v>
      </c>
    </row>
    <row r="22" spans="1:21">
      <c r="A22" s="61">
        <f t="shared" si="0"/>
        <v>21</v>
      </c>
      <c r="B22" s="143">
        <v>78</v>
      </c>
      <c r="C22" s="156" t="s">
        <v>44</v>
      </c>
      <c r="D22" s="54">
        <v>9</v>
      </c>
      <c r="E22" s="55">
        <v>23</v>
      </c>
      <c r="F22" s="54"/>
      <c r="G22" s="56"/>
      <c r="H22" s="54">
        <v>90</v>
      </c>
      <c r="I22" s="56">
        <v>49</v>
      </c>
      <c r="J22" s="56"/>
      <c r="K22" s="56"/>
      <c r="L22" s="56"/>
      <c r="M22" s="56"/>
      <c r="N22" s="48"/>
      <c r="O22" s="56"/>
      <c r="P22" s="56"/>
      <c r="Q22" s="56"/>
      <c r="R22" s="56"/>
      <c r="S22" s="59"/>
      <c r="T22" s="50">
        <f>90+49</f>
        <v>139</v>
      </c>
    </row>
    <row r="23" spans="1:21">
      <c r="A23" s="61">
        <f t="shared" si="0"/>
        <v>22</v>
      </c>
      <c r="B23" s="143">
        <v>769</v>
      </c>
      <c r="C23" s="157" t="s">
        <v>45</v>
      </c>
      <c r="D23" s="54"/>
      <c r="E23" s="55"/>
      <c r="F23" s="55"/>
      <c r="G23" s="56"/>
      <c r="H23" s="56"/>
      <c r="I23" s="55"/>
      <c r="J23" s="55"/>
      <c r="K23" s="56"/>
      <c r="L23" s="56">
        <v>51.5</v>
      </c>
      <c r="M23" s="57"/>
      <c r="N23" s="48">
        <v>85.5</v>
      </c>
      <c r="O23" s="56"/>
      <c r="P23" s="57"/>
      <c r="Q23" s="57"/>
      <c r="R23" s="55"/>
      <c r="S23" s="60"/>
      <c r="T23" s="50">
        <f>85.5+51.5</f>
        <v>137</v>
      </c>
    </row>
    <row r="24" spans="1:21">
      <c r="A24" s="61">
        <f t="shared" si="0"/>
        <v>23</v>
      </c>
      <c r="B24" s="143">
        <v>6</v>
      </c>
      <c r="C24" s="156" t="s">
        <v>46</v>
      </c>
      <c r="D24" s="55"/>
      <c r="E24" s="55">
        <v>61</v>
      </c>
      <c r="F24" s="55"/>
      <c r="G24" s="55"/>
      <c r="H24" s="56">
        <v>73</v>
      </c>
      <c r="I24" s="56">
        <v>47</v>
      </c>
      <c r="J24" s="56"/>
      <c r="K24" s="56"/>
      <c r="L24" s="56"/>
      <c r="M24" s="56"/>
      <c r="N24" s="48"/>
      <c r="O24" s="56"/>
      <c r="P24" s="56"/>
      <c r="Q24" s="56"/>
      <c r="R24" s="56"/>
      <c r="S24" s="59"/>
      <c r="T24" s="50">
        <f>73+61</f>
        <v>134</v>
      </c>
    </row>
    <row r="25" spans="1:21">
      <c r="A25" s="61">
        <f t="shared" si="0"/>
        <v>24</v>
      </c>
      <c r="B25" s="143">
        <v>97</v>
      </c>
      <c r="C25" s="156" t="s">
        <v>47</v>
      </c>
      <c r="D25" s="54">
        <v>43</v>
      </c>
      <c r="E25" s="55">
        <v>18</v>
      </c>
      <c r="F25" s="55"/>
      <c r="G25" s="56"/>
      <c r="H25" s="54">
        <v>76</v>
      </c>
      <c r="I25" s="56">
        <v>51</v>
      </c>
      <c r="J25" s="56"/>
      <c r="K25" s="56"/>
      <c r="L25" s="56"/>
      <c r="M25" s="56"/>
      <c r="N25" s="48"/>
      <c r="O25" s="56"/>
      <c r="P25" s="56"/>
      <c r="Q25" s="56"/>
      <c r="R25" s="56"/>
      <c r="S25" s="59"/>
      <c r="T25" s="50">
        <f>76+51</f>
        <v>127</v>
      </c>
    </row>
    <row r="26" spans="1:21">
      <c r="A26" s="61">
        <f t="shared" si="0"/>
        <v>25</v>
      </c>
      <c r="B26" s="143">
        <v>88</v>
      </c>
      <c r="C26" s="157" t="s">
        <v>48</v>
      </c>
      <c r="D26" s="55"/>
      <c r="E26" s="55"/>
      <c r="F26" s="55"/>
      <c r="G26" s="55"/>
      <c r="H26" s="56"/>
      <c r="I26" s="55"/>
      <c r="J26" s="55"/>
      <c r="K26" s="55">
        <v>49</v>
      </c>
      <c r="L26" s="55"/>
      <c r="M26" s="55"/>
      <c r="N26" s="48"/>
      <c r="O26" s="55">
        <v>72</v>
      </c>
      <c r="P26" s="55"/>
      <c r="Q26" s="55"/>
      <c r="R26" s="55"/>
      <c r="S26" s="75"/>
      <c r="T26" s="50">
        <f>72+49</f>
        <v>121</v>
      </c>
    </row>
    <row r="27" spans="1:21">
      <c r="A27" s="61">
        <f t="shared" si="0"/>
        <v>26</v>
      </c>
      <c r="B27" s="143">
        <v>5</v>
      </c>
      <c r="C27" s="156" t="s">
        <v>49</v>
      </c>
      <c r="D27" s="54"/>
      <c r="E27" s="55"/>
      <c r="F27" s="54"/>
      <c r="G27" s="56"/>
      <c r="H27" s="55"/>
      <c r="I27" s="55"/>
      <c r="J27" s="55"/>
      <c r="K27" s="56">
        <v>40</v>
      </c>
      <c r="L27" s="55"/>
      <c r="M27" s="55"/>
      <c r="N27" s="48"/>
      <c r="O27" s="55">
        <v>81</v>
      </c>
      <c r="P27" s="55"/>
      <c r="Q27" s="55"/>
      <c r="R27" s="55"/>
      <c r="S27" s="75"/>
      <c r="T27" s="50">
        <f>81+40</f>
        <v>121</v>
      </c>
    </row>
    <row r="28" spans="1:21">
      <c r="A28" s="61">
        <f t="shared" si="0"/>
        <v>27</v>
      </c>
      <c r="B28" s="143">
        <v>272</v>
      </c>
      <c r="C28" s="156" t="s">
        <v>50</v>
      </c>
      <c r="D28" s="55"/>
      <c r="E28" s="55"/>
      <c r="F28" s="55"/>
      <c r="G28" s="55"/>
      <c r="H28" s="54"/>
      <c r="I28" s="56"/>
      <c r="J28" s="56"/>
      <c r="K28" s="56"/>
      <c r="L28" s="56"/>
      <c r="M28" s="56"/>
      <c r="N28" s="48"/>
      <c r="O28" s="56"/>
      <c r="P28" s="56"/>
      <c r="Q28" s="56">
        <v>120.5</v>
      </c>
      <c r="R28" s="56"/>
      <c r="S28" s="59"/>
      <c r="T28" s="50">
        <f>120.5</f>
        <v>120.5</v>
      </c>
    </row>
    <row r="29" spans="1:21" ht="17.25">
      <c r="A29" s="61">
        <f t="shared" si="0"/>
        <v>28</v>
      </c>
      <c r="B29" s="89">
        <v>40</v>
      </c>
      <c r="C29" s="159" t="s">
        <v>51</v>
      </c>
      <c r="D29" s="47"/>
      <c r="E29" s="47"/>
      <c r="F29" s="47"/>
      <c r="G29" s="47"/>
      <c r="H29" s="47"/>
      <c r="I29" s="47"/>
      <c r="J29" s="47"/>
      <c r="K29" s="47"/>
      <c r="L29" s="47">
        <v>64.5</v>
      </c>
      <c r="M29" s="47">
        <v>54</v>
      </c>
      <c r="N29" s="48"/>
      <c r="O29" s="47"/>
      <c r="P29" s="47"/>
      <c r="Q29" s="47"/>
      <c r="R29" s="47"/>
      <c r="S29" s="52"/>
      <c r="T29" s="50">
        <f>64.5+54</f>
        <v>118.5</v>
      </c>
    </row>
    <row r="30" spans="1:21">
      <c r="A30" s="61">
        <f t="shared" si="0"/>
        <v>29</v>
      </c>
      <c r="B30" s="143">
        <v>230</v>
      </c>
      <c r="C30" s="157" t="s">
        <v>52</v>
      </c>
      <c r="D30" s="54"/>
      <c r="E30" s="55"/>
      <c r="F30" s="54"/>
      <c r="G30" s="55"/>
      <c r="H30" s="54"/>
      <c r="I30" s="56"/>
      <c r="J30" s="56">
        <v>27</v>
      </c>
      <c r="K30" s="57"/>
      <c r="L30" s="57"/>
      <c r="M30" s="57"/>
      <c r="N30" s="48"/>
      <c r="O30" s="57"/>
      <c r="P30" s="57"/>
      <c r="Q30" s="57"/>
      <c r="R30" s="54"/>
      <c r="S30" s="60">
        <v>88.5</v>
      </c>
      <c r="T30" s="50">
        <f>27+88.5</f>
        <v>115.5</v>
      </c>
      <c r="U30" s="144"/>
    </row>
    <row r="31" spans="1:21">
      <c r="A31" s="61">
        <f t="shared" si="0"/>
        <v>30</v>
      </c>
      <c r="B31" s="145">
        <v>46</v>
      </c>
      <c r="C31" s="156" t="s">
        <v>53</v>
      </c>
      <c r="D31" s="55"/>
      <c r="E31" s="55"/>
      <c r="F31" s="54"/>
      <c r="G31" s="56"/>
      <c r="H31" s="55"/>
      <c r="I31" s="55"/>
      <c r="J31" s="55"/>
      <c r="K31" s="55"/>
      <c r="L31" s="55">
        <f>15</f>
        <v>15</v>
      </c>
      <c r="M31" s="55">
        <f>12.5</f>
        <v>12.5</v>
      </c>
      <c r="N31" s="48"/>
      <c r="O31" s="55"/>
      <c r="P31" s="55"/>
      <c r="Q31" s="56">
        <v>100</v>
      </c>
      <c r="R31" s="55"/>
      <c r="S31" s="75"/>
      <c r="T31" s="50">
        <f>100+15</f>
        <v>115</v>
      </c>
    </row>
    <row r="32" spans="1:21">
      <c r="A32" s="61">
        <f t="shared" si="0"/>
        <v>31</v>
      </c>
      <c r="B32" s="143">
        <v>66</v>
      </c>
      <c r="C32" s="156" t="s">
        <v>54</v>
      </c>
      <c r="D32" s="55"/>
      <c r="E32" s="55">
        <v>53</v>
      </c>
      <c r="F32" s="55"/>
      <c r="G32" s="54">
        <v>7</v>
      </c>
      <c r="H32" s="55"/>
      <c r="I32" s="55">
        <v>59</v>
      </c>
      <c r="J32" s="55"/>
      <c r="K32" s="55"/>
      <c r="L32" s="55"/>
      <c r="M32" s="55"/>
      <c r="N32" s="48"/>
      <c r="O32" s="55"/>
      <c r="P32" s="55"/>
      <c r="Q32" s="55"/>
      <c r="R32" s="55"/>
      <c r="S32" s="75"/>
      <c r="T32" s="50">
        <f>53+59</f>
        <v>112</v>
      </c>
    </row>
    <row r="33" spans="1:20">
      <c r="A33" s="61">
        <f t="shared" si="0"/>
        <v>32</v>
      </c>
      <c r="B33" s="148">
        <v>31</v>
      </c>
      <c r="C33" s="156" t="s">
        <v>55</v>
      </c>
      <c r="D33" s="55"/>
      <c r="E33" s="55">
        <f>17</f>
        <v>17</v>
      </c>
      <c r="F33" s="55"/>
      <c r="G33" s="55"/>
      <c r="H33" s="55">
        <v>20</v>
      </c>
      <c r="I33" s="56"/>
      <c r="J33" s="56"/>
      <c r="K33" s="54"/>
      <c r="L33" s="54">
        <v>81</v>
      </c>
      <c r="M33" s="54">
        <f>18</f>
        <v>18</v>
      </c>
      <c r="N33" s="48"/>
      <c r="O33" s="54"/>
      <c r="P33" s="56"/>
      <c r="Q33" s="54"/>
      <c r="R33" s="54"/>
      <c r="S33" s="58"/>
      <c r="T33" s="50">
        <f>81+20</f>
        <v>101</v>
      </c>
    </row>
    <row r="34" spans="1:20" ht="17.25">
      <c r="A34" s="61">
        <f t="shared" si="0"/>
        <v>33</v>
      </c>
      <c r="B34" s="89">
        <v>902</v>
      </c>
      <c r="C34" s="154" t="s">
        <v>56</v>
      </c>
      <c r="D34" s="47"/>
      <c r="E34" s="47"/>
      <c r="F34" s="47"/>
      <c r="G34" s="47"/>
      <c r="H34" s="47"/>
      <c r="I34" s="47"/>
      <c r="J34" s="47"/>
      <c r="K34" s="47"/>
      <c r="L34" s="47"/>
      <c r="M34" s="47">
        <f>30.5+40</f>
        <v>70.5</v>
      </c>
      <c r="N34" s="48"/>
      <c r="O34" s="47">
        <f>27</f>
        <v>27</v>
      </c>
      <c r="P34" s="47"/>
      <c r="Q34" s="47"/>
      <c r="R34" s="47"/>
      <c r="S34" s="52"/>
      <c r="T34" s="50">
        <f>70.5+27</f>
        <v>97.5</v>
      </c>
    </row>
    <row r="35" spans="1:20">
      <c r="A35" s="61">
        <f t="shared" si="0"/>
        <v>34</v>
      </c>
      <c r="B35" s="148">
        <v>126</v>
      </c>
      <c r="C35" s="156" t="s">
        <v>57</v>
      </c>
      <c r="D35" s="55"/>
      <c r="E35" s="55">
        <v>59</v>
      </c>
      <c r="F35" s="55"/>
      <c r="G35" s="55">
        <v>9</v>
      </c>
      <c r="H35" s="54">
        <v>36</v>
      </c>
      <c r="I35" s="54">
        <v>33</v>
      </c>
      <c r="J35" s="54"/>
      <c r="K35" s="57"/>
      <c r="L35" s="57"/>
      <c r="M35" s="57"/>
      <c r="N35" s="48"/>
      <c r="O35" s="57"/>
      <c r="P35" s="57"/>
      <c r="Q35" s="57"/>
      <c r="R35" s="57"/>
      <c r="S35" s="60"/>
      <c r="T35" s="50">
        <f>59+36</f>
        <v>95</v>
      </c>
    </row>
    <row r="36" spans="1:20">
      <c r="A36" s="61">
        <f t="shared" si="0"/>
        <v>35</v>
      </c>
      <c r="B36" s="143">
        <v>77</v>
      </c>
      <c r="C36" s="156" t="s">
        <v>58</v>
      </c>
      <c r="D36" s="54"/>
      <c r="E36" s="55">
        <f>42</f>
        <v>42</v>
      </c>
      <c r="F36" s="54"/>
      <c r="G36" s="55"/>
      <c r="H36" s="54"/>
      <c r="I36" s="56"/>
      <c r="J36" s="57"/>
      <c r="K36" s="56"/>
      <c r="L36" s="56"/>
      <c r="M36" s="56"/>
      <c r="N36" s="48"/>
      <c r="O36" s="56">
        <f>53</f>
        <v>53</v>
      </c>
      <c r="P36" s="56"/>
      <c r="Q36" s="56"/>
      <c r="R36" s="55"/>
      <c r="S36" s="59"/>
      <c r="T36" s="50">
        <f>53+42</f>
        <v>95</v>
      </c>
    </row>
    <row r="37" spans="1:20">
      <c r="A37" s="61">
        <f t="shared" si="0"/>
        <v>36</v>
      </c>
      <c r="B37" s="143">
        <v>901</v>
      </c>
      <c r="C37" s="157" t="s">
        <v>59</v>
      </c>
      <c r="D37" s="54"/>
      <c r="E37" s="55"/>
      <c r="F37" s="55"/>
      <c r="G37" s="56"/>
      <c r="H37" s="56"/>
      <c r="I37" s="55"/>
      <c r="J37" s="55"/>
      <c r="K37" s="56"/>
      <c r="L37" s="56"/>
      <c r="M37" s="57"/>
      <c r="N37" s="48">
        <v>26.5</v>
      </c>
      <c r="O37" s="56"/>
      <c r="P37" s="57"/>
      <c r="Q37" s="57">
        <v>67</v>
      </c>
      <c r="R37" s="55"/>
      <c r="S37" s="60"/>
      <c r="T37" s="50">
        <f>67+26.5</f>
        <v>93.5</v>
      </c>
    </row>
    <row r="38" spans="1:20">
      <c r="A38" s="61">
        <f t="shared" si="0"/>
        <v>37</v>
      </c>
      <c r="B38" s="143">
        <v>676</v>
      </c>
      <c r="C38" s="156" t="s">
        <v>60</v>
      </c>
      <c r="D38" s="55"/>
      <c r="E38" s="55"/>
      <c r="F38" s="55"/>
      <c r="G38" s="55"/>
      <c r="H38" s="54"/>
      <c r="I38" s="56"/>
      <c r="J38" s="56"/>
      <c r="K38" s="55"/>
      <c r="L38" s="56">
        <v>15</v>
      </c>
      <c r="M38" s="55"/>
      <c r="N38" s="48">
        <v>4</v>
      </c>
      <c r="O38" s="55"/>
      <c r="P38" s="55"/>
      <c r="Q38" s="55"/>
      <c r="R38" s="56">
        <v>77.5</v>
      </c>
      <c r="S38" s="75"/>
      <c r="T38" s="50">
        <f>77.5+15</f>
        <v>92.5</v>
      </c>
    </row>
    <row r="39" spans="1:20">
      <c r="A39" s="61">
        <f t="shared" si="0"/>
        <v>38</v>
      </c>
      <c r="B39" s="143">
        <v>213</v>
      </c>
      <c r="C39" s="158" t="s">
        <v>61</v>
      </c>
      <c r="D39" s="54"/>
      <c r="E39" s="55"/>
      <c r="F39" s="54"/>
      <c r="G39" s="55"/>
      <c r="H39" s="54"/>
      <c r="I39" s="56"/>
      <c r="J39" s="56"/>
      <c r="K39" s="57"/>
      <c r="L39" s="57"/>
      <c r="M39" s="57"/>
      <c r="N39" s="48"/>
      <c r="O39" s="57"/>
      <c r="P39" s="57"/>
      <c r="Q39" s="57">
        <v>22</v>
      </c>
      <c r="R39" s="54">
        <v>70</v>
      </c>
      <c r="S39" s="60"/>
      <c r="T39" s="50">
        <f>22+70</f>
        <v>92</v>
      </c>
    </row>
    <row r="40" spans="1:20">
      <c r="A40" s="61">
        <f t="shared" si="0"/>
        <v>39</v>
      </c>
      <c r="B40" s="145">
        <v>32</v>
      </c>
      <c r="C40" s="158" t="s">
        <v>62</v>
      </c>
      <c r="D40" s="54"/>
      <c r="E40" s="55">
        <v>17</v>
      </c>
      <c r="F40" s="54"/>
      <c r="G40" s="56"/>
      <c r="H40" s="55">
        <v>75</v>
      </c>
      <c r="I40" s="55"/>
      <c r="J40" s="55"/>
      <c r="K40" s="56"/>
      <c r="L40" s="57"/>
      <c r="M40" s="57"/>
      <c r="N40" s="48"/>
      <c r="O40" s="55"/>
      <c r="P40" s="57"/>
      <c r="Q40" s="57"/>
      <c r="R40" s="55"/>
      <c r="S40" s="60"/>
      <c r="T40" s="50">
        <f>75+17</f>
        <v>92</v>
      </c>
    </row>
    <row r="41" spans="1:20">
      <c r="A41" s="61">
        <f t="shared" si="0"/>
        <v>40</v>
      </c>
      <c r="B41" s="143">
        <v>93</v>
      </c>
      <c r="C41" s="160" t="s">
        <v>63</v>
      </c>
      <c r="D41" s="55"/>
      <c r="E41" s="55"/>
      <c r="F41" s="55"/>
      <c r="G41" s="55"/>
      <c r="H41" s="55"/>
      <c r="I41" s="56"/>
      <c r="J41" s="56"/>
      <c r="K41" s="54"/>
      <c r="L41" s="54">
        <v>53</v>
      </c>
      <c r="M41" s="54">
        <v>37</v>
      </c>
      <c r="N41" s="48"/>
      <c r="O41" s="54"/>
      <c r="P41" s="57"/>
      <c r="Q41" s="54"/>
      <c r="R41" s="54"/>
      <c r="S41" s="58"/>
      <c r="T41" s="50">
        <f>53+37</f>
        <v>90</v>
      </c>
    </row>
    <row r="42" spans="1:20">
      <c r="A42" s="61">
        <f t="shared" si="0"/>
        <v>41</v>
      </c>
      <c r="B42" s="143">
        <v>48</v>
      </c>
      <c r="C42" s="156" t="s">
        <v>64</v>
      </c>
      <c r="D42" s="55"/>
      <c r="E42" s="55"/>
      <c r="F42" s="55"/>
      <c r="G42" s="55"/>
      <c r="H42" s="54"/>
      <c r="I42" s="56"/>
      <c r="J42" s="56"/>
      <c r="K42" s="57"/>
      <c r="L42" s="57"/>
      <c r="M42" s="57"/>
      <c r="N42" s="48"/>
      <c r="O42" s="57"/>
      <c r="P42" s="57"/>
      <c r="Q42" s="56">
        <v>89</v>
      </c>
      <c r="R42" s="57"/>
      <c r="S42" s="60"/>
      <c r="T42" s="50">
        <f>89</f>
        <v>89</v>
      </c>
    </row>
    <row r="43" spans="1:20" ht="17.25">
      <c r="A43" s="61">
        <f t="shared" si="0"/>
        <v>42</v>
      </c>
      <c r="B43" s="148">
        <v>340</v>
      </c>
      <c r="C43" s="154" t="s">
        <v>65</v>
      </c>
      <c r="D43" s="47">
        <v>26</v>
      </c>
      <c r="E43" s="47">
        <v>53</v>
      </c>
      <c r="F43" s="47"/>
      <c r="G43" s="47"/>
      <c r="H43" s="47"/>
      <c r="I43" s="47">
        <v>34</v>
      </c>
      <c r="J43" s="47"/>
      <c r="K43" s="47"/>
      <c r="L43" s="47"/>
      <c r="M43" s="47"/>
      <c r="N43" s="48"/>
      <c r="O43" s="47"/>
      <c r="P43" s="47"/>
      <c r="Q43" s="47"/>
      <c r="R43" s="47"/>
      <c r="S43" s="52"/>
      <c r="T43" s="50">
        <f>53+34</f>
        <v>87</v>
      </c>
    </row>
    <row r="44" spans="1:20">
      <c r="A44" s="61">
        <f t="shared" si="0"/>
        <v>43</v>
      </c>
      <c r="B44" s="143">
        <v>64</v>
      </c>
      <c r="C44" s="158" t="s">
        <v>66</v>
      </c>
      <c r="D44" s="55"/>
      <c r="E44" s="55"/>
      <c r="F44" s="55"/>
      <c r="G44" s="55"/>
      <c r="H44" s="54"/>
      <c r="I44" s="56"/>
      <c r="J44" s="57"/>
      <c r="K44" s="56"/>
      <c r="L44" s="56">
        <v>12</v>
      </c>
      <c r="M44" s="56"/>
      <c r="N44" s="48">
        <v>73.5</v>
      </c>
      <c r="O44" s="56"/>
      <c r="P44" s="56"/>
      <c r="Q44" s="56"/>
      <c r="R44" s="55"/>
      <c r="S44" s="59"/>
      <c r="T44" s="50">
        <f>73.5+12</f>
        <v>85.5</v>
      </c>
    </row>
    <row r="45" spans="1:20">
      <c r="A45" s="61">
        <f t="shared" si="0"/>
        <v>44</v>
      </c>
      <c r="B45" s="143">
        <v>351</v>
      </c>
      <c r="C45" s="157" t="s">
        <v>67</v>
      </c>
      <c r="D45" s="54"/>
      <c r="E45" s="55">
        <v>13</v>
      </c>
      <c r="F45" s="55"/>
      <c r="G45" s="56"/>
      <c r="H45" s="56">
        <v>35</v>
      </c>
      <c r="I45" s="55">
        <v>42</v>
      </c>
      <c r="J45" s="55"/>
      <c r="K45" s="56"/>
      <c r="L45" s="56"/>
      <c r="M45" s="57"/>
      <c r="N45" s="48"/>
      <c r="O45" s="56"/>
      <c r="P45" s="57"/>
      <c r="Q45" s="57"/>
      <c r="R45" s="55"/>
      <c r="S45" s="60"/>
      <c r="T45" s="50">
        <f>42+35</f>
        <v>77</v>
      </c>
    </row>
    <row r="46" spans="1:20" ht="17.25">
      <c r="A46" s="61">
        <f t="shared" si="0"/>
        <v>45</v>
      </c>
      <c r="B46" s="89">
        <v>234</v>
      </c>
      <c r="C46" s="154" t="s">
        <v>68</v>
      </c>
      <c r="D46" s="47"/>
      <c r="E46" s="47"/>
      <c r="F46" s="47"/>
      <c r="G46" s="47"/>
      <c r="H46" s="47"/>
      <c r="I46" s="47"/>
      <c r="J46" s="47"/>
      <c r="K46" s="47">
        <v>38</v>
      </c>
      <c r="L46" s="47"/>
      <c r="M46" s="47"/>
      <c r="N46" s="48"/>
      <c r="O46" s="47">
        <v>38</v>
      </c>
      <c r="P46" s="47"/>
      <c r="Q46" s="47"/>
      <c r="R46" s="47"/>
      <c r="S46" s="52"/>
      <c r="T46" s="50">
        <f>38+38</f>
        <v>76</v>
      </c>
    </row>
    <row r="47" spans="1:20">
      <c r="A47" s="61">
        <f t="shared" si="0"/>
        <v>46</v>
      </c>
      <c r="B47" s="143">
        <v>121</v>
      </c>
      <c r="C47" s="156" t="s">
        <v>69</v>
      </c>
      <c r="D47" s="54">
        <v>49</v>
      </c>
      <c r="E47" s="55"/>
      <c r="F47" s="54">
        <f>17</f>
        <v>17</v>
      </c>
      <c r="G47" s="56">
        <f>27</f>
        <v>27</v>
      </c>
      <c r="H47" s="55"/>
      <c r="I47" s="55"/>
      <c r="J47" s="55"/>
      <c r="K47" s="55"/>
      <c r="L47" s="55"/>
      <c r="M47" s="55"/>
      <c r="N47" s="48"/>
      <c r="O47" s="55"/>
      <c r="P47" s="55"/>
      <c r="Q47" s="55"/>
      <c r="R47" s="55"/>
      <c r="S47" s="75"/>
      <c r="T47" s="50">
        <f>49+27</f>
        <v>76</v>
      </c>
    </row>
    <row r="48" spans="1:20">
      <c r="A48" s="61">
        <f t="shared" si="0"/>
        <v>47</v>
      </c>
      <c r="B48" s="148">
        <v>92</v>
      </c>
      <c r="C48" s="158" t="s">
        <v>70</v>
      </c>
      <c r="D48" s="55"/>
      <c r="E48" s="54">
        <v>24</v>
      </c>
      <c r="F48" s="55"/>
      <c r="G48" s="55"/>
      <c r="H48" s="54">
        <v>40</v>
      </c>
      <c r="I48" s="54">
        <v>35</v>
      </c>
      <c r="J48" s="54"/>
      <c r="K48" s="57"/>
      <c r="L48" s="57"/>
      <c r="M48" s="57"/>
      <c r="N48" s="48"/>
      <c r="O48" s="57"/>
      <c r="P48" s="57"/>
      <c r="Q48" s="57"/>
      <c r="R48" s="57"/>
      <c r="S48" s="60"/>
      <c r="T48" s="50">
        <f>40+35</f>
        <v>75</v>
      </c>
    </row>
    <row r="49" spans="1:20" ht="17.25">
      <c r="A49" s="61">
        <f t="shared" si="0"/>
        <v>48</v>
      </c>
      <c r="B49" s="89">
        <v>181</v>
      </c>
      <c r="C49" s="154" t="s">
        <v>71</v>
      </c>
      <c r="D49" s="47"/>
      <c r="E49" s="47">
        <v>17</v>
      </c>
      <c r="F49" s="47"/>
      <c r="G49" s="47"/>
      <c r="H49" s="47">
        <v>18</v>
      </c>
      <c r="I49" s="47">
        <v>10</v>
      </c>
      <c r="J49" s="47"/>
      <c r="K49" s="47"/>
      <c r="L49" s="47"/>
      <c r="M49" s="47"/>
      <c r="N49" s="48"/>
      <c r="O49" s="47"/>
      <c r="P49" s="47">
        <v>54</v>
      </c>
      <c r="Q49" s="47"/>
      <c r="R49" s="47"/>
      <c r="S49" s="52"/>
      <c r="T49" s="50">
        <f>18+54</f>
        <v>72</v>
      </c>
    </row>
    <row r="50" spans="1:20">
      <c r="A50" s="61">
        <f t="shared" si="0"/>
        <v>49</v>
      </c>
      <c r="B50" s="145">
        <v>81</v>
      </c>
      <c r="C50" s="158" t="s">
        <v>72</v>
      </c>
      <c r="D50" s="54"/>
      <c r="E50" s="55"/>
      <c r="F50" s="54"/>
      <c r="G50" s="54"/>
      <c r="H50" s="55"/>
      <c r="I50" s="55"/>
      <c r="J50" s="55"/>
      <c r="K50" s="55"/>
      <c r="L50" s="55"/>
      <c r="M50" s="55"/>
      <c r="N50" s="48"/>
      <c r="O50" s="55"/>
      <c r="P50" s="55"/>
      <c r="Q50" s="55"/>
      <c r="R50" s="55"/>
      <c r="S50" s="58">
        <v>70</v>
      </c>
      <c r="T50" s="50">
        <f>70</f>
        <v>70</v>
      </c>
    </row>
    <row r="51" spans="1:20">
      <c r="A51" s="61">
        <f t="shared" si="0"/>
        <v>50</v>
      </c>
      <c r="B51" s="143">
        <v>914</v>
      </c>
      <c r="C51" s="157" t="s">
        <v>73</v>
      </c>
      <c r="D51" s="54"/>
      <c r="E51" s="55"/>
      <c r="F51" s="55"/>
      <c r="G51" s="56"/>
      <c r="H51" s="56"/>
      <c r="I51" s="55"/>
      <c r="J51" s="55"/>
      <c r="K51" s="56"/>
      <c r="L51" s="56"/>
      <c r="M51" s="57"/>
      <c r="N51" s="48">
        <v>8.5</v>
      </c>
      <c r="O51" s="56"/>
      <c r="P51" s="57"/>
      <c r="Q51" s="57">
        <v>58.5</v>
      </c>
      <c r="R51" s="55"/>
      <c r="S51" s="60"/>
      <c r="T51" s="50">
        <f>58.5+8.5</f>
        <v>67</v>
      </c>
    </row>
    <row r="52" spans="1:20">
      <c r="A52" s="61">
        <f t="shared" si="0"/>
        <v>51</v>
      </c>
      <c r="B52" s="143">
        <v>36</v>
      </c>
      <c r="C52" s="156" t="s">
        <v>74</v>
      </c>
      <c r="D52" s="55"/>
      <c r="E52" s="55"/>
      <c r="F52" s="55"/>
      <c r="G52" s="55"/>
      <c r="H52" s="54"/>
      <c r="I52" s="54"/>
      <c r="J52" s="54"/>
      <c r="K52" s="57"/>
      <c r="L52" s="56">
        <v>18.5</v>
      </c>
      <c r="M52" s="57"/>
      <c r="N52" s="48">
        <v>46</v>
      </c>
      <c r="O52" s="57"/>
      <c r="P52" s="57"/>
      <c r="Q52" s="57"/>
      <c r="R52" s="57"/>
      <c r="S52" s="60"/>
      <c r="T52" s="50">
        <f>46+18.5</f>
        <v>64.5</v>
      </c>
    </row>
    <row r="53" spans="1:20">
      <c r="A53" s="61">
        <f t="shared" si="0"/>
        <v>52</v>
      </c>
      <c r="B53" s="143">
        <v>247</v>
      </c>
      <c r="C53" s="157" t="s">
        <v>75</v>
      </c>
      <c r="D53" s="54"/>
      <c r="E53" s="55">
        <v>15</v>
      </c>
      <c r="F53" s="55"/>
      <c r="G53" s="56"/>
      <c r="H53" s="56">
        <v>45</v>
      </c>
      <c r="I53" s="55">
        <v>19</v>
      </c>
      <c r="J53" s="55"/>
      <c r="K53" s="56"/>
      <c r="L53" s="56"/>
      <c r="M53" s="57"/>
      <c r="N53" s="48"/>
      <c r="O53" s="56"/>
      <c r="P53" s="57"/>
      <c r="Q53" s="57"/>
      <c r="R53" s="55"/>
      <c r="S53" s="60"/>
      <c r="T53" s="50">
        <f>45+19</f>
        <v>64</v>
      </c>
    </row>
    <row r="54" spans="1:20">
      <c r="A54" s="61">
        <f t="shared" si="0"/>
        <v>53</v>
      </c>
      <c r="B54" s="143">
        <v>393</v>
      </c>
      <c r="C54" s="156" t="s">
        <v>76</v>
      </c>
      <c r="D54" s="55"/>
      <c r="E54" s="55"/>
      <c r="F54" s="55"/>
      <c r="G54" s="55"/>
      <c r="H54" s="55"/>
      <c r="I54" s="56"/>
      <c r="J54" s="57"/>
      <c r="K54" s="56"/>
      <c r="L54" s="56"/>
      <c r="M54" s="56"/>
      <c r="N54" s="48"/>
      <c r="O54" s="56"/>
      <c r="P54" s="56"/>
      <c r="Q54" s="56"/>
      <c r="R54" s="56">
        <v>60.5</v>
      </c>
      <c r="S54" s="59"/>
      <c r="T54" s="50">
        <f>60.5</f>
        <v>60.5</v>
      </c>
    </row>
    <row r="55" spans="1:20">
      <c r="A55" s="61">
        <f t="shared" si="0"/>
        <v>54</v>
      </c>
      <c r="B55" s="143">
        <v>803</v>
      </c>
      <c r="C55" s="157" t="s">
        <v>77</v>
      </c>
      <c r="D55" s="55"/>
      <c r="E55" s="55"/>
      <c r="F55" s="55"/>
      <c r="G55" s="54"/>
      <c r="H55" s="55"/>
      <c r="I55" s="55"/>
      <c r="J55" s="55">
        <v>46</v>
      </c>
      <c r="K55" s="55">
        <v>12</v>
      </c>
      <c r="L55" s="55"/>
      <c r="M55" s="55"/>
      <c r="N55" s="48"/>
      <c r="O55" s="56"/>
      <c r="P55" s="55"/>
      <c r="Q55" s="55"/>
      <c r="R55" s="55"/>
      <c r="S55" s="58"/>
      <c r="T55" s="50">
        <f>46+12</f>
        <v>58</v>
      </c>
    </row>
    <row r="56" spans="1:20">
      <c r="A56" s="61">
        <f t="shared" si="0"/>
        <v>55</v>
      </c>
      <c r="B56" s="143">
        <v>314</v>
      </c>
      <c r="C56" s="157" t="s">
        <v>78</v>
      </c>
      <c r="D56" s="55">
        <v>25</v>
      </c>
      <c r="E56" s="55"/>
      <c r="F56" s="55">
        <v>28</v>
      </c>
      <c r="G56" s="55">
        <v>6</v>
      </c>
      <c r="H56" s="54"/>
      <c r="I56" s="54"/>
      <c r="J56" s="54"/>
      <c r="K56" s="57"/>
      <c r="L56" s="57"/>
      <c r="M56" s="57"/>
      <c r="N56" s="48"/>
      <c r="O56" s="57"/>
      <c r="P56" s="57"/>
      <c r="Q56" s="57"/>
      <c r="R56" s="57"/>
      <c r="S56" s="60"/>
      <c r="T56" s="50">
        <f>25+28</f>
        <v>53</v>
      </c>
    </row>
    <row r="57" spans="1:20">
      <c r="A57" s="61">
        <f t="shared" si="0"/>
        <v>56</v>
      </c>
      <c r="B57" s="143">
        <v>47</v>
      </c>
      <c r="C57" s="156" t="s">
        <v>79</v>
      </c>
      <c r="D57" s="55"/>
      <c r="E57" s="55">
        <v>17</v>
      </c>
      <c r="F57" s="55"/>
      <c r="G57" s="55"/>
      <c r="H57" s="54">
        <v>30</v>
      </c>
      <c r="I57" s="56">
        <v>23</v>
      </c>
      <c r="J57" s="56"/>
      <c r="K57" s="57"/>
      <c r="L57" s="57"/>
      <c r="M57" s="57"/>
      <c r="N57" s="48"/>
      <c r="O57" s="57"/>
      <c r="P57" s="57"/>
      <c r="Q57" s="57"/>
      <c r="R57" s="57"/>
      <c r="S57" s="60"/>
      <c r="T57" s="50">
        <f>30+23</f>
        <v>53</v>
      </c>
    </row>
    <row r="58" spans="1:20" ht="17.25">
      <c r="A58" s="61">
        <f t="shared" si="0"/>
        <v>57</v>
      </c>
      <c r="B58" s="147">
        <v>826</v>
      </c>
      <c r="C58" s="154" t="s">
        <v>80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8"/>
      <c r="O58" s="47"/>
      <c r="P58" s="47"/>
      <c r="Q58" s="47"/>
      <c r="R58" s="47"/>
      <c r="S58" s="52">
        <v>50.5</v>
      </c>
      <c r="T58" s="50">
        <f>50.5</f>
        <v>50.5</v>
      </c>
    </row>
    <row r="59" spans="1:20">
      <c r="A59" s="61">
        <f t="shared" si="0"/>
        <v>58</v>
      </c>
      <c r="B59" s="143">
        <v>24</v>
      </c>
      <c r="C59" s="158" t="s">
        <v>81</v>
      </c>
      <c r="D59" s="55"/>
      <c r="E59" s="55"/>
      <c r="F59" s="54">
        <v>33</v>
      </c>
      <c r="G59" s="56">
        <v>16</v>
      </c>
      <c r="H59" s="55"/>
      <c r="I59" s="55"/>
      <c r="J59" s="55"/>
      <c r="K59" s="55"/>
      <c r="L59" s="55"/>
      <c r="M59" s="55"/>
      <c r="N59" s="48"/>
      <c r="O59" s="55"/>
      <c r="P59" s="55"/>
      <c r="Q59" s="55"/>
      <c r="R59" s="55"/>
      <c r="S59" s="75"/>
      <c r="T59" s="50">
        <f>33+16</f>
        <v>49</v>
      </c>
    </row>
    <row r="60" spans="1:20">
      <c r="A60" s="61">
        <f t="shared" si="0"/>
        <v>59</v>
      </c>
      <c r="B60" s="148">
        <v>339</v>
      </c>
      <c r="C60" s="158" t="s">
        <v>82</v>
      </c>
      <c r="D60" s="55"/>
      <c r="E60" s="54">
        <v>5</v>
      </c>
      <c r="F60" s="55"/>
      <c r="G60" s="55"/>
      <c r="H60" s="54">
        <v>6</v>
      </c>
      <c r="I60" s="54">
        <v>3</v>
      </c>
      <c r="J60" s="54"/>
      <c r="K60" s="54"/>
      <c r="L60" s="56"/>
      <c r="M60" s="54"/>
      <c r="N60" s="48">
        <v>19</v>
      </c>
      <c r="O60" s="54"/>
      <c r="P60" s="57"/>
      <c r="Q60" s="56">
        <v>28.5</v>
      </c>
      <c r="R60" s="54"/>
      <c r="S60" s="58"/>
      <c r="T60" s="50">
        <f>19+28.5</f>
        <v>47.5</v>
      </c>
    </row>
    <row r="61" spans="1:20" ht="17.25">
      <c r="A61" s="61">
        <f t="shared" si="0"/>
        <v>60</v>
      </c>
      <c r="B61" s="89">
        <v>53</v>
      </c>
      <c r="C61" s="154" t="s">
        <v>83</v>
      </c>
      <c r="D61" s="47"/>
      <c r="E61" s="47">
        <v>14</v>
      </c>
      <c r="F61" s="47"/>
      <c r="G61" s="47"/>
      <c r="H61" s="47">
        <v>21</v>
      </c>
      <c r="I61" s="47">
        <v>8</v>
      </c>
      <c r="J61" s="47"/>
      <c r="K61" s="47"/>
      <c r="L61" s="47"/>
      <c r="M61" s="47"/>
      <c r="N61" s="48"/>
      <c r="O61" s="47"/>
      <c r="P61" s="47">
        <v>24</v>
      </c>
      <c r="Q61" s="47"/>
      <c r="R61" s="47"/>
      <c r="S61" s="52"/>
      <c r="T61" s="50">
        <f>24+21</f>
        <v>45</v>
      </c>
    </row>
    <row r="62" spans="1:20">
      <c r="A62" s="61">
        <f t="shared" si="0"/>
        <v>61</v>
      </c>
      <c r="B62" s="143">
        <v>253</v>
      </c>
      <c r="C62" s="156" t="s">
        <v>84</v>
      </c>
      <c r="D62" s="55"/>
      <c r="E62" s="55">
        <v>18</v>
      </c>
      <c r="F62" s="55"/>
      <c r="G62" s="55"/>
      <c r="H62" s="56">
        <v>24</v>
      </c>
      <c r="I62" s="56">
        <v>13</v>
      </c>
      <c r="J62" s="56"/>
      <c r="K62" s="56"/>
      <c r="L62" s="56"/>
      <c r="M62" s="56"/>
      <c r="N62" s="48"/>
      <c r="O62" s="56"/>
      <c r="P62" s="56"/>
      <c r="Q62" s="56"/>
      <c r="R62" s="56"/>
      <c r="S62" s="59"/>
      <c r="T62" s="50">
        <f>24+18</f>
        <v>42</v>
      </c>
    </row>
    <row r="63" spans="1:20">
      <c r="A63" s="61">
        <f t="shared" si="0"/>
        <v>62</v>
      </c>
      <c r="B63" s="143">
        <v>49</v>
      </c>
      <c r="C63" s="156" t="s">
        <v>85</v>
      </c>
      <c r="D63" s="55"/>
      <c r="E63" s="55"/>
      <c r="F63" s="55"/>
      <c r="G63" s="55"/>
      <c r="H63" s="56">
        <v>10</v>
      </c>
      <c r="I63" s="55"/>
      <c r="J63" s="55"/>
      <c r="K63" s="55"/>
      <c r="L63" s="55"/>
      <c r="M63" s="55"/>
      <c r="N63" s="48"/>
      <c r="O63" s="55"/>
      <c r="P63" s="55">
        <v>32</v>
      </c>
      <c r="Q63" s="55"/>
      <c r="R63" s="55"/>
      <c r="S63" s="75"/>
      <c r="T63" s="50">
        <f>32+10</f>
        <v>42</v>
      </c>
    </row>
    <row r="64" spans="1:20">
      <c r="A64" s="61">
        <f t="shared" si="0"/>
        <v>63</v>
      </c>
      <c r="B64" s="143">
        <v>965</v>
      </c>
      <c r="C64" s="157" t="s">
        <v>86</v>
      </c>
      <c r="D64" s="54"/>
      <c r="E64" s="55"/>
      <c r="F64" s="55"/>
      <c r="G64" s="56"/>
      <c r="H64" s="56"/>
      <c r="I64" s="55"/>
      <c r="J64" s="55"/>
      <c r="K64" s="56"/>
      <c r="L64" s="56">
        <v>28</v>
      </c>
      <c r="M64" s="57"/>
      <c r="N64" s="48">
        <v>13</v>
      </c>
      <c r="O64" s="56"/>
      <c r="P64" s="57"/>
      <c r="Q64" s="57"/>
      <c r="R64" s="55"/>
      <c r="S64" s="60"/>
      <c r="T64" s="50">
        <f>13+28</f>
        <v>41</v>
      </c>
    </row>
    <row r="65" spans="1:20">
      <c r="A65" s="61">
        <f t="shared" si="0"/>
        <v>64</v>
      </c>
      <c r="B65" s="143">
        <v>99</v>
      </c>
      <c r="C65" s="157" t="s">
        <v>87</v>
      </c>
      <c r="D65" s="54"/>
      <c r="E65" s="55"/>
      <c r="F65" s="55"/>
      <c r="G65" s="56"/>
      <c r="H65" s="56"/>
      <c r="I65" s="55"/>
      <c r="J65" s="55"/>
      <c r="K65" s="56"/>
      <c r="L65" s="56">
        <v>35.5</v>
      </c>
      <c r="M65" s="57">
        <f>5.5</f>
        <v>5.5</v>
      </c>
      <c r="N65" s="48"/>
      <c r="O65" s="56"/>
      <c r="P65" s="57"/>
      <c r="Q65" s="57"/>
      <c r="R65" s="55"/>
      <c r="S65" s="60"/>
      <c r="T65" s="50">
        <f>35.5+5.5</f>
        <v>41</v>
      </c>
    </row>
    <row r="66" spans="1:20" ht="17.25">
      <c r="A66" s="61">
        <f t="shared" si="0"/>
        <v>65</v>
      </c>
      <c r="B66" s="89">
        <v>52</v>
      </c>
      <c r="C66" s="154" t="s">
        <v>88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8"/>
      <c r="O66" s="47"/>
      <c r="P66" s="47">
        <v>38</v>
      </c>
      <c r="Q66" s="47"/>
      <c r="R66" s="47"/>
      <c r="S66" s="52"/>
      <c r="T66" s="50">
        <f>38</f>
        <v>38</v>
      </c>
    </row>
    <row r="67" spans="1:20">
      <c r="A67" s="61">
        <f t="shared" si="0"/>
        <v>66</v>
      </c>
      <c r="B67" s="148">
        <v>149</v>
      </c>
      <c r="C67" s="157" t="s">
        <v>89</v>
      </c>
      <c r="D67" s="55"/>
      <c r="E67" s="55"/>
      <c r="F67" s="55"/>
      <c r="G67" s="55"/>
      <c r="H67" s="54"/>
      <c r="I67" s="54"/>
      <c r="J67" s="54"/>
      <c r="K67" s="57"/>
      <c r="L67" s="57"/>
      <c r="M67" s="57"/>
      <c r="N67" s="48"/>
      <c r="O67" s="57"/>
      <c r="P67" s="57"/>
      <c r="Q67" s="57"/>
      <c r="R67" s="57">
        <f>37.5</f>
        <v>37.5</v>
      </c>
      <c r="S67" s="60"/>
      <c r="T67" s="50">
        <f>37.5</f>
        <v>37.5</v>
      </c>
    </row>
    <row r="68" spans="1:20">
      <c r="A68" s="61">
        <f t="shared" ref="A68:A95" si="1">A67+1</f>
        <v>67</v>
      </c>
      <c r="B68" s="143">
        <v>819</v>
      </c>
      <c r="C68" s="157" t="s">
        <v>90</v>
      </c>
      <c r="D68" s="54"/>
      <c r="E68" s="55"/>
      <c r="F68" s="55"/>
      <c r="G68" s="56"/>
      <c r="H68" s="56"/>
      <c r="I68" s="55"/>
      <c r="J68" s="55">
        <v>26</v>
      </c>
      <c r="K68" s="56"/>
      <c r="L68" s="56"/>
      <c r="M68" s="57"/>
      <c r="N68" s="48"/>
      <c r="O68" s="56">
        <v>10</v>
      </c>
      <c r="P68" s="57"/>
      <c r="Q68" s="57"/>
      <c r="R68" s="55"/>
      <c r="S68" s="60"/>
      <c r="T68" s="50">
        <f>26+10</f>
        <v>36</v>
      </c>
    </row>
    <row r="69" spans="1:20">
      <c r="A69" s="61">
        <f t="shared" si="1"/>
        <v>68</v>
      </c>
      <c r="B69" s="143">
        <v>397</v>
      </c>
      <c r="C69" s="157" t="s">
        <v>91</v>
      </c>
      <c r="D69" s="54"/>
      <c r="E69" s="55">
        <v>16</v>
      </c>
      <c r="F69" s="55"/>
      <c r="G69" s="56"/>
      <c r="H69" s="56">
        <v>20</v>
      </c>
      <c r="I69" s="55">
        <v>13</v>
      </c>
      <c r="J69" s="55"/>
      <c r="K69" s="56"/>
      <c r="L69" s="56"/>
      <c r="M69" s="57"/>
      <c r="N69" s="48"/>
      <c r="O69" s="56"/>
      <c r="P69" s="57"/>
      <c r="Q69" s="57"/>
      <c r="R69" s="55"/>
      <c r="S69" s="60"/>
      <c r="T69" s="50">
        <f>20+16</f>
        <v>36</v>
      </c>
    </row>
    <row r="70" spans="1:20" ht="17.25">
      <c r="A70" s="61">
        <f t="shared" si="1"/>
        <v>69</v>
      </c>
      <c r="B70" s="89">
        <v>152</v>
      </c>
      <c r="C70" s="159" t="s">
        <v>92</v>
      </c>
      <c r="D70" s="47"/>
      <c r="E70" s="47"/>
      <c r="F70" s="47"/>
      <c r="G70" s="47"/>
      <c r="H70" s="47"/>
      <c r="I70" s="47"/>
      <c r="J70" s="47"/>
      <c r="K70" s="47"/>
      <c r="L70" s="47">
        <v>9</v>
      </c>
      <c r="M70" s="47"/>
      <c r="N70" s="48">
        <v>27</v>
      </c>
      <c r="O70" s="47"/>
      <c r="P70" s="47"/>
      <c r="Q70" s="47"/>
      <c r="R70" s="47"/>
      <c r="S70" s="52"/>
      <c r="T70" s="50">
        <f>27+9</f>
        <v>36</v>
      </c>
    </row>
    <row r="71" spans="1:20" ht="17.25">
      <c r="A71" s="61">
        <f t="shared" si="1"/>
        <v>70</v>
      </c>
      <c r="B71" s="148">
        <v>58</v>
      </c>
      <c r="C71" s="153" t="s">
        <v>93</v>
      </c>
      <c r="D71" s="47"/>
      <c r="E71" s="47">
        <v>3</v>
      </c>
      <c r="F71" s="47"/>
      <c r="G71" s="47"/>
      <c r="H71" s="47">
        <v>5</v>
      </c>
      <c r="I71" s="47"/>
      <c r="J71" s="47"/>
      <c r="K71" s="47"/>
      <c r="L71" s="47"/>
      <c r="M71" s="47"/>
      <c r="N71" s="48"/>
      <c r="O71" s="47"/>
      <c r="P71" s="47">
        <v>29</v>
      </c>
      <c r="Q71" s="47"/>
      <c r="R71" s="47"/>
      <c r="S71" s="52"/>
      <c r="T71" s="50">
        <f>29+5</f>
        <v>34</v>
      </c>
    </row>
    <row r="72" spans="1:20">
      <c r="A72" s="61">
        <f t="shared" si="1"/>
        <v>71</v>
      </c>
      <c r="B72" s="143">
        <v>999</v>
      </c>
      <c r="C72" s="157" t="s">
        <v>94</v>
      </c>
      <c r="D72" s="54"/>
      <c r="E72" s="55"/>
      <c r="F72" s="55"/>
      <c r="G72" s="56"/>
      <c r="H72" s="56"/>
      <c r="I72" s="55"/>
      <c r="J72" s="55">
        <v>33</v>
      </c>
      <c r="K72" s="56"/>
      <c r="L72" s="56"/>
      <c r="M72" s="57"/>
      <c r="N72" s="48"/>
      <c r="O72" s="56"/>
      <c r="P72" s="57"/>
      <c r="Q72" s="57"/>
      <c r="R72" s="55"/>
      <c r="S72" s="60"/>
      <c r="T72" s="50">
        <f>33</f>
        <v>33</v>
      </c>
    </row>
    <row r="73" spans="1:20">
      <c r="A73" s="61">
        <f t="shared" si="1"/>
        <v>72</v>
      </c>
      <c r="B73" s="148">
        <v>166</v>
      </c>
      <c r="C73" s="157" t="s">
        <v>95</v>
      </c>
      <c r="D73" s="55"/>
      <c r="E73" s="55"/>
      <c r="F73" s="55"/>
      <c r="G73" s="55"/>
      <c r="H73" s="54"/>
      <c r="I73" s="54"/>
      <c r="J73" s="54"/>
      <c r="K73" s="57"/>
      <c r="L73" s="57">
        <v>28</v>
      </c>
      <c r="M73" s="57">
        <f>4</f>
        <v>4</v>
      </c>
      <c r="N73" s="48"/>
      <c r="O73" s="57"/>
      <c r="P73" s="57"/>
      <c r="Q73" s="57"/>
      <c r="R73" s="57"/>
      <c r="S73" s="60"/>
      <c r="T73" s="50">
        <f>28+4</f>
        <v>32</v>
      </c>
    </row>
    <row r="74" spans="1:20">
      <c r="A74" s="61">
        <f t="shared" si="1"/>
        <v>73</v>
      </c>
      <c r="B74" s="143">
        <v>54</v>
      </c>
      <c r="C74" s="158" t="s">
        <v>96</v>
      </c>
      <c r="D74" s="55"/>
      <c r="E74" s="55"/>
      <c r="F74" s="55"/>
      <c r="G74" s="55"/>
      <c r="H74" s="55"/>
      <c r="I74" s="56"/>
      <c r="J74" s="57">
        <v>30</v>
      </c>
      <c r="K74" s="56"/>
      <c r="L74" s="56"/>
      <c r="M74" s="56"/>
      <c r="N74" s="48"/>
      <c r="O74" s="56"/>
      <c r="P74" s="56"/>
      <c r="Q74" s="56"/>
      <c r="R74" s="55"/>
      <c r="S74" s="59"/>
      <c r="T74" s="50">
        <f>30</f>
        <v>30</v>
      </c>
    </row>
    <row r="75" spans="1:20">
      <c r="A75" s="61">
        <f t="shared" si="1"/>
        <v>74</v>
      </c>
      <c r="B75" s="143">
        <v>104</v>
      </c>
      <c r="C75" s="156" t="s">
        <v>97</v>
      </c>
      <c r="D75" s="55"/>
      <c r="E75" s="55">
        <v>1</v>
      </c>
      <c r="F75" s="54"/>
      <c r="G75" s="56"/>
      <c r="H75" s="56">
        <v>15</v>
      </c>
      <c r="I75" s="55">
        <v>6</v>
      </c>
      <c r="J75" s="55"/>
      <c r="K75" s="55"/>
      <c r="L75" s="55"/>
      <c r="M75" s="55"/>
      <c r="N75" s="48"/>
      <c r="O75" s="55">
        <v>11</v>
      </c>
      <c r="P75" s="55"/>
      <c r="Q75" s="55"/>
      <c r="R75" s="55"/>
      <c r="S75" s="75"/>
      <c r="T75" s="50">
        <f>15+11</f>
        <v>26</v>
      </c>
    </row>
    <row r="76" spans="1:20" ht="17.25">
      <c r="A76" s="61">
        <f t="shared" si="1"/>
        <v>75</v>
      </c>
      <c r="B76" s="148">
        <v>182</v>
      </c>
      <c r="C76" s="153" t="s">
        <v>98</v>
      </c>
      <c r="D76" s="47"/>
      <c r="E76" s="47">
        <v>2</v>
      </c>
      <c r="F76" s="47"/>
      <c r="G76" s="47"/>
      <c r="H76" s="47">
        <v>13</v>
      </c>
      <c r="I76" s="47">
        <v>9</v>
      </c>
      <c r="J76" s="47"/>
      <c r="K76" s="47"/>
      <c r="L76" s="47"/>
      <c r="M76" s="47"/>
      <c r="N76" s="48"/>
      <c r="O76" s="47"/>
      <c r="P76" s="47"/>
      <c r="Q76" s="47"/>
      <c r="R76" s="47"/>
      <c r="S76" s="52"/>
      <c r="T76" s="50">
        <f>13+9</f>
        <v>22</v>
      </c>
    </row>
    <row r="77" spans="1:20">
      <c r="A77" s="61">
        <f t="shared" si="1"/>
        <v>76</v>
      </c>
      <c r="B77" s="143">
        <v>61</v>
      </c>
      <c r="C77" s="156" t="s">
        <v>99</v>
      </c>
      <c r="D77" s="55"/>
      <c r="E77" s="55">
        <f>3</f>
        <v>3</v>
      </c>
      <c r="F77" s="55"/>
      <c r="G77" s="55"/>
      <c r="H77" s="54">
        <v>10</v>
      </c>
      <c r="I77" s="56">
        <v>4</v>
      </c>
      <c r="J77" s="56"/>
      <c r="K77" s="56">
        <v>9</v>
      </c>
      <c r="L77" s="56"/>
      <c r="M77" s="56"/>
      <c r="N77" s="48"/>
      <c r="O77" s="56">
        <v>8</v>
      </c>
      <c r="P77" s="56"/>
      <c r="Q77" s="56"/>
      <c r="R77" s="56"/>
      <c r="S77" s="59"/>
      <c r="T77" s="50">
        <f>10+9</f>
        <v>19</v>
      </c>
    </row>
    <row r="78" spans="1:20" ht="17.25">
      <c r="A78" s="61">
        <f t="shared" si="1"/>
        <v>77</v>
      </c>
      <c r="B78" s="148">
        <v>45</v>
      </c>
      <c r="C78" s="154" t="s">
        <v>100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8"/>
      <c r="O78" s="47"/>
      <c r="P78" s="47">
        <v>19</v>
      </c>
      <c r="Q78" s="47"/>
      <c r="R78" s="47"/>
      <c r="S78" s="52"/>
      <c r="T78" s="50">
        <f>19</f>
        <v>19</v>
      </c>
    </row>
    <row r="79" spans="1:20" ht="17.25">
      <c r="A79" s="61">
        <f t="shared" si="1"/>
        <v>78</v>
      </c>
      <c r="B79" s="89">
        <v>810</v>
      </c>
      <c r="C79" s="154" t="s">
        <v>101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8"/>
      <c r="O79" s="47"/>
      <c r="P79" s="47"/>
      <c r="Q79" s="47">
        <v>18.5</v>
      </c>
      <c r="R79" s="47"/>
      <c r="S79" s="52"/>
      <c r="T79" s="50">
        <f>18.5</f>
        <v>18.5</v>
      </c>
    </row>
    <row r="80" spans="1:20" ht="17.25">
      <c r="A80" s="61">
        <f t="shared" si="1"/>
        <v>79</v>
      </c>
      <c r="B80" s="89">
        <v>33</v>
      </c>
      <c r="C80" s="154" t="s">
        <v>102</v>
      </c>
      <c r="D80" s="47"/>
      <c r="E80" s="47">
        <v>12</v>
      </c>
      <c r="F80" s="47"/>
      <c r="G80" s="47"/>
      <c r="H80" s="47">
        <v>6</v>
      </c>
      <c r="I80" s="47">
        <v>5</v>
      </c>
      <c r="J80" s="47"/>
      <c r="K80" s="47"/>
      <c r="L80" s="47"/>
      <c r="M80" s="47"/>
      <c r="N80" s="48"/>
      <c r="O80" s="47"/>
      <c r="P80" s="47"/>
      <c r="Q80" s="47"/>
      <c r="R80" s="47"/>
      <c r="S80" s="52"/>
      <c r="T80" s="50">
        <f>12+6</f>
        <v>18</v>
      </c>
    </row>
    <row r="81" spans="1:20">
      <c r="A81" s="61">
        <f t="shared" si="1"/>
        <v>80</v>
      </c>
      <c r="B81" s="143">
        <v>806</v>
      </c>
      <c r="C81" s="157" t="s">
        <v>103</v>
      </c>
      <c r="D81" s="54"/>
      <c r="E81" s="55"/>
      <c r="F81" s="55"/>
      <c r="G81" s="56"/>
      <c r="H81" s="56"/>
      <c r="I81" s="55"/>
      <c r="J81" s="55"/>
      <c r="K81" s="56"/>
      <c r="L81" s="56"/>
      <c r="M81" s="57"/>
      <c r="N81" s="48"/>
      <c r="O81" s="56"/>
      <c r="P81" s="57"/>
      <c r="Q81" s="57">
        <v>13.5</v>
      </c>
      <c r="R81" s="55"/>
      <c r="S81" s="60"/>
      <c r="T81" s="50">
        <f>13.5</f>
        <v>13.5</v>
      </c>
    </row>
    <row r="82" spans="1:20" ht="17.25">
      <c r="A82" s="61">
        <f t="shared" si="1"/>
        <v>81</v>
      </c>
      <c r="B82" s="89">
        <v>432</v>
      </c>
      <c r="C82" s="154" t="s">
        <v>104</v>
      </c>
      <c r="D82" s="47"/>
      <c r="E82" s="47"/>
      <c r="F82" s="47">
        <v>10</v>
      </c>
      <c r="G82" s="47">
        <v>3</v>
      </c>
      <c r="H82" s="47"/>
      <c r="I82" s="47"/>
      <c r="J82" s="47"/>
      <c r="K82" s="47"/>
      <c r="L82" s="47"/>
      <c r="M82" s="47"/>
      <c r="N82" s="48"/>
      <c r="O82" s="47"/>
      <c r="P82" s="47"/>
      <c r="Q82" s="47"/>
      <c r="R82" s="47"/>
      <c r="S82" s="52"/>
      <c r="T82" s="50">
        <f>3+10</f>
        <v>13</v>
      </c>
    </row>
    <row r="83" spans="1:20">
      <c r="A83" s="61">
        <f t="shared" si="1"/>
        <v>82</v>
      </c>
      <c r="B83" s="143">
        <v>313</v>
      </c>
      <c r="C83" s="156" t="s">
        <v>105</v>
      </c>
      <c r="D83" s="54"/>
      <c r="E83" s="55">
        <f>4</f>
        <v>4</v>
      </c>
      <c r="F83" s="56"/>
      <c r="G83" s="56"/>
      <c r="H83" s="56">
        <v>8</v>
      </c>
      <c r="I83" s="56">
        <v>5</v>
      </c>
      <c r="J83" s="56"/>
      <c r="K83" s="56"/>
      <c r="L83" s="56"/>
      <c r="M83" s="56"/>
      <c r="N83" s="48"/>
      <c r="O83" s="56"/>
      <c r="P83" s="56"/>
      <c r="Q83" s="56"/>
      <c r="R83" s="56"/>
      <c r="S83" s="59"/>
      <c r="T83" s="50">
        <f>8+5</f>
        <v>13</v>
      </c>
    </row>
    <row r="84" spans="1:20" ht="17.25">
      <c r="A84" s="61">
        <f t="shared" si="1"/>
        <v>83</v>
      </c>
      <c r="B84" s="89">
        <v>85</v>
      </c>
      <c r="C84" s="154" t="s">
        <v>106</v>
      </c>
      <c r="D84" s="47"/>
      <c r="E84" s="47">
        <v>6</v>
      </c>
      <c r="F84" s="47"/>
      <c r="G84" s="47"/>
      <c r="H84" s="47">
        <v>7</v>
      </c>
      <c r="I84" s="47"/>
      <c r="J84" s="47"/>
      <c r="K84" s="47"/>
      <c r="L84" s="47"/>
      <c r="M84" s="47"/>
      <c r="N84" s="48"/>
      <c r="O84" s="47"/>
      <c r="P84" s="47"/>
      <c r="Q84" s="47"/>
      <c r="R84" s="47"/>
      <c r="S84" s="52"/>
      <c r="T84" s="50">
        <f>7+6</f>
        <v>13</v>
      </c>
    </row>
    <row r="85" spans="1:20" ht="17.25">
      <c r="A85" s="61">
        <f t="shared" si="1"/>
        <v>84</v>
      </c>
      <c r="B85" s="148">
        <v>219</v>
      </c>
      <c r="C85" s="153" t="s">
        <v>107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8"/>
      <c r="O85" s="47"/>
      <c r="P85" s="47"/>
      <c r="Q85" s="47"/>
      <c r="R85" s="47">
        <v>11</v>
      </c>
      <c r="S85" s="52"/>
      <c r="T85" s="50">
        <f>11</f>
        <v>11</v>
      </c>
    </row>
    <row r="86" spans="1:20" ht="17.25">
      <c r="A86" s="61">
        <f t="shared" si="1"/>
        <v>85</v>
      </c>
      <c r="B86" s="89">
        <v>909</v>
      </c>
      <c r="C86" s="154" t="s">
        <v>108</v>
      </c>
      <c r="D86" s="47"/>
      <c r="E86" s="47"/>
      <c r="F86" s="47"/>
      <c r="G86" s="47"/>
      <c r="H86" s="47"/>
      <c r="I86" s="47"/>
      <c r="J86" s="47">
        <v>4</v>
      </c>
      <c r="K86" s="47">
        <v>6</v>
      </c>
      <c r="L86" s="47"/>
      <c r="M86" s="47"/>
      <c r="N86" s="48"/>
      <c r="O86" s="47"/>
      <c r="P86" s="47"/>
      <c r="Q86" s="47"/>
      <c r="R86" s="47"/>
      <c r="S86" s="52"/>
      <c r="T86" s="50">
        <f>6+4</f>
        <v>10</v>
      </c>
    </row>
    <row r="87" spans="1:20">
      <c r="A87" s="61">
        <f t="shared" si="1"/>
        <v>86</v>
      </c>
      <c r="B87" s="143">
        <v>844</v>
      </c>
      <c r="C87" s="157" t="s">
        <v>109</v>
      </c>
      <c r="D87" s="54"/>
      <c r="E87" s="55"/>
      <c r="F87" s="55"/>
      <c r="G87" s="56"/>
      <c r="H87" s="56"/>
      <c r="I87" s="55"/>
      <c r="J87" s="55"/>
      <c r="K87" s="56"/>
      <c r="L87" s="56"/>
      <c r="M87" s="57">
        <f>10</f>
        <v>10</v>
      </c>
      <c r="N87" s="48"/>
      <c r="O87" s="56"/>
      <c r="P87" s="57"/>
      <c r="Q87" s="57"/>
      <c r="R87" s="55"/>
      <c r="S87" s="60"/>
      <c r="T87" s="50">
        <f>10</f>
        <v>10</v>
      </c>
    </row>
    <row r="88" spans="1:20" ht="17.25">
      <c r="A88" s="61">
        <f t="shared" si="1"/>
        <v>87</v>
      </c>
      <c r="B88" s="148">
        <v>202</v>
      </c>
      <c r="C88" s="153" t="s">
        <v>110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8"/>
      <c r="O88" s="47"/>
      <c r="P88" s="47"/>
      <c r="Q88" s="47"/>
      <c r="R88" s="47">
        <v>8.5</v>
      </c>
      <c r="S88" s="52"/>
      <c r="T88" s="50">
        <f>8.5</f>
        <v>8.5</v>
      </c>
    </row>
    <row r="89" spans="1:20">
      <c r="A89" s="61">
        <f t="shared" si="1"/>
        <v>88</v>
      </c>
      <c r="B89" s="143">
        <v>777</v>
      </c>
      <c r="C89" s="156" t="s">
        <v>111</v>
      </c>
      <c r="D89" s="55"/>
      <c r="E89" s="55"/>
      <c r="F89" s="55"/>
      <c r="G89" s="54"/>
      <c r="H89" s="55"/>
      <c r="I89" s="55"/>
      <c r="J89" s="55"/>
      <c r="K89" s="55"/>
      <c r="L89" s="55"/>
      <c r="M89" s="55"/>
      <c r="N89" s="48"/>
      <c r="O89" s="56">
        <f>6</f>
        <v>6</v>
      </c>
      <c r="P89" s="55"/>
      <c r="Q89" s="55"/>
      <c r="R89" s="55"/>
      <c r="S89" s="58"/>
      <c r="T89" s="50">
        <f>6</f>
        <v>6</v>
      </c>
    </row>
    <row r="90" spans="1:20" ht="17.25">
      <c r="A90" s="61">
        <f t="shared" si="1"/>
        <v>89</v>
      </c>
      <c r="B90" s="148">
        <v>39</v>
      </c>
      <c r="C90" s="155" t="s">
        <v>112</v>
      </c>
      <c r="D90" s="47"/>
      <c r="E90" s="47"/>
      <c r="F90" s="47"/>
      <c r="G90" s="47"/>
      <c r="H90" s="47">
        <v>4</v>
      </c>
      <c r="I90" s="47"/>
      <c r="J90" s="47"/>
      <c r="K90" s="47"/>
      <c r="L90" s="47"/>
      <c r="M90" s="47"/>
      <c r="N90" s="48"/>
      <c r="O90" s="47"/>
      <c r="P90" s="47"/>
      <c r="Q90" s="47"/>
      <c r="R90" s="47"/>
      <c r="S90" s="52"/>
      <c r="T90" s="50">
        <f>4</f>
        <v>4</v>
      </c>
    </row>
    <row r="91" spans="1:20">
      <c r="A91" s="61">
        <f t="shared" si="1"/>
        <v>90</v>
      </c>
      <c r="B91" s="143">
        <v>479</v>
      </c>
      <c r="C91" s="156" t="s">
        <v>113</v>
      </c>
      <c r="D91" s="55"/>
      <c r="E91" s="55"/>
      <c r="F91" s="55"/>
      <c r="G91" s="55"/>
      <c r="H91" s="54"/>
      <c r="I91" s="56"/>
      <c r="J91" s="56"/>
      <c r="K91" s="57"/>
      <c r="L91" s="57"/>
      <c r="M91" s="57"/>
      <c r="N91" s="48"/>
      <c r="O91" s="57"/>
      <c r="P91" s="57"/>
      <c r="Q91" s="56">
        <v>3</v>
      </c>
      <c r="R91" s="57"/>
      <c r="S91" s="60"/>
      <c r="T91" s="50">
        <f>3</f>
        <v>3</v>
      </c>
    </row>
    <row r="92" spans="1:20" ht="17.25">
      <c r="A92" s="61">
        <f t="shared" si="1"/>
        <v>91</v>
      </c>
      <c r="B92" s="89">
        <v>868</v>
      </c>
      <c r="C92" s="154" t="s">
        <v>114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8"/>
      <c r="O92" s="47"/>
      <c r="P92" s="47"/>
      <c r="Q92" s="47">
        <v>2.5</v>
      </c>
      <c r="R92" s="47"/>
      <c r="S92" s="52"/>
      <c r="T92" s="50">
        <f>2.5</f>
        <v>2.5</v>
      </c>
    </row>
    <row r="93" spans="1:20">
      <c r="A93" s="61">
        <f t="shared" si="1"/>
        <v>92</v>
      </c>
      <c r="B93" s="143">
        <v>56</v>
      </c>
      <c r="C93" s="157" t="s">
        <v>115</v>
      </c>
      <c r="D93" s="55">
        <f>1</f>
        <v>1</v>
      </c>
      <c r="E93" s="55"/>
      <c r="F93" s="55">
        <f>1</f>
        <v>1</v>
      </c>
      <c r="G93" s="55"/>
      <c r="H93" s="54"/>
      <c r="I93" s="54"/>
      <c r="J93" s="54"/>
      <c r="K93" s="57"/>
      <c r="L93" s="57"/>
      <c r="M93" s="57"/>
      <c r="N93" s="48"/>
      <c r="O93" s="57"/>
      <c r="P93" s="57"/>
      <c r="Q93" s="57"/>
      <c r="R93" s="57"/>
      <c r="S93" s="60"/>
      <c r="T93" s="50">
        <f>1+1</f>
        <v>2</v>
      </c>
    </row>
    <row r="94" spans="1:20">
      <c r="A94" s="61">
        <f t="shared" si="1"/>
        <v>93</v>
      </c>
      <c r="B94" s="143">
        <v>412</v>
      </c>
      <c r="C94" s="156" t="s">
        <v>116</v>
      </c>
      <c r="D94" s="54"/>
      <c r="E94" s="55"/>
      <c r="F94" s="54"/>
      <c r="G94" s="56"/>
      <c r="H94" s="54"/>
      <c r="I94" s="56"/>
      <c r="J94" s="56"/>
      <c r="K94" s="56"/>
      <c r="L94" s="56"/>
      <c r="M94" s="56"/>
      <c r="N94" s="48"/>
      <c r="O94" s="56"/>
      <c r="P94" s="56"/>
      <c r="Q94" s="56">
        <f>1.5</f>
        <v>1.5</v>
      </c>
      <c r="R94" s="56"/>
      <c r="S94" s="59"/>
      <c r="T94" s="50">
        <f>1.5</f>
        <v>1.5</v>
      </c>
    </row>
    <row r="95" spans="1:20" ht="17.25">
      <c r="A95" s="61">
        <f t="shared" si="1"/>
        <v>94</v>
      </c>
      <c r="B95" s="89">
        <v>71</v>
      </c>
      <c r="C95" s="154" t="s">
        <v>117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8"/>
      <c r="O95" s="47"/>
      <c r="P95" s="47"/>
      <c r="Q95" s="47"/>
      <c r="R95" s="47"/>
      <c r="S95" s="52">
        <v>0.5</v>
      </c>
      <c r="T95" s="51">
        <f>0.5</f>
        <v>0.5</v>
      </c>
    </row>
  </sheetData>
  <sortState xmlns:xlrd2="http://schemas.microsoft.com/office/spreadsheetml/2017/richdata2" ref="A2:U96">
    <sortCondition descending="1" ref="T2:T96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0"/>
  <sheetViews>
    <sheetView topLeftCell="A6" workbookViewId="0">
      <selection activeCell="B5" sqref="B5"/>
    </sheetView>
  </sheetViews>
  <sheetFormatPr defaultRowHeight="15.75"/>
  <cols>
    <col min="1" max="1" width="14.7109375" style="91" customWidth="1"/>
    <col min="2" max="2" width="9.140625" style="91"/>
    <col min="3" max="3" width="31.140625" style="91" bestFit="1" customWidth="1"/>
    <col min="4" max="16384" width="9.140625" style="91"/>
  </cols>
  <sheetData>
    <row r="1" spans="1:4" ht="17.25">
      <c r="A1" s="88" t="s">
        <v>129</v>
      </c>
      <c r="C1" s="96"/>
    </row>
    <row r="2" spans="1:4" ht="17.25">
      <c r="C2" s="96">
        <v>44393</v>
      </c>
    </row>
    <row r="3" spans="1:4" ht="34.5">
      <c r="A3" s="131" t="s">
        <v>0</v>
      </c>
      <c r="B3" s="135" t="s">
        <v>1</v>
      </c>
      <c r="C3" s="136" t="s">
        <v>2</v>
      </c>
      <c r="D3" s="137" t="s">
        <v>119</v>
      </c>
    </row>
    <row r="4" spans="1:4" ht="17.25">
      <c r="B4" s="33" t="s">
        <v>130</v>
      </c>
      <c r="C4" s="37" t="s">
        <v>29</v>
      </c>
      <c r="D4" s="140">
        <f>21+36.5+26+32</f>
        <v>115.5</v>
      </c>
    </row>
    <row r="5" spans="1:4" ht="17.25">
      <c r="B5" s="3">
        <v>107</v>
      </c>
      <c r="C5" s="6" t="s">
        <v>33</v>
      </c>
      <c r="D5" s="8">
        <f>31+17+41.5</f>
        <v>89.5</v>
      </c>
    </row>
    <row r="6" spans="1:4" ht="17.25">
      <c r="B6" s="34">
        <v>204</v>
      </c>
      <c r="C6" s="10" t="s">
        <v>36</v>
      </c>
      <c r="D6" s="9">
        <f>43+44</f>
        <v>87</v>
      </c>
    </row>
    <row r="7" spans="1:4" ht="17.25">
      <c r="B7" s="5">
        <v>31</v>
      </c>
      <c r="C7" s="6" t="s">
        <v>55</v>
      </c>
      <c r="D7" s="9">
        <f>43+38</f>
        <v>81</v>
      </c>
    </row>
    <row r="8" spans="1:4" ht="17.25">
      <c r="B8" s="5">
        <v>40</v>
      </c>
      <c r="C8" s="138" t="s">
        <v>51</v>
      </c>
      <c r="D8" s="13">
        <f>23+41.5</f>
        <v>64.5</v>
      </c>
    </row>
    <row r="9" spans="1:4" ht="17.25">
      <c r="B9" s="3">
        <v>93</v>
      </c>
      <c r="C9" s="42" t="s">
        <v>63</v>
      </c>
      <c r="D9" s="9">
        <f>31+22</f>
        <v>53</v>
      </c>
    </row>
    <row r="10" spans="1:4" ht="17.25">
      <c r="B10" s="3">
        <v>769</v>
      </c>
      <c r="C10" s="11" t="s">
        <v>45</v>
      </c>
      <c r="D10" s="8">
        <f>8.5+16+27</f>
        <v>51.5</v>
      </c>
    </row>
    <row r="11" spans="1:4" ht="17.25">
      <c r="B11" s="3">
        <v>17</v>
      </c>
      <c r="C11" s="10" t="s">
        <v>39</v>
      </c>
      <c r="D11" s="8">
        <f>14.5+13+17</f>
        <v>44.5</v>
      </c>
    </row>
    <row r="12" spans="1:4" ht="17.25">
      <c r="B12" s="3">
        <v>99</v>
      </c>
      <c r="C12" s="11" t="s">
        <v>87</v>
      </c>
      <c r="D12" s="8">
        <f>21+14.5</f>
        <v>35.5</v>
      </c>
    </row>
    <row r="13" spans="1:4" ht="17.25">
      <c r="B13" s="3">
        <v>965</v>
      </c>
      <c r="C13" s="11" t="s">
        <v>86</v>
      </c>
      <c r="D13" s="8">
        <f>6+4.5+17.5</f>
        <v>28</v>
      </c>
    </row>
    <row r="14" spans="1:4" ht="17.25">
      <c r="B14" s="5">
        <v>166</v>
      </c>
      <c r="C14" s="11" t="s">
        <v>95</v>
      </c>
      <c r="D14" s="36">
        <f>2.5+8+17.5</f>
        <v>28</v>
      </c>
    </row>
    <row r="15" spans="1:4" ht="17.25">
      <c r="B15" s="3">
        <v>36</v>
      </c>
      <c r="C15" s="6" t="s">
        <v>74</v>
      </c>
      <c r="D15" s="8">
        <f>4.5+5.5+8.5</f>
        <v>18.5</v>
      </c>
    </row>
    <row r="16" spans="1:4" ht="17.25">
      <c r="B16" s="4">
        <v>46</v>
      </c>
      <c r="C16" s="6" t="s">
        <v>53</v>
      </c>
      <c r="D16" s="12">
        <f>15</f>
        <v>15</v>
      </c>
    </row>
    <row r="17" spans="2:4" ht="17.25">
      <c r="B17" s="3">
        <v>676</v>
      </c>
      <c r="C17" s="6" t="s">
        <v>60</v>
      </c>
      <c r="D17" s="8">
        <f>5.5+9.5</f>
        <v>15</v>
      </c>
    </row>
    <row r="18" spans="2:4" ht="17.25">
      <c r="B18" s="5">
        <v>64</v>
      </c>
      <c r="C18" s="10" t="s">
        <v>66</v>
      </c>
      <c r="D18" s="13">
        <f>5+7</f>
        <v>12</v>
      </c>
    </row>
    <row r="19" spans="2:4" ht="17.25">
      <c r="B19" s="5">
        <v>152</v>
      </c>
      <c r="C19" s="10" t="s">
        <v>92</v>
      </c>
      <c r="D19" s="18">
        <f>3.5+5.5</f>
        <v>9</v>
      </c>
    </row>
    <row r="20" spans="2:4" ht="17.25"/>
  </sheetData>
  <sortState xmlns:xlrd2="http://schemas.microsoft.com/office/spreadsheetml/2017/richdata2" ref="B4:D19">
    <sortCondition descending="1" ref="D4:D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3"/>
  <sheetViews>
    <sheetView workbookViewId="0">
      <selection activeCell="C4" sqref="C4"/>
    </sheetView>
  </sheetViews>
  <sheetFormatPr defaultRowHeight="15.75"/>
  <cols>
    <col min="1" max="1" width="14.7109375" style="91" customWidth="1"/>
    <col min="2" max="2" width="9.140625" style="91"/>
    <col min="3" max="3" width="21.42578125" style="91" customWidth="1"/>
    <col min="4" max="16384" width="9.140625" style="91"/>
  </cols>
  <sheetData>
    <row r="1" spans="1:4" ht="17.25">
      <c r="A1" s="88" t="s">
        <v>131</v>
      </c>
      <c r="C1" s="96"/>
    </row>
    <row r="2" spans="1:4" ht="17.25">
      <c r="C2" s="96">
        <v>44393</v>
      </c>
    </row>
    <row r="3" spans="1:4" ht="34.5">
      <c r="A3" s="92" t="s">
        <v>0</v>
      </c>
      <c r="B3" s="97" t="s">
        <v>1</v>
      </c>
      <c r="C3" s="93" t="s">
        <v>2</v>
      </c>
      <c r="D3" s="130" t="s">
        <v>119</v>
      </c>
    </row>
    <row r="4" spans="1:4" ht="17.25">
      <c r="B4" s="33" t="s">
        <v>28</v>
      </c>
      <c r="C4" s="37" t="s">
        <v>29</v>
      </c>
      <c r="D4" s="41">
        <f>26.5+38.5+24.5+30</f>
        <v>119.5</v>
      </c>
    </row>
    <row r="5" spans="1:4" ht="17.25">
      <c r="B5" s="5">
        <v>902</v>
      </c>
      <c r="C5" s="6" t="s">
        <v>56</v>
      </c>
      <c r="D5" s="13">
        <f>40+30.5</f>
        <v>70.5</v>
      </c>
    </row>
    <row r="6" spans="1:4" ht="17.25">
      <c r="B6" s="34">
        <v>204</v>
      </c>
      <c r="C6" s="10" t="s">
        <v>36</v>
      </c>
      <c r="D6" s="9">
        <f>34+33</f>
        <v>67</v>
      </c>
    </row>
    <row r="7" spans="1:4" ht="17.25">
      <c r="B7" s="5">
        <v>40</v>
      </c>
      <c r="C7" s="6" t="s">
        <v>51</v>
      </c>
      <c r="D7" s="13">
        <f>17+37</f>
        <v>54</v>
      </c>
    </row>
    <row r="8" spans="1:4" ht="17.25">
      <c r="B8" s="3">
        <v>93</v>
      </c>
      <c r="C8" s="42" t="s">
        <v>63</v>
      </c>
      <c r="D8" s="9">
        <f>12.5+24.5</f>
        <v>37</v>
      </c>
    </row>
    <row r="9" spans="1:4" ht="17.25">
      <c r="B9" s="5">
        <v>31</v>
      </c>
      <c r="C9" s="6" t="s">
        <v>55</v>
      </c>
      <c r="D9" s="9">
        <f>18</f>
        <v>18</v>
      </c>
    </row>
    <row r="10" spans="1:4" ht="17.25">
      <c r="B10" s="4">
        <v>46</v>
      </c>
      <c r="C10" s="6" t="s">
        <v>53</v>
      </c>
      <c r="D10" s="12">
        <f>12.5</f>
        <v>12.5</v>
      </c>
    </row>
    <row r="11" spans="1:4" ht="17.25">
      <c r="B11" s="3">
        <v>844</v>
      </c>
      <c r="C11" s="11" t="s">
        <v>109</v>
      </c>
      <c r="D11" s="36">
        <f>10</f>
        <v>10</v>
      </c>
    </row>
    <row r="12" spans="1:4" ht="17.25">
      <c r="B12" s="3">
        <v>99</v>
      </c>
      <c r="C12" s="11" t="s">
        <v>87</v>
      </c>
      <c r="D12" s="36">
        <f>5.5</f>
        <v>5.5</v>
      </c>
    </row>
    <row r="13" spans="1:4" ht="17.25">
      <c r="B13" s="5">
        <v>166</v>
      </c>
      <c r="C13" s="11" t="s">
        <v>95</v>
      </c>
      <c r="D13" s="43">
        <f>4</f>
        <v>4</v>
      </c>
    </row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7"/>
  <sheetViews>
    <sheetView topLeftCell="A3" workbookViewId="0">
      <selection activeCell="A14" sqref="A14"/>
    </sheetView>
  </sheetViews>
  <sheetFormatPr defaultRowHeight="15.75"/>
  <cols>
    <col min="1" max="1" width="14.7109375" style="91" customWidth="1"/>
    <col min="2" max="2" width="9.140625" style="89"/>
    <col min="3" max="3" width="30.5703125" style="89" customWidth="1"/>
    <col min="4" max="4" width="9.140625" style="89"/>
    <col min="5" max="16384" width="9.140625" style="91"/>
  </cols>
  <sheetData>
    <row r="1" spans="1:4" ht="17.25">
      <c r="A1" s="88" t="s">
        <v>132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15">
        <v>107</v>
      </c>
      <c r="C4" s="16" t="s">
        <v>33</v>
      </c>
      <c r="D4" s="44">
        <f>41+45+42</f>
        <v>128</v>
      </c>
    </row>
    <row r="5" spans="1:4" ht="17.25">
      <c r="B5" s="3">
        <v>17</v>
      </c>
      <c r="C5" s="10" t="s">
        <v>39</v>
      </c>
      <c r="D5" s="13">
        <f>18.5+32+35+29</f>
        <v>114.5</v>
      </c>
    </row>
    <row r="6" spans="1:4" ht="17.25">
      <c r="B6" s="3">
        <v>769</v>
      </c>
      <c r="C6" s="11" t="s">
        <v>45</v>
      </c>
      <c r="D6" s="13">
        <f>15.5+35+35</f>
        <v>85.5</v>
      </c>
    </row>
    <row r="7" spans="1:4" ht="17.25">
      <c r="B7" s="3">
        <v>64</v>
      </c>
      <c r="C7" s="10" t="s">
        <v>66</v>
      </c>
      <c r="D7" s="13">
        <f>28.5+17+17+11</f>
        <v>73.5</v>
      </c>
    </row>
    <row r="8" spans="1:4" ht="17.25">
      <c r="B8" s="5">
        <v>36</v>
      </c>
      <c r="C8" s="6" t="s">
        <v>74</v>
      </c>
      <c r="D8" s="13">
        <f>22+24</f>
        <v>46</v>
      </c>
    </row>
    <row r="9" spans="1:4" ht="17.25">
      <c r="B9" s="5">
        <v>152</v>
      </c>
      <c r="C9" s="6" t="s">
        <v>92</v>
      </c>
      <c r="D9" s="13">
        <f>27</f>
        <v>27</v>
      </c>
    </row>
    <row r="10" spans="1:4" ht="17.25">
      <c r="B10" s="78">
        <v>901</v>
      </c>
      <c r="C10" s="120" t="s">
        <v>59</v>
      </c>
      <c r="D10" s="82">
        <f>2+10+14.5</f>
        <v>26.5</v>
      </c>
    </row>
    <row r="11" spans="1:4" ht="17.25">
      <c r="B11" s="5">
        <v>339</v>
      </c>
      <c r="C11" s="10" t="s">
        <v>82</v>
      </c>
      <c r="D11" s="13">
        <f>18.5+0.5</f>
        <v>19</v>
      </c>
    </row>
    <row r="12" spans="1:4" ht="17.25">
      <c r="B12" s="5">
        <v>965</v>
      </c>
      <c r="C12" s="6" t="s">
        <v>86</v>
      </c>
      <c r="D12" s="13">
        <f>13</f>
        <v>13</v>
      </c>
    </row>
    <row r="13" spans="1:4" ht="17.25">
      <c r="B13" s="3">
        <v>914</v>
      </c>
      <c r="C13" s="11" t="s">
        <v>73</v>
      </c>
      <c r="D13" s="13">
        <f>3+5.5</f>
        <v>8.5</v>
      </c>
    </row>
    <row r="14" spans="1:4" ht="17.25">
      <c r="B14" s="5">
        <v>676</v>
      </c>
      <c r="C14" s="86" t="s">
        <v>60</v>
      </c>
      <c r="D14" s="18">
        <f>4</f>
        <v>4</v>
      </c>
    </row>
    <row r="15" spans="1:4" ht="17.25"/>
    <row r="16" spans="1:4" ht="17.25"/>
    <row r="17" ht="17.25"/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4"/>
  <sheetViews>
    <sheetView workbookViewId="0">
      <selection activeCell="F13" sqref="F13"/>
    </sheetView>
  </sheetViews>
  <sheetFormatPr defaultRowHeight="15.75"/>
  <cols>
    <col min="1" max="1" width="14.7109375" style="91" customWidth="1"/>
    <col min="2" max="2" width="9.140625" style="91"/>
    <col min="3" max="3" width="22.7109375" style="91" bestFit="1" customWidth="1"/>
    <col min="4" max="16384" width="9.140625" style="91"/>
  </cols>
  <sheetData>
    <row r="1" spans="1:4" ht="17.25">
      <c r="A1" s="88" t="s">
        <v>133</v>
      </c>
      <c r="C1" s="96"/>
    </row>
    <row r="2" spans="1:4" ht="17.25">
      <c r="C2" s="96">
        <v>44393</v>
      </c>
    </row>
    <row r="3" spans="1:4" ht="34.5">
      <c r="A3" s="92" t="s">
        <v>0</v>
      </c>
      <c r="B3" s="93" t="s">
        <v>1</v>
      </c>
      <c r="C3" s="134" t="s">
        <v>2</v>
      </c>
      <c r="D3" s="130" t="s">
        <v>119</v>
      </c>
    </row>
    <row r="4" spans="1:4" ht="17.25">
      <c r="B4" s="15" t="s">
        <v>31</v>
      </c>
      <c r="C4" s="16" t="s">
        <v>32</v>
      </c>
      <c r="D4" s="31">
        <f>1+30+38+26</f>
        <v>95</v>
      </c>
    </row>
    <row r="5" spans="1:4" ht="17.25">
      <c r="B5" s="3">
        <v>5</v>
      </c>
      <c r="C5" s="6" t="s">
        <v>49</v>
      </c>
      <c r="D5" s="12">
        <f>35+7+39</f>
        <v>81</v>
      </c>
    </row>
    <row r="6" spans="1:4" ht="17.25">
      <c r="B6" s="3">
        <v>88</v>
      </c>
      <c r="C6" s="11" t="s">
        <v>48</v>
      </c>
      <c r="D6" s="12">
        <f>40+32</f>
        <v>72</v>
      </c>
    </row>
    <row r="7" spans="1:4" ht="17.25">
      <c r="B7" s="3">
        <v>77</v>
      </c>
      <c r="C7" s="6" t="s">
        <v>58</v>
      </c>
      <c r="D7" s="8">
        <f>53</f>
        <v>53</v>
      </c>
    </row>
    <row r="8" spans="1:4" ht="17.25">
      <c r="B8" s="5">
        <v>234</v>
      </c>
      <c r="C8" s="6" t="s">
        <v>68</v>
      </c>
      <c r="D8" s="13">
        <f>17+21</f>
        <v>38</v>
      </c>
    </row>
    <row r="9" spans="1:4" ht="17.25">
      <c r="B9" s="5">
        <v>902</v>
      </c>
      <c r="C9" s="6" t="s">
        <v>56</v>
      </c>
      <c r="D9" s="13">
        <f>27</f>
        <v>27</v>
      </c>
    </row>
    <row r="10" spans="1:4" ht="17.25">
      <c r="B10" s="5" t="s">
        <v>28</v>
      </c>
      <c r="C10" s="6" t="s">
        <v>29</v>
      </c>
      <c r="D10" s="13">
        <f>13</f>
        <v>13</v>
      </c>
    </row>
    <row r="11" spans="1:4" ht="17.25">
      <c r="B11" s="3">
        <v>104</v>
      </c>
      <c r="C11" s="6" t="s">
        <v>97</v>
      </c>
      <c r="D11" s="12">
        <f>7+4</f>
        <v>11</v>
      </c>
    </row>
    <row r="12" spans="1:4" ht="17.25">
      <c r="B12" s="5">
        <v>819</v>
      </c>
      <c r="C12" s="6" t="s">
        <v>90</v>
      </c>
      <c r="D12" s="13">
        <f>10</f>
        <v>10</v>
      </c>
    </row>
    <row r="13" spans="1:4" ht="17.25">
      <c r="B13" s="3">
        <v>61</v>
      </c>
      <c r="C13" s="6" t="s">
        <v>99</v>
      </c>
      <c r="D13" s="8">
        <f>8</f>
        <v>8</v>
      </c>
    </row>
    <row r="14" spans="1:4" ht="17.25">
      <c r="B14" s="3">
        <v>777</v>
      </c>
      <c r="C14" s="6" t="s">
        <v>111</v>
      </c>
      <c r="D14" s="46">
        <f>6</f>
        <v>6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3"/>
  <sheetViews>
    <sheetView workbookViewId="0">
      <selection sqref="A1:XFD1048576"/>
    </sheetView>
  </sheetViews>
  <sheetFormatPr defaultRowHeight="15.75"/>
  <cols>
    <col min="1" max="1" width="14.7109375" style="91" customWidth="1"/>
    <col min="2" max="2" width="9.140625" style="89"/>
    <col min="3" max="3" width="22.28515625" style="89" bestFit="1" customWidth="1"/>
    <col min="4" max="4" width="9.140625" style="89"/>
    <col min="5" max="16384" width="9.140625" style="91"/>
  </cols>
  <sheetData>
    <row r="1" spans="1:4" ht="17.25">
      <c r="A1" s="88" t="s">
        <v>134</v>
      </c>
      <c r="C1" s="90"/>
    </row>
    <row r="2" spans="1:4" ht="17.25">
      <c r="C2" s="90">
        <v>44393</v>
      </c>
    </row>
    <row r="3" spans="1:4" ht="34.5">
      <c r="A3" s="131" t="s">
        <v>0</v>
      </c>
      <c r="B3" s="132" t="s">
        <v>1</v>
      </c>
      <c r="C3" s="133" t="s">
        <v>2</v>
      </c>
      <c r="D3" s="94" t="s">
        <v>119</v>
      </c>
    </row>
    <row r="4" spans="1:4" ht="17.25">
      <c r="B4" s="78">
        <v>343</v>
      </c>
      <c r="C4" s="81" t="s">
        <v>35</v>
      </c>
      <c r="D4" s="41">
        <f>40+29+42</f>
        <v>111</v>
      </c>
    </row>
    <row r="5" spans="1:4" ht="17.25">
      <c r="B5" s="5">
        <v>181</v>
      </c>
      <c r="C5" s="6" t="s">
        <v>71</v>
      </c>
      <c r="D5" s="13">
        <f>19+35</f>
        <v>54</v>
      </c>
    </row>
    <row r="6" spans="1:4" ht="17.25">
      <c r="B6" s="5">
        <v>52</v>
      </c>
      <c r="C6" s="6" t="s">
        <v>88</v>
      </c>
      <c r="D6" s="13">
        <f>14+24</f>
        <v>38</v>
      </c>
    </row>
    <row r="7" spans="1:4" ht="17.25">
      <c r="B7" s="3">
        <v>49</v>
      </c>
      <c r="C7" s="6" t="s">
        <v>85</v>
      </c>
      <c r="D7" s="12">
        <f>22+10</f>
        <v>32</v>
      </c>
    </row>
    <row r="8" spans="1:4" ht="17.25">
      <c r="B8" s="5">
        <v>58</v>
      </c>
      <c r="C8" s="102" t="s">
        <v>93</v>
      </c>
      <c r="D8" s="13">
        <f>29</f>
        <v>29</v>
      </c>
    </row>
    <row r="9" spans="1:4" ht="17.25">
      <c r="B9" s="5">
        <v>53</v>
      </c>
      <c r="C9" s="6" t="s">
        <v>83</v>
      </c>
      <c r="D9" s="13">
        <f>24</f>
        <v>24</v>
      </c>
    </row>
    <row r="10" spans="1:4" ht="17.25">
      <c r="B10" s="5">
        <v>45</v>
      </c>
      <c r="C10" s="6" t="s">
        <v>100</v>
      </c>
      <c r="D10" s="18">
        <f>19</f>
        <v>19</v>
      </c>
    </row>
    <row r="11" spans="1:4" ht="17.25"/>
    <row r="12" spans="1:4" ht="17.25"/>
    <row r="13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6"/>
  <sheetViews>
    <sheetView workbookViewId="0">
      <selection activeCell="F13" sqref="F13"/>
    </sheetView>
  </sheetViews>
  <sheetFormatPr defaultRowHeight="15.75"/>
  <cols>
    <col min="1" max="1" width="14.7109375" style="91" customWidth="1"/>
    <col min="2" max="2" width="9.140625" style="91"/>
    <col min="3" max="3" width="25" style="91" customWidth="1"/>
    <col min="4" max="16384" width="9.140625" style="91"/>
  </cols>
  <sheetData>
    <row r="1" spans="1:4" ht="17.25">
      <c r="A1" s="88" t="s">
        <v>135</v>
      </c>
    </row>
    <row r="2" spans="1:4" ht="17.25">
      <c r="C2" s="96">
        <v>44393</v>
      </c>
    </row>
    <row r="3" spans="1:4" ht="34.5">
      <c r="A3" s="92" t="s">
        <v>0</v>
      </c>
      <c r="B3" s="97" t="s">
        <v>1</v>
      </c>
      <c r="C3" s="93" t="s">
        <v>2</v>
      </c>
      <c r="D3" s="130" t="s">
        <v>119</v>
      </c>
    </row>
    <row r="4" spans="1:4" ht="17.25">
      <c r="B4" s="15">
        <v>23</v>
      </c>
      <c r="C4" s="16" t="s">
        <v>40</v>
      </c>
      <c r="D4" s="31">
        <f>25+42.5+45.5+44.5</f>
        <v>157.5</v>
      </c>
    </row>
    <row r="5" spans="1:4" ht="17.25">
      <c r="B5" s="3">
        <v>272</v>
      </c>
      <c r="C5" s="6" t="s">
        <v>50</v>
      </c>
      <c r="D5" s="8">
        <f>44.5+38.5+37.5</f>
        <v>120.5</v>
      </c>
    </row>
    <row r="6" spans="1:4" ht="17.25">
      <c r="B6" s="4">
        <v>46</v>
      </c>
      <c r="C6" s="6" t="s">
        <v>53</v>
      </c>
      <c r="D6" s="8">
        <f>38+10.5+27.5+24</f>
        <v>100</v>
      </c>
    </row>
    <row r="7" spans="1:4" ht="17.25">
      <c r="B7" s="3">
        <v>48</v>
      </c>
      <c r="C7" s="6" t="s">
        <v>64</v>
      </c>
      <c r="D7" s="8">
        <f>32.5+32.5+24</f>
        <v>89</v>
      </c>
    </row>
    <row r="8" spans="1:4" ht="17.25">
      <c r="B8" s="3">
        <v>901</v>
      </c>
      <c r="C8" s="11" t="s">
        <v>59</v>
      </c>
      <c r="D8" s="36">
        <f>13+19.5+20+14.5</f>
        <v>67</v>
      </c>
    </row>
    <row r="9" spans="1:4" ht="17.25">
      <c r="B9" s="3">
        <v>914</v>
      </c>
      <c r="C9" s="11" t="s">
        <v>73</v>
      </c>
      <c r="D9" s="36">
        <f>22.5+27+9</f>
        <v>58.5</v>
      </c>
    </row>
    <row r="10" spans="1:4" ht="17.25">
      <c r="B10" s="5">
        <v>339</v>
      </c>
      <c r="C10" s="10" t="s">
        <v>82</v>
      </c>
      <c r="D10" s="8">
        <f>8+6+14.5</f>
        <v>28.5</v>
      </c>
    </row>
    <row r="11" spans="1:4" ht="17.25">
      <c r="B11" s="3">
        <v>213</v>
      </c>
      <c r="C11" s="10" t="s">
        <v>61</v>
      </c>
      <c r="D11" s="36">
        <f>8.5+5.5+8</f>
        <v>22</v>
      </c>
    </row>
    <row r="12" spans="1:4" ht="17.25">
      <c r="B12" s="5">
        <v>810</v>
      </c>
      <c r="C12" s="6" t="s">
        <v>101</v>
      </c>
      <c r="D12" s="13">
        <f>13.5+5</f>
        <v>18.5</v>
      </c>
    </row>
    <row r="13" spans="1:4" ht="17.25">
      <c r="B13" s="3">
        <v>806</v>
      </c>
      <c r="C13" s="11" t="s">
        <v>103</v>
      </c>
      <c r="D13" s="36">
        <f>8.5+5</f>
        <v>13.5</v>
      </c>
    </row>
    <row r="14" spans="1:4" ht="17.25">
      <c r="B14" s="3">
        <v>479</v>
      </c>
      <c r="C14" s="6" t="s">
        <v>113</v>
      </c>
      <c r="D14" s="8">
        <f>3</f>
        <v>3</v>
      </c>
    </row>
    <row r="15" spans="1:4" ht="17.25">
      <c r="B15" s="5">
        <v>868</v>
      </c>
      <c r="C15" s="6" t="s">
        <v>114</v>
      </c>
      <c r="D15" s="13">
        <f>2.5</f>
        <v>2.5</v>
      </c>
    </row>
    <row r="16" spans="1:4" ht="17.25">
      <c r="B16" s="3">
        <v>412</v>
      </c>
      <c r="C16" s="6" t="s">
        <v>116</v>
      </c>
      <c r="D16" s="46">
        <f>1.5</f>
        <v>1.5</v>
      </c>
    </row>
  </sheetData>
  <sortState xmlns:xlrd2="http://schemas.microsoft.com/office/spreadsheetml/2017/richdata2" ref="B4:D16">
    <sortCondition descending="1" ref="D4:D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10"/>
  <sheetViews>
    <sheetView workbookViewId="0">
      <selection activeCell="C1" sqref="C1"/>
    </sheetView>
  </sheetViews>
  <sheetFormatPr defaultRowHeight="15.75"/>
  <cols>
    <col min="1" max="1" width="14.7109375" style="91" customWidth="1"/>
    <col min="2" max="2" width="9.140625" style="89"/>
    <col min="3" max="3" width="27.5703125" style="89" bestFit="1" customWidth="1"/>
    <col min="4" max="4" width="9.140625" style="89"/>
    <col min="5" max="16384" width="9.140625" style="91"/>
  </cols>
  <sheetData>
    <row r="1" spans="1:4" ht="17.25">
      <c r="A1" s="88" t="s">
        <v>136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7" t="s">
        <v>2</v>
      </c>
      <c r="D3" s="128" t="s">
        <v>119</v>
      </c>
    </row>
    <row r="4" spans="1:4" ht="17.25">
      <c r="B4" s="15">
        <v>676</v>
      </c>
      <c r="C4" s="16" t="s">
        <v>60</v>
      </c>
      <c r="D4" s="31">
        <f>0.5+38+39</f>
        <v>77.5</v>
      </c>
    </row>
    <row r="5" spans="1:4" ht="17.25">
      <c r="B5" s="78">
        <v>213</v>
      </c>
      <c r="C5" s="119" t="s">
        <v>61</v>
      </c>
      <c r="D5" s="129">
        <f>16+25+29</f>
        <v>70</v>
      </c>
    </row>
    <row r="6" spans="1:4" ht="17.25">
      <c r="B6" s="5">
        <v>393</v>
      </c>
      <c r="C6" s="6" t="s">
        <v>137</v>
      </c>
      <c r="D6" s="13">
        <f>31.5+29</f>
        <v>60.5</v>
      </c>
    </row>
    <row r="7" spans="1:4" ht="17.25">
      <c r="B7" s="5">
        <v>149</v>
      </c>
      <c r="C7" s="11" t="s">
        <v>89</v>
      </c>
      <c r="D7" s="36">
        <f>37.5</f>
        <v>37.5</v>
      </c>
    </row>
    <row r="8" spans="1:4" ht="17.25">
      <c r="B8" s="5">
        <v>219</v>
      </c>
      <c r="C8" s="86" t="s">
        <v>107</v>
      </c>
      <c r="D8" s="13">
        <f>11</f>
        <v>11</v>
      </c>
    </row>
    <row r="9" spans="1:4" ht="17.25">
      <c r="B9" s="5">
        <v>202</v>
      </c>
      <c r="C9" s="86" t="s">
        <v>110</v>
      </c>
      <c r="D9" s="18">
        <f>8.5</f>
        <v>8.5</v>
      </c>
    </row>
    <row r="10" spans="1:4" ht="17.25"/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7"/>
  <sheetViews>
    <sheetView workbookViewId="0">
      <selection activeCell="C1" sqref="C1"/>
    </sheetView>
  </sheetViews>
  <sheetFormatPr defaultRowHeight="15.75"/>
  <cols>
    <col min="1" max="1" width="14.7109375" style="91" customWidth="1"/>
    <col min="2" max="2" width="9.140625" style="91"/>
    <col min="3" max="3" width="22" style="91" bestFit="1" customWidth="1"/>
    <col min="4" max="16384" width="9.140625" style="91"/>
  </cols>
  <sheetData>
    <row r="1" spans="1:4" ht="17.25">
      <c r="A1" s="88" t="s">
        <v>138</v>
      </c>
      <c r="C1" s="96"/>
    </row>
    <row r="2" spans="1:4" ht="17.25">
      <c r="C2" s="96">
        <v>44393</v>
      </c>
    </row>
    <row r="3" spans="1:4" ht="34.5">
      <c r="A3" s="92" t="s">
        <v>0</v>
      </c>
      <c r="B3" s="97" t="s">
        <v>1</v>
      </c>
      <c r="C3" s="97" t="s">
        <v>2</v>
      </c>
      <c r="D3" s="127" t="s">
        <v>119</v>
      </c>
    </row>
    <row r="4" spans="1:4" ht="17.25">
      <c r="B4" s="15">
        <v>230</v>
      </c>
      <c r="C4" s="16" t="s">
        <v>52</v>
      </c>
      <c r="D4" s="62">
        <f>19+38.5+31</f>
        <v>88.5</v>
      </c>
    </row>
    <row r="5" spans="1:4" ht="17.25">
      <c r="B5" s="4">
        <v>81</v>
      </c>
      <c r="C5" s="6" t="s">
        <v>72</v>
      </c>
      <c r="D5" s="9">
        <f>0.5+31.5+38</f>
        <v>70</v>
      </c>
    </row>
    <row r="6" spans="1:4" ht="17.25">
      <c r="B6" s="3">
        <v>826</v>
      </c>
      <c r="C6" s="6" t="s">
        <v>80</v>
      </c>
      <c r="D6" s="8">
        <f>25.5+25</f>
        <v>50.5</v>
      </c>
    </row>
    <row r="7" spans="1:4" ht="17.25">
      <c r="B7" s="5">
        <v>71</v>
      </c>
      <c r="C7" s="6" t="s">
        <v>117</v>
      </c>
      <c r="D7" s="18">
        <v>0.5</v>
      </c>
    </row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7"/>
  <sheetViews>
    <sheetView workbookViewId="0">
      <selection activeCell="C11" sqref="C11"/>
    </sheetView>
  </sheetViews>
  <sheetFormatPr defaultRowHeight="15.75"/>
  <cols>
    <col min="1" max="1" width="14.7109375" style="110" customWidth="1"/>
    <col min="2" max="2" width="9.140625" style="107"/>
    <col min="3" max="3" width="23.140625" style="107" bestFit="1" customWidth="1"/>
    <col min="4" max="4" width="9.140625" style="107"/>
    <col min="5" max="16384" width="9.140625" style="110"/>
  </cols>
  <sheetData>
    <row r="1" spans="1:4" ht="17.25">
      <c r="A1" s="109" t="s">
        <v>139</v>
      </c>
      <c r="C1" s="90"/>
    </row>
    <row r="2" spans="1:4" ht="17.25">
      <c r="C2" s="125">
        <v>44393</v>
      </c>
    </row>
    <row r="3" spans="1:4" ht="34.5">
      <c r="A3" s="112" t="s">
        <v>0</v>
      </c>
      <c r="B3" s="118" t="s">
        <v>1</v>
      </c>
      <c r="C3" s="118" t="s">
        <v>2</v>
      </c>
      <c r="D3" s="126" t="s">
        <v>119</v>
      </c>
    </row>
    <row r="4" spans="1:4" ht="17.25">
      <c r="B4" s="63">
        <v>829</v>
      </c>
      <c r="C4" s="74" t="s">
        <v>140</v>
      </c>
      <c r="D4" s="71">
        <f>14+25+17+25+30+37+37</f>
        <v>185</v>
      </c>
    </row>
    <row r="5" spans="1:4" ht="17.25">
      <c r="B5" s="63">
        <v>864</v>
      </c>
      <c r="C5" s="74" t="s">
        <v>104</v>
      </c>
      <c r="D5" s="72">
        <f>29+31+33+31</f>
        <v>124</v>
      </c>
    </row>
    <row r="6" spans="1:4" ht="17.25">
      <c r="B6" s="63">
        <v>800</v>
      </c>
      <c r="C6" s="74" t="s">
        <v>141</v>
      </c>
      <c r="D6" s="72">
        <f>19+38+37</f>
        <v>94</v>
      </c>
    </row>
    <row r="7" spans="1:4" ht="17.25">
      <c r="B7" s="63">
        <v>869</v>
      </c>
      <c r="C7" s="74" t="s">
        <v>142</v>
      </c>
      <c r="D7" s="73">
        <f>35</f>
        <v>35</v>
      </c>
    </row>
  </sheetData>
  <sortState xmlns:xlrd2="http://schemas.microsoft.com/office/spreadsheetml/2017/richdata2" ref="B3:D7">
    <sortCondition descending="1" ref="D3:D7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5"/>
  <sheetViews>
    <sheetView workbookViewId="0">
      <selection activeCell="C1" sqref="C1"/>
    </sheetView>
  </sheetViews>
  <sheetFormatPr defaultRowHeight="15.75"/>
  <cols>
    <col min="1" max="1" width="14.7109375" style="110" customWidth="1"/>
    <col min="2" max="2" width="9.140625" style="110"/>
    <col min="3" max="3" width="25.42578125" style="110" customWidth="1"/>
    <col min="4" max="16384" width="9.140625" style="110"/>
  </cols>
  <sheetData>
    <row r="1" spans="1:4" ht="17.25">
      <c r="A1" s="109" t="s">
        <v>143</v>
      </c>
      <c r="C1" s="96"/>
    </row>
    <row r="2" spans="1:4" ht="17.25">
      <c r="C2" s="111">
        <v>44393</v>
      </c>
    </row>
    <row r="3" spans="1:4" ht="34.5">
      <c r="A3" s="112" t="s">
        <v>0</v>
      </c>
      <c r="B3" s="113" t="s">
        <v>1</v>
      </c>
      <c r="C3" s="113" t="s">
        <v>2</v>
      </c>
      <c r="D3" s="114" t="s">
        <v>119</v>
      </c>
    </row>
    <row r="4" spans="1:4" ht="17.25">
      <c r="B4" s="116">
        <v>900</v>
      </c>
      <c r="C4" s="45" t="s">
        <v>144</v>
      </c>
      <c r="D4" s="117">
        <f>22+25+39+37+33+32+42</f>
        <v>230</v>
      </c>
    </row>
    <row r="5" spans="1:4" ht="17.25">
      <c r="B5" s="38">
        <v>807</v>
      </c>
      <c r="C5" s="6" t="s">
        <v>145</v>
      </c>
      <c r="D5" s="39">
        <f>41+48+51+38</f>
        <v>178</v>
      </c>
    </row>
    <row r="6" spans="1:4" ht="17.25">
      <c r="B6" s="64">
        <v>969</v>
      </c>
      <c r="C6" s="69" t="s">
        <v>146</v>
      </c>
      <c r="D6" s="67">
        <f>18+41+35+1+42+38</f>
        <v>175</v>
      </c>
    </row>
    <row r="7" spans="1:4" ht="17.25">
      <c r="B7" s="65">
        <v>905</v>
      </c>
      <c r="C7" s="69" t="s">
        <v>147</v>
      </c>
      <c r="D7" s="66">
        <f>27+13+27+44+17+35</f>
        <v>163</v>
      </c>
    </row>
    <row r="8" spans="1:4" ht="17.25">
      <c r="B8" s="65">
        <v>824</v>
      </c>
      <c r="C8" s="69" t="s">
        <v>148</v>
      </c>
      <c r="D8" s="66">
        <f>37+55+19+45</f>
        <v>156</v>
      </c>
    </row>
    <row r="9" spans="1:4" ht="17.25">
      <c r="B9" s="65">
        <v>913</v>
      </c>
      <c r="C9" s="69" t="s">
        <v>149</v>
      </c>
      <c r="D9" s="66">
        <f>43+30+1+1+23+10+19</f>
        <v>127</v>
      </c>
    </row>
    <row r="10" spans="1:4" ht="17.25">
      <c r="B10" s="64">
        <v>916</v>
      </c>
      <c r="C10" s="69" t="s">
        <v>150</v>
      </c>
      <c r="D10" s="67">
        <f>12+28+10+8+12+13+13+29</f>
        <v>125</v>
      </c>
    </row>
    <row r="11" spans="1:4" ht="17.25">
      <c r="B11" s="64">
        <v>827</v>
      </c>
      <c r="C11" s="69" t="s">
        <v>151</v>
      </c>
      <c r="D11" s="67">
        <f>23+3+23+14+10+27+24</f>
        <v>124</v>
      </c>
    </row>
    <row r="12" spans="1:4" ht="17.25">
      <c r="B12" s="65">
        <v>802</v>
      </c>
      <c r="C12" s="69" t="s">
        <v>102</v>
      </c>
      <c r="D12" s="66">
        <f>32+34+32</f>
        <v>98</v>
      </c>
    </row>
    <row r="13" spans="1:4" ht="17.25">
      <c r="B13" s="64">
        <v>907</v>
      </c>
      <c r="C13" s="70" t="s">
        <v>152</v>
      </c>
      <c r="D13" s="67">
        <f>5+28+17+1+22+14</f>
        <v>87</v>
      </c>
    </row>
    <row r="14" spans="1:4" ht="17.25">
      <c r="B14" s="65">
        <v>816</v>
      </c>
      <c r="C14" s="70" t="s">
        <v>153</v>
      </c>
      <c r="D14" s="66">
        <f>20+14+10+8+4</f>
        <v>56</v>
      </c>
    </row>
    <row r="15" spans="1:4" ht="17.25">
      <c r="B15" s="65">
        <v>821</v>
      </c>
      <c r="C15" s="69" t="s">
        <v>98</v>
      </c>
      <c r="D15" s="66">
        <f>50</f>
        <v>50</v>
      </c>
    </row>
    <row r="16" spans="1:4" ht="17.25">
      <c r="B16" s="38">
        <v>810</v>
      </c>
      <c r="C16" s="6" t="s">
        <v>101</v>
      </c>
      <c r="D16" s="39">
        <f>20+28</f>
        <v>48</v>
      </c>
    </row>
    <row r="17" spans="2:4" ht="17.25">
      <c r="B17" s="38">
        <v>815</v>
      </c>
      <c r="C17" s="6" t="s">
        <v>154</v>
      </c>
      <c r="D17" s="39">
        <f>8+5+7+10</f>
        <v>30</v>
      </c>
    </row>
    <row r="18" spans="2:4" ht="17.25">
      <c r="B18" s="64">
        <v>808</v>
      </c>
      <c r="C18" s="69" t="s">
        <v>155</v>
      </c>
      <c r="D18" s="67">
        <f>9+18</f>
        <v>27</v>
      </c>
    </row>
    <row r="19" spans="2:4" ht="17.25">
      <c r="B19" s="65">
        <v>911</v>
      </c>
      <c r="C19" s="69" t="s">
        <v>156</v>
      </c>
      <c r="D19" s="67">
        <f>5+6</f>
        <v>11</v>
      </c>
    </row>
    <row r="20" spans="2:4" ht="17.25">
      <c r="B20" s="38">
        <v>870</v>
      </c>
      <c r="C20" s="6" t="s">
        <v>157</v>
      </c>
      <c r="D20" s="39">
        <f>7</f>
        <v>7</v>
      </c>
    </row>
    <row r="21" spans="2:4" ht="17.25">
      <c r="B21" s="38">
        <v>977</v>
      </c>
      <c r="C21" s="6" t="s">
        <v>158</v>
      </c>
      <c r="D21" s="39">
        <f>4+3</f>
        <v>7</v>
      </c>
    </row>
    <row r="22" spans="2:4" ht="17.25">
      <c r="B22" s="38">
        <v>999</v>
      </c>
      <c r="C22" s="6" t="s">
        <v>159</v>
      </c>
      <c r="D22" s="39">
        <f>5</f>
        <v>5</v>
      </c>
    </row>
    <row r="23" spans="2:4" ht="17.25">
      <c r="B23" s="65">
        <v>903</v>
      </c>
      <c r="C23" s="69" t="s">
        <v>160</v>
      </c>
      <c r="D23" s="66">
        <f>1+1</f>
        <v>2</v>
      </c>
    </row>
    <row r="24" spans="2:4" ht="17.25">
      <c r="B24" s="64">
        <v>812</v>
      </c>
      <c r="C24" s="70" t="s">
        <v>161</v>
      </c>
      <c r="D24" s="67">
        <f>2</f>
        <v>2</v>
      </c>
    </row>
    <row r="25" spans="2:4" ht="17.25">
      <c r="B25" s="65">
        <v>818</v>
      </c>
      <c r="C25" s="69" t="s">
        <v>100</v>
      </c>
      <c r="D25" s="68">
        <f>1</f>
        <v>1</v>
      </c>
    </row>
  </sheetData>
  <sortState xmlns:xlrd2="http://schemas.microsoft.com/office/spreadsheetml/2017/richdata2" ref="B4:D25">
    <sortCondition descending="1" ref="D4:D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1"/>
  <sheetViews>
    <sheetView topLeftCell="A8" workbookViewId="0">
      <selection activeCell="D19" sqref="D19"/>
    </sheetView>
  </sheetViews>
  <sheetFormatPr defaultRowHeight="15.75"/>
  <cols>
    <col min="1" max="1" width="12" style="91" customWidth="1"/>
    <col min="2" max="2" width="9.140625" style="89"/>
    <col min="3" max="3" width="21.85546875" style="91" customWidth="1"/>
    <col min="4" max="4" width="9.140625" style="95"/>
    <col min="5" max="16384" width="9.140625" style="91"/>
  </cols>
  <sheetData>
    <row r="1" spans="1:4" ht="17.25">
      <c r="A1" s="88" t="s">
        <v>118</v>
      </c>
    </row>
    <row r="2" spans="1:4" ht="17.25">
      <c r="A2" s="88"/>
      <c r="C2" s="96">
        <v>44393</v>
      </c>
    </row>
    <row r="3" spans="1:4" ht="34.5">
      <c r="A3" s="92" t="s">
        <v>0</v>
      </c>
      <c r="B3" s="97" t="s">
        <v>1</v>
      </c>
      <c r="C3" s="93" t="s">
        <v>2</v>
      </c>
      <c r="D3" s="98" t="s">
        <v>119</v>
      </c>
    </row>
    <row r="4" spans="1:4" ht="17.25">
      <c r="B4" s="15" t="s">
        <v>22</v>
      </c>
      <c r="C4" s="16" t="s">
        <v>23</v>
      </c>
      <c r="D4" s="7">
        <f>94+78+100</f>
        <v>272</v>
      </c>
    </row>
    <row r="5" spans="1:4" ht="17.25">
      <c r="B5" s="3">
        <v>2</v>
      </c>
      <c r="C5" s="6" t="s">
        <v>21</v>
      </c>
      <c r="D5" s="9">
        <f>63+50+65+76</f>
        <v>254</v>
      </c>
    </row>
    <row r="6" spans="1:4" ht="17.25">
      <c r="B6" s="3">
        <v>1</v>
      </c>
      <c r="C6" s="6" t="s">
        <v>20</v>
      </c>
      <c r="D6" s="9">
        <f>41+78+42+90</f>
        <v>251</v>
      </c>
    </row>
    <row r="7" spans="1:4" ht="17.25">
      <c r="B7" s="5" t="s">
        <v>25</v>
      </c>
      <c r="C7" s="6" t="s">
        <v>26</v>
      </c>
      <c r="D7" s="8">
        <f>63+77+64</f>
        <v>204</v>
      </c>
    </row>
    <row r="8" spans="1:4" ht="17.25">
      <c r="B8" s="3">
        <v>4</v>
      </c>
      <c r="C8" s="6" t="s">
        <v>24</v>
      </c>
      <c r="D8" s="9">
        <f>41+31+45+64</f>
        <v>181</v>
      </c>
    </row>
    <row r="9" spans="1:4" ht="17.25">
      <c r="B9" s="3">
        <v>38</v>
      </c>
      <c r="C9" s="6" t="s">
        <v>30</v>
      </c>
      <c r="D9" s="9">
        <f>45+49+54</f>
        <v>148</v>
      </c>
    </row>
    <row r="10" spans="1:4" ht="17.25">
      <c r="B10" s="3">
        <v>29</v>
      </c>
      <c r="C10" s="6" t="s">
        <v>37</v>
      </c>
      <c r="D10" s="9">
        <f>38+74</f>
        <v>112</v>
      </c>
    </row>
    <row r="11" spans="1:4" ht="17.25">
      <c r="B11" s="4">
        <v>284</v>
      </c>
      <c r="C11" s="10" t="s">
        <v>34</v>
      </c>
      <c r="D11" s="9">
        <f>30+13+12+44</f>
        <v>99</v>
      </c>
    </row>
    <row r="12" spans="1:4" ht="17.25">
      <c r="B12" s="3">
        <v>82</v>
      </c>
      <c r="C12" s="6" t="s">
        <v>42</v>
      </c>
      <c r="D12" s="9">
        <f>18+15+21+34</f>
        <v>88</v>
      </c>
    </row>
    <row r="13" spans="1:4" ht="17.25">
      <c r="B13" s="3">
        <v>73</v>
      </c>
      <c r="C13" s="6" t="s">
        <v>27</v>
      </c>
      <c r="D13" s="9">
        <f>18+24+19</f>
        <v>61</v>
      </c>
    </row>
    <row r="14" spans="1:4" ht="17.25">
      <c r="B14" s="3">
        <v>121</v>
      </c>
      <c r="C14" s="6" t="s">
        <v>69</v>
      </c>
      <c r="D14" s="9">
        <f>48+1</f>
        <v>49</v>
      </c>
    </row>
    <row r="15" spans="1:4" ht="17.25">
      <c r="B15" s="3">
        <v>97</v>
      </c>
      <c r="C15" s="6" t="s">
        <v>47</v>
      </c>
      <c r="D15" s="9">
        <f>12+5+26</f>
        <v>43</v>
      </c>
    </row>
    <row r="16" spans="1:4" ht="17.25">
      <c r="B16" s="5">
        <v>340</v>
      </c>
      <c r="C16" s="6" t="s">
        <v>65</v>
      </c>
      <c r="D16" s="13">
        <f>6+20</f>
        <v>26</v>
      </c>
    </row>
    <row r="17" spans="2:4" ht="17.25">
      <c r="B17" s="3">
        <v>314</v>
      </c>
      <c r="C17" s="11" t="s">
        <v>78</v>
      </c>
      <c r="D17" s="12">
        <f>10+7+8</f>
        <v>25</v>
      </c>
    </row>
    <row r="18" spans="2:4" ht="17.25">
      <c r="B18" s="5">
        <v>343</v>
      </c>
      <c r="C18" s="99" t="s">
        <v>35</v>
      </c>
      <c r="D18" s="13">
        <v>14</v>
      </c>
    </row>
    <row r="19" spans="2:4" ht="17.25">
      <c r="B19" s="80">
        <v>78</v>
      </c>
      <c r="C19" s="81" t="s">
        <v>44</v>
      </c>
      <c r="D19" s="82">
        <f>9</f>
        <v>9</v>
      </c>
    </row>
    <row r="20" spans="2:4" ht="17.25">
      <c r="B20" s="3">
        <v>56</v>
      </c>
      <c r="C20" s="11" t="s">
        <v>115</v>
      </c>
      <c r="D20" s="14">
        <f>1</f>
        <v>1</v>
      </c>
    </row>
    <row r="21" spans="2:4" ht="17.25"/>
  </sheetData>
  <sortState xmlns:xlrd2="http://schemas.microsoft.com/office/spreadsheetml/2017/richdata2" ref="B4:D20">
    <sortCondition descending="1" ref="D4:D20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1"/>
  <sheetViews>
    <sheetView workbookViewId="0">
      <selection activeCell="C6" sqref="C6"/>
    </sheetView>
  </sheetViews>
  <sheetFormatPr defaultRowHeight="15.75"/>
  <cols>
    <col min="1" max="1" width="14.7109375" style="110" customWidth="1"/>
    <col min="2" max="2" width="9.140625" style="107"/>
    <col min="3" max="3" width="22.5703125" style="107" bestFit="1" customWidth="1"/>
    <col min="4" max="4" width="9.140625" style="107"/>
    <col min="5" max="16384" width="9.140625" style="110"/>
  </cols>
  <sheetData>
    <row r="1" spans="1:4" ht="17.25">
      <c r="A1" s="109" t="s">
        <v>162</v>
      </c>
      <c r="C1" s="90"/>
    </row>
    <row r="2" spans="1:4" ht="17.25">
      <c r="C2" s="90">
        <v>44393</v>
      </c>
    </row>
    <row r="3" spans="1:4" ht="34.5">
      <c r="A3" s="112" t="s">
        <v>0</v>
      </c>
      <c r="B3" s="113" t="s">
        <v>1</v>
      </c>
      <c r="C3" s="106" t="s">
        <v>2</v>
      </c>
      <c r="D3" s="123" t="s">
        <v>119</v>
      </c>
    </row>
    <row r="4" spans="1:4" ht="17.25">
      <c r="B4" s="108">
        <v>24</v>
      </c>
      <c r="C4" s="124" t="s">
        <v>81</v>
      </c>
      <c r="D4" s="105">
        <f>33+41</f>
        <v>74</v>
      </c>
    </row>
    <row r="5" spans="1:4" ht="17.25">
      <c r="B5" s="5">
        <v>314</v>
      </c>
      <c r="C5" s="6" t="s">
        <v>78</v>
      </c>
      <c r="D5" s="39">
        <f>27+28</f>
        <v>55</v>
      </c>
    </row>
    <row r="6" spans="1:4" ht="17.25">
      <c r="B6" s="38">
        <v>97</v>
      </c>
      <c r="C6" s="86" t="s">
        <v>47</v>
      </c>
      <c r="D6" s="39">
        <f>34</f>
        <v>34</v>
      </c>
    </row>
    <row r="7" spans="1:4" ht="17.25">
      <c r="B7" s="38">
        <v>61</v>
      </c>
      <c r="C7" s="86" t="s">
        <v>99</v>
      </c>
      <c r="D7" s="39">
        <f>23</f>
        <v>23</v>
      </c>
    </row>
    <row r="8" spans="1:4" ht="17.25">
      <c r="B8" s="5">
        <v>397</v>
      </c>
      <c r="C8" s="6" t="s">
        <v>91</v>
      </c>
      <c r="D8" s="39">
        <f>22</f>
        <v>22</v>
      </c>
    </row>
    <row r="9" spans="1:4" ht="17.25">
      <c r="B9" s="5">
        <v>432</v>
      </c>
      <c r="C9" s="6" t="s">
        <v>104</v>
      </c>
      <c r="D9" s="39">
        <f>17+1</f>
        <v>18</v>
      </c>
    </row>
    <row r="10" spans="1:4" ht="17.25">
      <c r="B10" s="38"/>
      <c r="C10" s="86" t="s">
        <v>112</v>
      </c>
      <c r="D10" s="40">
        <f>1</f>
        <v>1</v>
      </c>
    </row>
    <row r="11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8"/>
  <sheetViews>
    <sheetView workbookViewId="0">
      <selection activeCell="D5" sqref="D5"/>
    </sheetView>
  </sheetViews>
  <sheetFormatPr defaultRowHeight="15.75"/>
  <cols>
    <col min="1" max="1" width="14.7109375" style="110" customWidth="1"/>
    <col min="2" max="2" width="9.140625" style="107"/>
    <col min="3" max="3" width="19.28515625" style="107" bestFit="1" customWidth="1"/>
    <col min="4" max="4" width="9.140625" style="107"/>
    <col min="5" max="16384" width="9.140625" style="110"/>
  </cols>
  <sheetData>
    <row r="1" spans="1:4" ht="17.25">
      <c r="A1" s="109" t="s">
        <v>163</v>
      </c>
    </row>
    <row r="2" spans="1:4" ht="17.25">
      <c r="C2" s="122">
        <v>44393</v>
      </c>
      <c r="D2" s="110"/>
    </row>
    <row r="3" spans="1:4" ht="34.5">
      <c r="A3" s="112" t="s">
        <v>0</v>
      </c>
      <c r="B3" s="113" t="s">
        <v>1</v>
      </c>
      <c r="C3" s="106" t="s">
        <v>2</v>
      </c>
      <c r="D3" s="123" t="s">
        <v>119</v>
      </c>
    </row>
    <row r="4" spans="1:4" ht="17.25">
      <c r="B4" s="103">
        <v>339</v>
      </c>
      <c r="C4" s="104" t="s">
        <v>82</v>
      </c>
      <c r="D4" s="105">
        <f>36+31+26</f>
        <v>93</v>
      </c>
    </row>
    <row r="5" spans="1:4" ht="17.25">
      <c r="B5" s="38">
        <v>45</v>
      </c>
      <c r="C5" s="6" t="s">
        <v>100</v>
      </c>
      <c r="D5" s="39">
        <f>38+39</f>
        <v>77</v>
      </c>
    </row>
    <row r="6" spans="1:4" ht="17.25">
      <c r="B6" s="38">
        <v>289</v>
      </c>
      <c r="C6" s="86" t="s">
        <v>164</v>
      </c>
      <c r="D6" s="39">
        <f>32</f>
        <v>32</v>
      </c>
    </row>
    <row r="7" spans="1:4" ht="17.25">
      <c r="B7" s="38">
        <v>131</v>
      </c>
      <c r="C7" s="6" t="s">
        <v>165</v>
      </c>
      <c r="D7" s="40">
        <f>25</f>
        <v>25</v>
      </c>
    </row>
    <row r="8" spans="1:4" ht="17.25"/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38"/>
  <sheetViews>
    <sheetView topLeftCell="C24" workbookViewId="0">
      <selection activeCell="C3" sqref="C3"/>
    </sheetView>
  </sheetViews>
  <sheetFormatPr defaultRowHeight="15.75"/>
  <cols>
    <col min="1" max="1" width="12.5703125" style="91" customWidth="1"/>
    <col min="2" max="2" width="9.140625" style="89"/>
    <col min="3" max="3" width="22.85546875" style="89" customWidth="1"/>
    <col min="4" max="4" width="9.140625" style="89"/>
    <col min="5" max="16384" width="9.140625" style="91"/>
  </cols>
  <sheetData>
    <row r="1" spans="1:4" ht="17.25">
      <c r="A1" s="88" t="s">
        <v>120</v>
      </c>
      <c r="C1" s="90"/>
    </row>
    <row r="2" spans="1:4" ht="17.25">
      <c r="A2" s="88"/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15">
        <v>1</v>
      </c>
      <c r="C4" s="16" t="s">
        <v>20</v>
      </c>
      <c r="D4" s="17">
        <f>55+43+60+53</f>
        <v>211</v>
      </c>
    </row>
    <row r="5" spans="1:4" ht="17.25">
      <c r="B5" s="3">
        <v>4</v>
      </c>
      <c r="C5" s="6" t="s">
        <v>24</v>
      </c>
      <c r="D5" s="12">
        <f>37+47+35</f>
        <v>119</v>
      </c>
    </row>
    <row r="6" spans="1:4" ht="17.25">
      <c r="B6" s="3">
        <v>73</v>
      </c>
      <c r="C6" s="6" t="s">
        <v>27</v>
      </c>
      <c r="D6" s="12">
        <f>32+36+42</f>
        <v>110</v>
      </c>
    </row>
    <row r="7" spans="1:4" ht="17.25">
      <c r="B7" s="4">
        <v>284</v>
      </c>
      <c r="C7" s="10" t="s">
        <v>34</v>
      </c>
      <c r="D7" s="12">
        <f>27+20+25+30</f>
        <v>102</v>
      </c>
    </row>
    <row r="8" spans="1:4" ht="17.25">
      <c r="B8" s="3">
        <v>2</v>
      </c>
      <c r="C8" s="6" t="s">
        <v>21</v>
      </c>
      <c r="D8" s="12">
        <f>1+1+53+40</f>
        <v>95</v>
      </c>
    </row>
    <row r="9" spans="1:4" ht="17.25">
      <c r="B9" s="5">
        <v>90</v>
      </c>
      <c r="C9" s="6" t="s">
        <v>41</v>
      </c>
      <c r="D9" s="13">
        <f>37+46</f>
        <v>83</v>
      </c>
    </row>
    <row r="10" spans="1:4" ht="17.25">
      <c r="B10" s="3">
        <v>84</v>
      </c>
      <c r="C10" s="6" t="s">
        <v>38</v>
      </c>
      <c r="D10" s="12">
        <f>14+30+22+8</f>
        <v>74</v>
      </c>
    </row>
    <row r="11" spans="1:4" ht="17.25">
      <c r="B11" s="3">
        <v>6</v>
      </c>
      <c r="C11" s="6" t="s">
        <v>46</v>
      </c>
      <c r="D11" s="12">
        <f>20+11+15+15</f>
        <v>61</v>
      </c>
    </row>
    <row r="12" spans="1:4" ht="17.25">
      <c r="B12" s="5">
        <v>126</v>
      </c>
      <c r="C12" s="6" t="s">
        <v>57</v>
      </c>
      <c r="D12" s="12">
        <f>12+25+12+10</f>
        <v>59</v>
      </c>
    </row>
    <row r="13" spans="1:4" ht="17.25">
      <c r="B13" s="5">
        <v>340</v>
      </c>
      <c r="C13" s="6" t="s">
        <v>65</v>
      </c>
      <c r="D13" s="13">
        <f>32+21</f>
        <v>53</v>
      </c>
    </row>
    <row r="14" spans="1:4" ht="17.25">
      <c r="B14" s="5">
        <v>66</v>
      </c>
      <c r="C14" s="6" t="s">
        <v>54</v>
      </c>
      <c r="D14" s="13">
        <f>28+25</f>
        <v>53</v>
      </c>
    </row>
    <row r="15" spans="1:4" ht="17.25">
      <c r="B15" s="3">
        <v>29</v>
      </c>
      <c r="C15" s="6" t="s">
        <v>37</v>
      </c>
      <c r="D15" s="12">
        <f>48</f>
        <v>48</v>
      </c>
    </row>
    <row r="16" spans="1:4" ht="17.25">
      <c r="B16" s="3">
        <v>77</v>
      </c>
      <c r="C16" s="6" t="s">
        <v>58</v>
      </c>
      <c r="D16" s="12">
        <f>42</f>
        <v>42</v>
      </c>
    </row>
    <row r="17" spans="2:4" ht="17.25">
      <c r="B17" s="3">
        <v>343</v>
      </c>
      <c r="C17" s="6" t="s">
        <v>35</v>
      </c>
      <c r="D17" s="12">
        <f>10+19+12</f>
        <v>41</v>
      </c>
    </row>
    <row r="18" spans="2:4" ht="17.25">
      <c r="B18" s="5">
        <v>92</v>
      </c>
      <c r="C18" s="10" t="s">
        <v>70</v>
      </c>
      <c r="D18" s="9">
        <f>8+15+1</f>
        <v>24</v>
      </c>
    </row>
    <row r="19" spans="2:4" ht="17.25">
      <c r="B19" s="3">
        <v>78</v>
      </c>
      <c r="C19" s="6" t="s">
        <v>44</v>
      </c>
      <c r="D19" s="12">
        <f>23</f>
        <v>23</v>
      </c>
    </row>
    <row r="20" spans="2:4" ht="17.25">
      <c r="B20" s="3">
        <v>253</v>
      </c>
      <c r="C20" s="6" t="s">
        <v>84</v>
      </c>
      <c r="D20" s="12">
        <f>5+13</f>
        <v>18</v>
      </c>
    </row>
    <row r="21" spans="2:4" ht="17.25">
      <c r="B21" s="5">
        <v>97</v>
      </c>
      <c r="C21" s="6" t="s">
        <v>47</v>
      </c>
      <c r="D21" s="13">
        <f>18</f>
        <v>18</v>
      </c>
    </row>
    <row r="22" spans="2:4" ht="17.25">
      <c r="B22" s="5">
        <v>31</v>
      </c>
      <c r="C22" s="6" t="s">
        <v>55</v>
      </c>
      <c r="D22" s="12">
        <f>17</f>
        <v>17</v>
      </c>
    </row>
    <row r="23" spans="2:4" ht="17.25">
      <c r="B23" s="5">
        <v>32</v>
      </c>
      <c r="C23" s="6" t="s">
        <v>62</v>
      </c>
      <c r="D23" s="13">
        <f>17</f>
        <v>17</v>
      </c>
    </row>
    <row r="24" spans="2:4" ht="17.25">
      <c r="B24" s="5">
        <v>47</v>
      </c>
      <c r="C24" s="6" t="s">
        <v>79</v>
      </c>
      <c r="D24" s="13">
        <f>11+6</f>
        <v>17</v>
      </c>
    </row>
    <row r="25" spans="2:4" ht="17.25">
      <c r="B25" s="5">
        <v>181</v>
      </c>
      <c r="C25" s="6" t="s">
        <v>71</v>
      </c>
      <c r="D25" s="13">
        <f>10+7</f>
        <v>17</v>
      </c>
    </row>
    <row r="26" spans="2:4" ht="17.25">
      <c r="B26" s="3">
        <v>397</v>
      </c>
      <c r="C26" s="11" t="s">
        <v>91</v>
      </c>
      <c r="D26" s="12">
        <f>7+9</f>
        <v>16</v>
      </c>
    </row>
    <row r="27" spans="2:4" ht="17.25">
      <c r="B27" s="3">
        <v>247</v>
      </c>
      <c r="C27" s="11" t="s">
        <v>75</v>
      </c>
      <c r="D27" s="12">
        <f>9+1+5</f>
        <v>15</v>
      </c>
    </row>
    <row r="28" spans="2:4" ht="17.25">
      <c r="B28" s="5">
        <v>53</v>
      </c>
      <c r="C28" s="6" t="s">
        <v>83</v>
      </c>
      <c r="D28" s="13">
        <f>14</f>
        <v>14</v>
      </c>
    </row>
    <row r="29" spans="2:4" ht="17.25">
      <c r="B29" s="3">
        <v>351</v>
      </c>
      <c r="C29" s="11" t="s">
        <v>67</v>
      </c>
      <c r="D29" s="12">
        <f>6+7</f>
        <v>13</v>
      </c>
    </row>
    <row r="30" spans="2:4" ht="17.25">
      <c r="B30" s="5">
        <v>33</v>
      </c>
      <c r="C30" s="6" t="s">
        <v>102</v>
      </c>
      <c r="D30" s="13">
        <f>8+4</f>
        <v>12</v>
      </c>
    </row>
    <row r="31" spans="2:4" ht="17.25">
      <c r="B31" s="5">
        <v>85</v>
      </c>
      <c r="C31" s="6" t="s">
        <v>106</v>
      </c>
      <c r="D31" s="13">
        <f>6</f>
        <v>6</v>
      </c>
    </row>
    <row r="32" spans="2:4" ht="17.25">
      <c r="B32" s="5">
        <v>339</v>
      </c>
      <c r="C32" s="6" t="s">
        <v>82</v>
      </c>
      <c r="D32" s="13">
        <f>5</f>
        <v>5</v>
      </c>
    </row>
    <row r="33" spans="2:4" ht="17.25">
      <c r="B33" s="3">
        <v>313</v>
      </c>
      <c r="C33" s="6" t="s">
        <v>105</v>
      </c>
      <c r="D33" s="12">
        <f>4</f>
        <v>4</v>
      </c>
    </row>
    <row r="34" spans="2:4" ht="17.25">
      <c r="B34" s="78">
        <v>61</v>
      </c>
      <c r="C34" s="81" t="s">
        <v>99</v>
      </c>
      <c r="D34" s="79">
        <f>3</f>
        <v>3</v>
      </c>
    </row>
    <row r="35" spans="2:4" ht="17.25">
      <c r="B35" s="5">
        <v>58</v>
      </c>
      <c r="C35" s="86" t="s">
        <v>93</v>
      </c>
      <c r="D35" s="13">
        <f>3</f>
        <v>3</v>
      </c>
    </row>
    <row r="36" spans="2:4" ht="17.25">
      <c r="B36" s="5">
        <v>182</v>
      </c>
      <c r="C36" s="86" t="s">
        <v>98</v>
      </c>
      <c r="D36" s="13">
        <f>2</f>
        <v>2</v>
      </c>
    </row>
    <row r="37" spans="2:4" ht="17.25">
      <c r="B37" s="5">
        <v>104</v>
      </c>
      <c r="C37" s="11" t="s">
        <v>97</v>
      </c>
      <c r="D37" s="18">
        <v>1</v>
      </c>
    </row>
    <row r="38" spans="2:4" ht="17.25"/>
  </sheetData>
  <sortState xmlns:xlrd2="http://schemas.microsoft.com/office/spreadsheetml/2017/richdata2" ref="B4:D37">
    <sortCondition descending="1" ref="D4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6"/>
  <sheetViews>
    <sheetView workbookViewId="0">
      <selection activeCell="D9" sqref="D9"/>
    </sheetView>
  </sheetViews>
  <sheetFormatPr defaultRowHeight="15.75"/>
  <cols>
    <col min="1" max="1" width="14.7109375" style="91" customWidth="1"/>
    <col min="2" max="2" width="9.140625" style="89"/>
    <col min="3" max="3" width="22" style="89" customWidth="1"/>
    <col min="4" max="4" width="9.140625" style="89"/>
    <col min="5" max="16384" width="9.140625" style="91"/>
  </cols>
  <sheetData>
    <row r="1" spans="1:4" ht="17.25">
      <c r="A1" s="88" t="s">
        <v>121</v>
      </c>
      <c r="C1" s="90"/>
    </row>
    <row r="2" spans="1:4" ht="17.25">
      <c r="C2" s="90">
        <v>44393</v>
      </c>
    </row>
    <row r="3" spans="1:4" ht="34.5">
      <c r="A3" s="92" t="s">
        <v>0</v>
      </c>
      <c r="B3" s="93" t="s">
        <v>1</v>
      </c>
      <c r="C3" s="101" t="s">
        <v>2</v>
      </c>
      <c r="D3" s="94" t="s">
        <v>119</v>
      </c>
    </row>
    <row r="4" spans="1:4" ht="17.25">
      <c r="B4" s="19" t="s">
        <v>22</v>
      </c>
      <c r="C4" s="27" t="s">
        <v>23</v>
      </c>
      <c r="D4" s="23">
        <f>45+44+45</f>
        <v>134</v>
      </c>
    </row>
    <row r="5" spans="1:4" ht="17.25">
      <c r="B5" s="21">
        <v>4</v>
      </c>
      <c r="C5" s="28" t="s">
        <v>24</v>
      </c>
      <c r="D5" s="25">
        <f>38+31+22+42</f>
        <v>133</v>
      </c>
    </row>
    <row r="6" spans="1:4" ht="17.25">
      <c r="B6" s="20" t="s">
        <v>25</v>
      </c>
      <c r="C6" s="28" t="s">
        <v>26</v>
      </c>
      <c r="D6" s="24">
        <f>27+37+38</f>
        <v>102</v>
      </c>
    </row>
    <row r="7" spans="1:4" ht="17.25">
      <c r="B7" s="21">
        <v>38</v>
      </c>
      <c r="C7" s="28" t="s">
        <v>30</v>
      </c>
      <c r="D7" s="25">
        <f>21+27+35</f>
        <v>83</v>
      </c>
    </row>
    <row r="8" spans="1:4" ht="17.25">
      <c r="B8" s="21">
        <v>82</v>
      </c>
      <c r="C8" s="28" t="s">
        <v>42</v>
      </c>
      <c r="D8" s="25">
        <f>13+16+10+29</f>
        <v>68</v>
      </c>
    </row>
    <row r="9" spans="1:4" ht="17.25">
      <c r="B9" s="22">
        <v>284</v>
      </c>
      <c r="C9" s="29" t="s">
        <v>34</v>
      </c>
      <c r="D9" s="25">
        <f>22+6+13+24</f>
        <v>65</v>
      </c>
    </row>
    <row r="10" spans="1:4" ht="17.25">
      <c r="B10" s="21">
        <v>2</v>
      </c>
      <c r="C10" s="28" t="s">
        <v>21</v>
      </c>
      <c r="D10" s="25">
        <f>32+9</f>
        <v>41</v>
      </c>
    </row>
    <row r="11" spans="1:4" ht="17.25">
      <c r="B11" s="21">
        <v>24</v>
      </c>
      <c r="C11" s="29" t="s">
        <v>81</v>
      </c>
      <c r="D11" s="25">
        <f>7+7+19</f>
        <v>33</v>
      </c>
    </row>
    <row r="12" spans="1:4" ht="17.25">
      <c r="B12" s="21">
        <v>314</v>
      </c>
      <c r="C12" s="30" t="s">
        <v>78</v>
      </c>
      <c r="D12" s="26">
        <f>10+4+14</f>
        <v>28</v>
      </c>
    </row>
    <row r="13" spans="1:4" ht="17.25">
      <c r="B13" s="83">
        <v>121</v>
      </c>
      <c r="C13" s="85" t="s">
        <v>69</v>
      </c>
      <c r="D13" s="84">
        <f>17</f>
        <v>17</v>
      </c>
    </row>
    <row r="14" spans="1:4" ht="17.25">
      <c r="B14" s="5">
        <v>432</v>
      </c>
      <c r="C14" s="102" t="s">
        <v>104</v>
      </c>
      <c r="D14" s="13">
        <f>10</f>
        <v>10</v>
      </c>
    </row>
    <row r="15" spans="1:4" ht="17.25">
      <c r="B15" s="3">
        <v>56</v>
      </c>
      <c r="C15" s="11" t="s">
        <v>115</v>
      </c>
      <c r="D15" s="14">
        <f>1</f>
        <v>1</v>
      </c>
    </row>
    <row r="16" spans="1:4" ht="17.25"/>
  </sheetData>
  <sortState xmlns:xlrd2="http://schemas.microsoft.com/office/spreadsheetml/2017/richdata2" ref="B4:D15">
    <sortCondition descending="1" ref="D4:D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9"/>
  <sheetViews>
    <sheetView topLeftCell="A4" workbookViewId="0">
      <selection activeCell="P12" sqref="P12"/>
    </sheetView>
  </sheetViews>
  <sheetFormatPr defaultRowHeight="15.75"/>
  <cols>
    <col min="1" max="1" width="14.7109375" style="91" customWidth="1"/>
    <col min="2" max="2" width="9.140625" style="89"/>
    <col min="3" max="3" width="21.140625" style="89" bestFit="1" customWidth="1"/>
    <col min="4" max="4" width="9.140625" style="89" bestFit="1" customWidth="1"/>
    <col min="5" max="16384" width="9.140625" style="91"/>
  </cols>
  <sheetData>
    <row r="1" spans="1:4" ht="17.25">
      <c r="A1" s="88" t="s">
        <v>122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15">
        <v>2</v>
      </c>
      <c r="C4" s="16" t="s">
        <v>21</v>
      </c>
      <c r="D4" s="31">
        <f>22+18+41+44</f>
        <v>125</v>
      </c>
    </row>
    <row r="5" spans="1:4" ht="17.25">
      <c r="B5" s="3">
        <v>4</v>
      </c>
      <c r="C5" s="6" t="s">
        <v>24</v>
      </c>
      <c r="D5" s="12">
        <f>40+28+16+31</f>
        <v>115</v>
      </c>
    </row>
    <row r="6" spans="1:4" ht="17.25">
      <c r="B6" s="5" t="s">
        <v>123</v>
      </c>
      <c r="C6" s="6" t="s">
        <v>26</v>
      </c>
      <c r="D6" s="8">
        <f>33+41+30</f>
        <v>104</v>
      </c>
    </row>
    <row r="7" spans="1:4" ht="17.25">
      <c r="B7" s="3" t="s">
        <v>124</v>
      </c>
      <c r="C7" s="6" t="s">
        <v>23</v>
      </c>
      <c r="D7" s="12">
        <f>1+34+48</f>
        <v>83</v>
      </c>
    </row>
    <row r="8" spans="1:4" ht="17.25">
      <c r="B8" s="3">
        <v>38</v>
      </c>
      <c r="C8" s="6" t="s">
        <v>30</v>
      </c>
      <c r="D8" s="8">
        <f>23+20+37</f>
        <v>80</v>
      </c>
    </row>
    <row r="9" spans="1:4" ht="17.25">
      <c r="B9" s="3">
        <v>82</v>
      </c>
      <c r="C9" s="6" t="s">
        <v>42</v>
      </c>
      <c r="D9" s="8">
        <f>13+10+21</f>
        <v>44</v>
      </c>
    </row>
    <row r="10" spans="1:4" ht="17.25">
      <c r="B10" s="5">
        <v>284</v>
      </c>
      <c r="C10" s="6" t="s">
        <v>34</v>
      </c>
      <c r="D10" s="13">
        <f>13+26</f>
        <v>39</v>
      </c>
    </row>
    <row r="11" spans="1:4" ht="17.25">
      <c r="B11" s="5">
        <v>29</v>
      </c>
      <c r="C11" s="6" t="s">
        <v>37</v>
      </c>
      <c r="D11" s="13">
        <f>35</f>
        <v>35</v>
      </c>
    </row>
    <row r="12" spans="1:4" ht="17.25">
      <c r="B12" s="3">
        <v>121</v>
      </c>
      <c r="C12" s="6" t="s">
        <v>69</v>
      </c>
      <c r="D12" s="8">
        <f>27</f>
        <v>27</v>
      </c>
    </row>
    <row r="13" spans="1:4" ht="17.25">
      <c r="B13" s="5">
        <v>343</v>
      </c>
      <c r="C13" s="6" t="s">
        <v>35</v>
      </c>
      <c r="D13" s="13">
        <f>5+12</f>
        <v>17</v>
      </c>
    </row>
    <row r="14" spans="1:4" ht="17.25">
      <c r="B14" s="5">
        <v>24</v>
      </c>
      <c r="C14" s="86" t="s">
        <v>81</v>
      </c>
      <c r="D14" s="13">
        <f>16</f>
        <v>16</v>
      </c>
    </row>
    <row r="15" spans="1:4" ht="17.25">
      <c r="B15" s="80">
        <v>126</v>
      </c>
      <c r="C15" s="87" t="s">
        <v>57</v>
      </c>
      <c r="D15" s="82">
        <f>9</f>
        <v>9</v>
      </c>
    </row>
    <row r="16" spans="1:4" ht="17.25">
      <c r="B16" s="5">
        <v>66</v>
      </c>
      <c r="C16" s="6" t="s">
        <v>54</v>
      </c>
      <c r="D16" s="13">
        <f>7</f>
        <v>7</v>
      </c>
    </row>
    <row r="17" spans="2:4" ht="17.25">
      <c r="B17" s="5">
        <v>314</v>
      </c>
      <c r="C17" s="86" t="s">
        <v>78</v>
      </c>
      <c r="D17" s="13">
        <f>6</f>
        <v>6</v>
      </c>
    </row>
    <row r="18" spans="2:4" ht="17.25">
      <c r="B18" s="5">
        <v>432</v>
      </c>
      <c r="C18" s="6" t="s">
        <v>104</v>
      </c>
      <c r="D18" s="18">
        <f>3</f>
        <v>3</v>
      </c>
    </row>
    <row r="19" spans="2:4" ht="17.25"/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36"/>
  <sheetViews>
    <sheetView topLeftCell="A22" workbookViewId="0">
      <selection activeCell="G36" sqref="G36"/>
    </sheetView>
  </sheetViews>
  <sheetFormatPr defaultRowHeight="15.75"/>
  <cols>
    <col min="1" max="1" width="14.7109375" style="91" customWidth="1"/>
    <col min="2" max="2" width="9.140625" style="89"/>
    <col min="3" max="3" width="22.28515625" style="89" bestFit="1" customWidth="1"/>
    <col min="4" max="4" width="9.140625" style="89" bestFit="1" customWidth="1"/>
    <col min="5" max="16384" width="9.140625" style="91"/>
  </cols>
  <sheetData>
    <row r="1" spans="1:4" ht="17.25">
      <c r="A1" s="88" t="s">
        <v>125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15">
        <v>1</v>
      </c>
      <c r="C4" s="16" t="s">
        <v>20</v>
      </c>
      <c r="D4" s="17">
        <f>61+47+60+54</f>
        <v>222</v>
      </c>
    </row>
    <row r="5" spans="1:4" ht="17.25">
      <c r="B5" s="3">
        <v>2</v>
      </c>
      <c r="C5" s="6" t="s">
        <v>21</v>
      </c>
      <c r="D5" s="8">
        <f>48+40+42+47</f>
        <v>177</v>
      </c>
    </row>
    <row r="6" spans="1:4" ht="17.25">
      <c r="B6" s="3">
        <v>4</v>
      </c>
      <c r="C6" s="6" t="s">
        <v>24</v>
      </c>
      <c r="D6" s="9">
        <f>54+1+53+36</f>
        <v>144</v>
      </c>
    </row>
    <row r="7" spans="1:4" ht="17.25">
      <c r="B7" s="3">
        <v>78</v>
      </c>
      <c r="C7" s="6" t="s">
        <v>44</v>
      </c>
      <c r="D7" s="9">
        <f>43+47</f>
        <v>90</v>
      </c>
    </row>
    <row r="8" spans="1:4" ht="17.25">
      <c r="B8" s="4">
        <v>284</v>
      </c>
      <c r="C8" s="10" t="s">
        <v>34</v>
      </c>
      <c r="D8" s="12">
        <f>33+17+31</f>
        <v>81</v>
      </c>
    </row>
    <row r="9" spans="1:4" ht="17.25">
      <c r="B9" s="3">
        <v>84</v>
      </c>
      <c r="C9" s="6" t="s">
        <v>38</v>
      </c>
      <c r="D9" s="9">
        <f>16+29+32+2</f>
        <v>79</v>
      </c>
    </row>
    <row r="10" spans="1:4" ht="17.25">
      <c r="B10" s="3">
        <v>97</v>
      </c>
      <c r="C10" s="6" t="s">
        <v>47</v>
      </c>
      <c r="D10" s="9">
        <f>29+25+22</f>
        <v>76</v>
      </c>
    </row>
    <row r="11" spans="1:4" ht="17.25">
      <c r="B11" s="4">
        <v>32</v>
      </c>
      <c r="C11" s="10" t="s">
        <v>62</v>
      </c>
      <c r="D11" s="12">
        <f>38+37</f>
        <v>75</v>
      </c>
    </row>
    <row r="12" spans="1:4" ht="17.25">
      <c r="B12" s="3">
        <v>6</v>
      </c>
      <c r="C12" s="6" t="s">
        <v>46</v>
      </c>
      <c r="D12" s="8">
        <f>23+9+22+19</f>
        <v>73</v>
      </c>
    </row>
    <row r="13" spans="1:4" ht="17.25">
      <c r="B13" s="5">
        <v>90</v>
      </c>
      <c r="C13" s="6" t="s">
        <v>41</v>
      </c>
      <c r="D13" s="13">
        <f>28+41</f>
        <v>69</v>
      </c>
    </row>
    <row r="14" spans="1:4" ht="17.25">
      <c r="B14" s="3">
        <v>343</v>
      </c>
      <c r="C14" s="6" t="s">
        <v>35</v>
      </c>
      <c r="D14" s="9">
        <f>26+15+26</f>
        <v>67</v>
      </c>
    </row>
    <row r="15" spans="1:4" ht="17.25">
      <c r="B15" s="3">
        <v>247</v>
      </c>
      <c r="C15" s="11" t="s">
        <v>75</v>
      </c>
      <c r="D15" s="8">
        <f>15+19+11</f>
        <v>45</v>
      </c>
    </row>
    <row r="16" spans="1:4" ht="17.25">
      <c r="B16" s="5">
        <v>92</v>
      </c>
      <c r="C16" s="10" t="s">
        <v>70</v>
      </c>
      <c r="D16" s="9">
        <f>14+12+14</f>
        <v>40</v>
      </c>
    </row>
    <row r="17" spans="2:4" ht="17.25">
      <c r="B17" s="5">
        <v>126</v>
      </c>
      <c r="C17" s="6" t="s">
        <v>57</v>
      </c>
      <c r="D17" s="9">
        <f>1+19+16</f>
        <v>36</v>
      </c>
    </row>
    <row r="18" spans="2:4" ht="17.25">
      <c r="B18" s="3">
        <v>351</v>
      </c>
      <c r="C18" s="11" t="s">
        <v>67</v>
      </c>
      <c r="D18" s="8">
        <f>12+15+8</f>
        <v>35</v>
      </c>
    </row>
    <row r="19" spans="2:4" ht="17.25">
      <c r="B19" s="3">
        <v>47</v>
      </c>
      <c r="C19" s="6" t="s">
        <v>79</v>
      </c>
      <c r="D19" s="9">
        <f>11+12+7</f>
        <v>30</v>
      </c>
    </row>
    <row r="20" spans="2:4" ht="17.25">
      <c r="B20" s="3">
        <v>253</v>
      </c>
      <c r="C20" s="6" t="s">
        <v>84</v>
      </c>
      <c r="D20" s="8">
        <f>13+11</f>
        <v>24</v>
      </c>
    </row>
    <row r="21" spans="2:4" ht="17.25">
      <c r="B21" s="5">
        <v>53</v>
      </c>
      <c r="C21" s="6" t="s">
        <v>83</v>
      </c>
      <c r="D21" s="13">
        <f>13+8</f>
        <v>21</v>
      </c>
    </row>
    <row r="22" spans="2:4" ht="17.25">
      <c r="B22" s="5">
        <v>31</v>
      </c>
      <c r="C22" s="6" t="s">
        <v>55</v>
      </c>
      <c r="D22" s="12">
        <f>20</f>
        <v>20</v>
      </c>
    </row>
    <row r="23" spans="2:4" ht="17.25">
      <c r="B23" s="3">
        <v>397</v>
      </c>
      <c r="C23" s="11" t="s">
        <v>91</v>
      </c>
      <c r="D23" s="8">
        <f>10+10</f>
        <v>20</v>
      </c>
    </row>
    <row r="24" spans="2:4" ht="17.25">
      <c r="B24" s="5">
        <v>181</v>
      </c>
      <c r="C24" s="6" t="s">
        <v>71</v>
      </c>
      <c r="D24" s="13">
        <f>9+9</f>
        <v>18</v>
      </c>
    </row>
    <row r="25" spans="2:4" ht="17.25">
      <c r="B25" s="3">
        <v>104</v>
      </c>
      <c r="C25" s="6" t="s">
        <v>97</v>
      </c>
      <c r="D25" s="8">
        <f>7+6+2</f>
        <v>15</v>
      </c>
    </row>
    <row r="26" spans="2:4" ht="17.25">
      <c r="B26" s="5">
        <v>182</v>
      </c>
      <c r="C26" s="102" t="s">
        <v>98</v>
      </c>
      <c r="D26" s="13">
        <f>13</f>
        <v>13</v>
      </c>
    </row>
    <row r="27" spans="2:4" ht="17.25">
      <c r="B27" s="3">
        <v>61</v>
      </c>
      <c r="C27" s="6" t="s">
        <v>99</v>
      </c>
      <c r="D27" s="9">
        <f>6+4</f>
        <v>10</v>
      </c>
    </row>
    <row r="28" spans="2:4" ht="17.25">
      <c r="B28" s="3">
        <v>49</v>
      </c>
      <c r="C28" s="6" t="s">
        <v>85</v>
      </c>
      <c r="D28" s="8">
        <f>4+6</f>
        <v>10</v>
      </c>
    </row>
    <row r="29" spans="2:4" ht="17.25">
      <c r="B29" s="78">
        <v>313</v>
      </c>
      <c r="C29" s="81" t="s">
        <v>105</v>
      </c>
      <c r="D29" s="115">
        <f>8</f>
        <v>8</v>
      </c>
    </row>
    <row r="30" spans="2:4" ht="17.25">
      <c r="B30" s="5">
        <v>85</v>
      </c>
      <c r="C30" s="6" t="s">
        <v>106</v>
      </c>
      <c r="D30" s="13">
        <f>7</f>
        <v>7</v>
      </c>
    </row>
    <row r="31" spans="2:4" ht="17.25">
      <c r="B31" s="5">
        <v>339</v>
      </c>
      <c r="C31" s="6" t="s">
        <v>82</v>
      </c>
      <c r="D31" s="13">
        <f>3+3</f>
        <v>6</v>
      </c>
    </row>
    <row r="32" spans="2:4" ht="17.25">
      <c r="B32" s="139">
        <v>33</v>
      </c>
      <c r="C32" s="102" t="s">
        <v>102</v>
      </c>
      <c r="D32" s="13">
        <f>6</f>
        <v>6</v>
      </c>
    </row>
    <row r="33" spans="2:4" ht="17.25">
      <c r="B33" s="139">
        <v>58</v>
      </c>
      <c r="C33" s="102" t="s">
        <v>93</v>
      </c>
      <c r="D33" s="13">
        <f>5</f>
        <v>5</v>
      </c>
    </row>
    <row r="34" spans="2:4" ht="17.25">
      <c r="B34" s="139">
        <v>39</v>
      </c>
      <c r="C34" s="102" t="s">
        <v>112</v>
      </c>
      <c r="D34" s="18">
        <f>4</f>
        <v>4</v>
      </c>
    </row>
    <row r="35" spans="2:4" ht="17.25"/>
    <row r="36" spans="2:4" ht="17.25"/>
  </sheetData>
  <sortState xmlns:xlrd2="http://schemas.microsoft.com/office/spreadsheetml/2017/richdata2" ref="B4:D34">
    <sortCondition descending="1" ref="D4:D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3"/>
  <sheetViews>
    <sheetView workbookViewId="0">
      <selection activeCell="D4" sqref="D4"/>
    </sheetView>
  </sheetViews>
  <sheetFormatPr defaultRowHeight="15.75"/>
  <cols>
    <col min="1" max="1" width="14.7109375" style="91" customWidth="1"/>
    <col min="2" max="2" width="9.140625" style="89"/>
    <col min="3" max="3" width="22.28515625" style="89" bestFit="1" customWidth="1"/>
    <col min="4" max="4" width="9.140625" style="89"/>
    <col min="5" max="16384" width="9.140625" style="91"/>
  </cols>
  <sheetData>
    <row r="1" spans="1:4" ht="17.25">
      <c r="A1" s="88" t="s">
        <v>126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15">
        <v>2</v>
      </c>
      <c r="C4" s="16" t="s">
        <v>21</v>
      </c>
      <c r="D4" s="31">
        <f>39+38+49+47</f>
        <v>173</v>
      </c>
    </row>
    <row r="5" spans="1:4" ht="17.25">
      <c r="B5" s="3">
        <v>1</v>
      </c>
      <c r="C5" s="6" t="s">
        <v>20</v>
      </c>
      <c r="D5" s="12">
        <f>57+1+56+54</f>
        <v>168</v>
      </c>
    </row>
    <row r="6" spans="1:4" ht="17.25">
      <c r="B6" s="3">
        <v>73</v>
      </c>
      <c r="C6" s="6" t="s">
        <v>27</v>
      </c>
      <c r="D6" s="8">
        <f>34+22+43+36</f>
        <v>135</v>
      </c>
    </row>
    <row r="7" spans="1:4" ht="17.25">
      <c r="B7" s="3">
        <v>4</v>
      </c>
      <c r="C7" s="6" t="s">
        <v>24</v>
      </c>
      <c r="D7" s="8">
        <f>44+38+1</f>
        <v>83</v>
      </c>
    </row>
    <row r="8" spans="1:4" ht="17.25">
      <c r="B8" s="3">
        <v>84</v>
      </c>
      <c r="C8" s="6" t="s">
        <v>38</v>
      </c>
      <c r="D8" s="8">
        <f>22+45+15</f>
        <v>82</v>
      </c>
    </row>
    <row r="9" spans="1:4" ht="17.25">
      <c r="B9" s="5">
        <v>90</v>
      </c>
      <c r="C9" s="6" t="s">
        <v>41</v>
      </c>
      <c r="D9" s="13">
        <f>33+41</f>
        <v>74</v>
      </c>
    </row>
    <row r="10" spans="1:4" ht="17.25">
      <c r="B10" s="4">
        <v>284</v>
      </c>
      <c r="C10" s="10" t="s">
        <v>34</v>
      </c>
      <c r="D10" s="12">
        <f>29+13+31</f>
        <v>73</v>
      </c>
    </row>
    <row r="11" spans="1:4" ht="17.25">
      <c r="B11" s="3">
        <v>66</v>
      </c>
      <c r="C11" s="6" t="s">
        <v>54</v>
      </c>
      <c r="D11" s="12">
        <f>12+21+26</f>
        <v>59</v>
      </c>
    </row>
    <row r="12" spans="1:4" ht="17.25">
      <c r="B12" s="3">
        <v>97</v>
      </c>
      <c r="C12" s="6" t="s">
        <v>47</v>
      </c>
      <c r="D12" s="8">
        <f>1+28+22</f>
        <v>51</v>
      </c>
    </row>
    <row r="13" spans="1:4" ht="17.25">
      <c r="B13" s="3">
        <v>29</v>
      </c>
      <c r="C13" s="6" t="s">
        <v>37</v>
      </c>
      <c r="D13" s="12">
        <f>50</f>
        <v>50</v>
      </c>
    </row>
    <row r="14" spans="1:4" ht="17.25">
      <c r="B14" s="3">
        <v>78</v>
      </c>
      <c r="C14" s="6" t="s">
        <v>44</v>
      </c>
      <c r="D14" s="8">
        <f>25+24</f>
        <v>49</v>
      </c>
    </row>
    <row r="15" spans="1:4" ht="17.25">
      <c r="B15" s="3">
        <v>6</v>
      </c>
      <c r="C15" s="6" t="s">
        <v>46</v>
      </c>
      <c r="D15" s="8">
        <f>16+10+10+11</f>
        <v>47</v>
      </c>
    </row>
    <row r="16" spans="1:4" ht="17.25">
      <c r="B16" s="3">
        <v>343</v>
      </c>
      <c r="C16" s="6" t="s">
        <v>35</v>
      </c>
      <c r="D16" s="9">
        <f>19+11+13</f>
        <v>43</v>
      </c>
    </row>
    <row r="17" spans="2:4" ht="17.25">
      <c r="B17" s="3">
        <v>351</v>
      </c>
      <c r="C17" s="11" t="s">
        <v>67</v>
      </c>
      <c r="D17" s="12">
        <f>7+32+3</f>
        <v>42</v>
      </c>
    </row>
    <row r="18" spans="2:4" ht="17.25">
      <c r="B18" s="5">
        <v>92</v>
      </c>
      <c r="C18" s="10" t="s">
        <v>70</v>
      </c>
      <c r="D18" s="9">
        <f>9+17+9</f>
        <v>35</v>
      </c>
    </row>
    <row r="19" spans="2:4" ht="17.25">
      <c r="B19" s="5">
        <v>340</v>
      </c>
      <c r="C19" s="6" t="s">
        <v>65</v>
      </c>
      <c r="D19" s="13">
        <f>18+16</f>
        <v>34</v>
      </c>
    </row>
    <row r="20" spans="2:4" ht="17.25">
      <c r="B20" s="5">
        <v>126</v>
      </c>
      <c r="C20" s="6" t="s">
        <v>57</v>
      </c>
      <c r="D20" s="9">
        <f>1+13+19</f>
        <v>33</v>
      </c>
    </row>
    <row r="21" spans="2:4" ht="17.25">
      <c r="B21" s="3">
        <v>47</v>
      </c>
      <c r="C21" s="6" t="s">
        <v>79</v>
      </c>
      <c r="D21" s="8">
        <f>10+6+7</f>
        <v>23</v>
      </c>
    </row>
    <row r="22" spans="2:4" ht="17.25">
      <c r="B22" s="3">
        <v>247</v>
      </c>
      <c r="C22" s="11" t="s">
        <v>75</v>
      </c>
      <c r="D22" s="12">
        <f>11+8</f>
        <v>19</v>
      </c>
    </row>
    <row r="23" spans="2:4" ht="17.25">
      <c r="B23" s="3">
        <v>253</v>
      </c>
      <c r="C23" s="6" t="s">
        <v>84</v>
      </c>
      <c r="D23" s="8">
        <f>8+5</f>
        <v>13</v>
      </c>
    </row>
    <row r="24" spans="2:4" ht="17.25">
      <c r="B24" s="3">
        <v>397</v>
      </c>
      <c r="C24" s="11" t="s">
        <v>91</v>
      </c>
      <c r="D24" s="12">
        <f>6+7</f>
        <v>13</v>
      </c>
    </row>
    <row r="25" spans="2:4" ht="17.25">
      <c r="B25" s="80">
        <v>181</v>
      </c>
      <c r="C25" s="81" t="s">
        <v>71</v>
      </c>
      <c r="D25" s="82">
        <f>4+6</f>
        <v>10</v>
      </c>
    </row>
    <row r="26" spans="2:4" ht="17.25">
      <c r="B26" s="5">
        <v>182</v>
      </c>
      <c r="C26" s="102" t="s">
        <v>98</v>
      </c>
      <c r="D26" s="13">
        <f>9</f>
        <v>9</v>
      </c>
    </row>
    <row r="27" spans="2:4" ht="17.25">
      <c r="B27" s="5">
        <v>53</v>
      </c>
      <c r="C27" s="6" t="s">
        <v>83</v>
      </c>
      <c r="D27" s="13">
        <f>8</f>
        <v>8</v>
      </c>
    </row>
    <row r="28" spans="2:4" ht="17.25">
      <c r="B28" s="3">
        <v>104</v>
      </c>
      <c r="C28" s="6" t="s">
        <v>97</v>
      </c>
      <c r="D28" s="12">
        <f>4+2</f>
        <v>6</v>
      </c>
    </row>
    <row r="29" spans="2:4" ht="17.25">
      <c r="B29" s="3">
        <v>313</v>
      </c>
      <c r="C29" s="6" t="s">
        <v>105</v>
      </c>
      <c r="D29" s="8">
        <f>5</f>
        <v>5</v>
      </c>
    </row>
    <row r="30" spans="2:4" ht="17.25">
      <c r="B30" s="5">
        <v>33</v>
      </c>
      <c r="C30" s="102" t="s">
        <v>102</v>
      </c>
      <c r="D30" s="13">
        <f>5</f>
        <v>5</v>
      </c>
    </row>
    <row r="31" spans="2:4" ht="17.25">
      <c r="B31" s="5">
        <v>61</v>
      </c>
      <c r="C31" s="102" t="s">
        <v>99</v>
      </c>
      <c r="D31" s="13">
        <f>4</f>
        <v>4</v>
      </c>
    </row>
    <row r="32" spans="2:4" ht="17.25">
      <c r="B32" s="5">
        <v>339</v>
      </c>
      <c r="C32" s="102" t="s">
        <v>82</v>
      </c>
      <c r="D32" s="18">
        <f>3</f>
        <v>3</v>
      </c>
    </row>
    <row r="33" ht="17.25"/>
  </sheetData>
  <sortState xmlns:xlrd2="http://schemas.microsoft.com/office/spreadsheetml/2017/richdata2" ref="B4:D32">
    <sortCondition descending="1" ref="D4:D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4"/>
  <sheetViews>
    <sheetView workbookViewId="0">
      <selection activeCell="C5" sqref="C5"/>
    </sheetView>
  </sheetViews>
  <sheetFormatPr defaultRowHeight="15.75"/>
  <cols>
    <col min="1" max="1" width="14.7109375" style="91" customWidth="1"/>
    <col min="2" max="2" width="9.140625" style="89"/>
    <col min="3" max="3" width="22.7109375" style="89" bestFit="1" customWidth="1"/>
    <col min="4" max="4" width="9.140625" style="89"/>
    <col min="5" max="16384" width="9.140625" style="91"/>
  </cols>
  <sheetData>
    <row r="1" spans="1:4" ht="17.25">
      <c r="A1" s="88" t="s">
        <v>127</v>
      </c>
      <c r="C1" s="90"/>
    </row>
    <row r="2" spans="1:4" ht="17.25">
      <c r="C2" s="90">
        <v>44393</v>
      </c>
    </row>
    <row r="3" spans="1:4" ht="34.5">
      <c r="A3" s="92" t="s">
        <v>0</v>
      </c>
      <c r="B3" s="97" t="s">
        <v>1</v>
      </c>
      <c r="C3" s="93" t="s">
        <v>2</v>
      </c>
      <c r="D3" s="100" t="s">
        <v>119</v>
      </c>
    </row>
    <row r="4" spans="1:4" ht="17.25">
      <c r="B4" s="33">
        <v>813</v>
      </c>
      <c r="C4" s="37" t="s">
        <v>43</v>
      </c>
      <c r="D4" s="35">
        <f>43+25+40+39</f>
        <v>147</v>
      </c>
    </row>
    <row r="5" spans="1:4" ht="17.25">
      <c r="B5" s="34">
        <v>204</v>
      </c>
      <c r="C5" s="10" t="s">
        <v>36</v>
      </c>
      <c r="D5" s="36">
        <f>50+34</f>
        <v>84</v>
      </c>
    </row>
    <row r="6" spans="1:4" ht="17.25">
      <c r="B6" s="3" t="s">
        <v>28</v>
      </c>
      <c r="C6" s="11" t="s">
        <v>29</v>
      </c>
      <c r="D6" s="12">
        <f>15+15+21</f>
        <v>51</v>
      </c>
    </row>
    <row r="7" spans="1:4" ht="17.25">
      <c r="B7" s="3">
        <v>803</v>
      </c>
      <c r="C7" s="11" t="s">
        <v>77</v>
      </c>
      <c r="D7" s="12">
        <f>22+24</f>
        <v>46</v>
      </c>
    </row>
    <row r="8" spans="1:4" ht="17.25">
      <c r="B8" s="3">
        <v>999</v>
      </c>
      <c r="C8" s="11" t="s">
        <v>94</v>
      </c>
      <c r="D8" s="12">
        <f>1+6+26</f>
        <v>33</v>
      </c>
    </row>
    <row r="9" spans="1:4" ht="17.25">
      <c r="B9" s="5">
        <v>54</v>
      </c>
      <c r="C9" s="102" t="s">
        <v>96</v>
      </c>
      <c r="D9" s="13">
        <f>32</f>
        <v>32</v>
      </c>
    </row>
    <row r="10" spans="1:4" ht="17.25">
      <c r="B10" s="78">
        <v>54</v>
      </c>
      <c r="C10" s="119" t="s">
        <v>96</v>
      </c>
      <c r="D10" s="121">
        <f>1+29</f>
        <v>30</v>
      </c>
    </row>
    <row r="11" spans="1:4" ht="17.25">
      <c r="B11" s="3">
        <v>230</v>
      </c>
      <c r="C11" s="11" t="s">
        <v>52</v>
      </c>
      <c r="D11" s="8">
        <f>27</f>
        <v>27</v>
      </c>
    </row>
    <row r="12" spans="1:4" ht="17.25">
      <c r="B12" s="3">
        <v>819</v>
      </c>
      <c r="C12" s="11" t="s">
        <v>90</v>
      </c>
      <c r="D12" s="12">
        <f>7+19</f>
        <v>26</v>
      </c>
    </row>
    <row r="13" spans="1:4" ht="17.25">
      <c r="B13" s="5">
        <v>909</v>
      </c>
      <c r="C13" s="6" t="s">
        <v>108</v>
      </c>
      <c r="D13" s="18">
        <f>4</f>
        <v>4</v>
      </c>
    </row>
    <row r="14" spans="1:4" ht="17.25"/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3"/>
  <sheetViews>
    <sheetView workbookViewId="0">
      <selection activeCell="C15" sqref="C15"/>
    </sheetView>
  </sheetViews>
  <sheetFormatPr defaultRowHeight="15.75"/>
  <cols>
    <col min="1" max="1" width="14.7109375" style="91" customWidth="1"/>
    <col min="2" max="2" width="9.140625" style="91"/>
    <col min="3" max="3" width="21.28515625" style="91" customWidth="1"/>
    <col min="4" max="16384" width="9.140625" style="91"/>
  </cols>
  <sheetData>
    <row r="1" spans="1:4" ht="17.25">
      <c r="A1" s="88" t="s">
        <v>128</v>
      </c>
      <c r="C1" s="96"/>
    </row>
    <row r="2" spans="1:4" ht="17.25">
      <c r="C2" s="96">
        <v>44393</v>
      </c>
    </row>
    <row r="3" spans="1:4" ht="34.5">
      <c r="A3" s="92" t="s">
        <v>0</v>
      </c>
      <c r="B3" s="97" t="s">
        <v>1</v>
      </c>
      <c r="C3" s="93" t="s">
        <v>2</v>
      </c>
      <c r="D3" s="130" t="s">
        <v>119</v>
      </c>
    </row>
    <row r="4" spans="1:4" ht="17.25">
      <c r="B4" s="15" t="s">
        <v>31</v>
      </c>
      <c r="C4" s="16" t="s">
        <v>32</v>
      </c>
      <c r="D4" s="31">
        <f>32+32+26+33</f>
        <v>123</v>
      </c>
    </row>
    <row r="5" spans="1:4" ht="17.25">
      <c r="B5" s="78" t="s">
        <v>28</v>
      </c>
      <c r="C5" s="120" t="s">
        <v>29</v>
      </c>
      <c r="D5" s="115">
        <f>39+10+17</f>
        <v>66</v>
      </c>
    </row>
    <row r="6" spans="1:4" ht="17.25">
      <c r="B6" s="34">
        <v>204</v>
      </c>
      <c r="C6" s="10" t="s">
        <v>36</v>
      </c>
      <c r="D6" s="9">
        <f>21+37</f>
        <v>58</v>
      </c>
    </row>
    <row r="7" spans="1:4" ht="17.25">
      <c r="B7" s="3">
        <v>88</v>
      </c>
      <c r="C7" s="11" t="s">
        <v>48</v>
      </c>
      <c r="D7" s="12">
        <f>1+21+27</f>
        <v>49</v>
      </c>
    </row>
    <row r="8" spans="1:4" ht="17.25">
      <c r="B8" s="5">
        <v>95</v>
      </c>
      <c r="C8" s="86" t="s">
        <v>49</v>
      </c>
      <c r="D8" s="13">
        <f>40</f>
        <v>40</v>
      </c>
    </row>
    <row r="9" spans="1:4" ht="17.25">
      <c r="B9" s="5">
        <v>234</v>
      </c>
      <c r="C9" s="6" t="s">
        <v>68</v>
      </c>
      <c r="D9" s="13">
        <f>16+22</f>
        <v>38</v>
      </c>
    </row>
    <row r="10" spans="1:4" ht="17.25">
      <c r="B10" s="5">
        <v>803</v>
      </c>
      <c r="C10" s="6" t="s">
        <v>77</v>
      </c>
      <c r="D10" s="13">
        <f>12</f>
        <v>12</v>
      </c>
    </row>
    <row r="11" spans="1:4" ht="17.25">
      <c r="B11" s="5">
        <v>61</v>
      </c>
      <c r="C11" s="6" t="s">
        <v>99</v>
      </c>
      <c r="D11" s="13">
        <f>9</f>
        <v>9</v>
      </c>
    </row>
    <row r="12" spans="1:4" ht="17.25">
      <c r="B12" s="5">
        <v>909</v>
      </c>
      <c r="C12" s="6" t="s">
        <v>108</v>
      </c>
      <c r="D12" s="18">
        <f>6</f>
        <v>6</v>
      </c>
    </row>
    <row r="13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2021-07-17T02:31:58Z</dcterms:modified>
  <cp:category/>
  <cp:contentStatus/>
</cp:coreProperties>
</file>