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toM\Downloads\"/>
    </mc:Choice>
  </mc:AlternateContent>
  <xr:revisionPtr revIDLastSave="0" documentId="8_{0B5DF6A8-D4F7-405F-9690-244A360EAD8F}" xr6:coauthVersionLast="47" xr6:coauthVersionMax="47" xr10:uidLastSave="{00000000-0000-0000-0000-000000000000}"/>
  <bookViews>
    <workbookView xWindow="-120" yWindow="-120" windowWidth="20730" windowHeight="11160" xr2:uid="{58302ADD-EE14-46B2-B8AB-B8706E5B8C2C}"/>
  </bookViews>
  <sheets>
    <sheet name="2021 Championship" sheetId="1" r:id="rId1"/>
    <sheet name="Formua Ultra" sheetId="2" r:id="rId2"/>
    <sheet name="Formula 2" sheetId="3" r:id="rId3"/>
    <sheet name="Open SS" sheetId="4" r:id="rId4"/>
    <sheet name="Open SBK" sheetId="5" r:id="rId5"/>
    <sheet name="600 SS" sheetId="6" r:id="rId6"/>
    <sheet name="600 SBK" sheetId="7" r:id="rId7"/>
    <sheet name="MW SS" sheetId="8" r:id="rId8"/>
    <sheet name="MW SBK" sheetId="9" r:id="rId9"/>
    <sheet name="LW SS" sheetId="10" r:id="rId10"/>
    <sheet name="LW SBK" sheetId="11" r:id="rId11"/>
    <sheet name="ULW SS" sheetId="12" r:id="rId12"/>
    <sheet name="450 SBK" sheetId="13" r:id="rId13"/>
    <sheet name="Classic SBK" sheetId="14" r:id="rId14"/>
    <sheet name="250 Ninja Cup" sheetId="15" r:id="rId15"/>
    <sheet name="160 Vintage" sheetId="16" r:id="rId16"/>
    <sheet name="750 Vintage" sheetId="17" r:id="rId17"/>
    <sheet name="Novice 1000" sheetId="18" r:id="rId18"/>
    <sheet name="Novice 600" sheetId="19" r:id="rId19"/>
    <sheet name="Forumla 40" sheetId="20" r:id="rId20"/>
    <sheet name="Formula Female" sheetId="21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T78" i="1"/>
  <c r="T85" i="1"/>
  <c r="T95" i="1"/>
  <c r="T102" i="1"/>
  <c r="T75" i="1"/>
  <c r="T91" i="1"/>
  <c r="T63" i="1"/>
  <c r="T71" i="1"/>
  <c r="T45" i="1"/>
  <c r="T77" i="1"/>
  <c r="T99" i="1"/>
  <c r="T98" i="1"/>
  <c r="T87" i="1"/>
  <c r="T39" i="1"/>
  <c r="T40" i="1"/>
  <c r="T24" i="1"/>
  <c r="T13" i="1"/>
  <c r="T83" i="1"/>
  <c r="T68" i="1"/>
  <c r="T43" i="1"/>
  <c r="T33" i="1"/>
  <c r="T49" i="1"/>
  <c r="T38" i="1"/>
  <c r="T60" i="1"/>
  <c r="T76" i="1"/>
  <c r="T18" i="1"/>
  <c r="T21" i="1"/>
  <c r="T22" i="1"/>
  <c r="T50" i="1"/>
  <c r="T27" i="1"/>
  <c r="T11" i="1"/>
  <c r="T35" i="1"/>
  <c r="T16" i="1"/>
  <c r="T7" i="1"/>
  <c r="T70" i="1"/>
  <c r="T36" i="1"/>
  <c r="T66" i="1"/>
  <c r="T9" i="1"/>
  <c r="T26" i="1"/>
  <c r="T65" i="1"/>
  <c r="T55" i="1"/>
  <c r="T72" i="1"/>
  <c r="T51" i="1"/>
  <c r="T61" i="1"/>
  <c r="T82" i="1"/>
  <c r="T47" i="1"/>
  <c r="T29" i="1"/>
  <c r="T41" i="1"/>
  <c r="T54" i="1"/>
  <c r="T42" i="1"/>
  <c r="T44" i="1"/>
  <c r="T25" i="1"/>
  <c r="T37" i="1"/>
  <c r="T19" i="1"/>
  <c r="T15" i="1"/>
  <c r="T20" i="1"/>
  <c r="T12" i="1"/>
  <c r="T64" i="1"/>
  <c r="T31" i="1"/>
  <c r="T23" i="1"/>
  <c r="T14" i="1"/>
  <c r="T17" i="1"/>
  <c r="T10" i="1"/>
  <c r="T8" i="1"/>
  <c r="T6" i="1"/>
  <c r="T5" i="1"/>
  <c r="T3" i="1"/>
  <c r="T2" i="1"/>
  <c r="T4" i="1"/>
  <c r="D22" i="19"/>
  <c r="D21" i="19"/>
  <c r="D14" i="19"/>
  <c r="D17" i="19"/>
  <c r="D8" i="19"/>
  <c r="D6" i="19"/>
  <c r="D5" i="19"/>
  <c r="D4" i="19"/>
  <c r="D11" i="18"/>
  <c r="D9" i="18"/>
  <c r="D5" i="18"/>
  <c r="D6" i="18"/>
  <c r="D4" i="18"/>
  <c r="D15" i="5"/>
  <c r="D13" i="5"/>
  <c r="D9" i="5"/>
  <c r="D10" i="5"/>
  <c r="D8" i="5"/>
  <c r="D5" i="5"/>
  <c r="D4" i="5"/>
  <c r="D6" i="5"/>
  <c r="D7" i="17"/>
  <c r="D4" i="17"/>
  <c r="D5" i="17"/>
  <c r="D7" i="16"/>
  <c r="D5" i="16"/>
  <c r="D4" i="16"/>
  <c r="D8" i="9"/>
  <c r="D6" i="9"/>
  <c r="D5" i="9"/>
  <c r="D10" i="9"/>
  <c r="D4" i="9"/>
  <c r="D12" i="20"/>
  <c r="D10" i="20"/>
  <c r="D5" i="20"/>
  <c r="D4" i="20"/>
  <c r="D7" i="20"/>
  <c r="D6" i="20"/>
  <c r="D12" i="12"/>
  <c r="D14" i="12"/>
  <c r="D10" i="12"/>
  <c r="D5" i="12"/>
  <c r="D8" i="12"/>
  <c r="D6" i="12"/>
  <c r="D4" i="12"/>
  <c r="D4" i="11"/>
  <c r="D8" i="11"/>
  <c r="D10" i="11"/>
  <c r="D6" i="11"/>
  <c r="D5" i="11"/>
  <c r="D27" i="3"/>
  <c r="D38" i="3"/>
  <c r="D36" i="3"/>
  <c r="D25" i="3"/>
  <c r="D23" i="3"/>
  <c r="D34" i="3"/>
  <c r="D21" i="3"/>
  <c r="D30" i="3"/>
  <c r="D20" i="3"/>
  <c r="D10" i="3"/>
  <c r="D26" i="3"/>
  <c r="D17" i="3"/>
  <c r="D6" i="3"/>
  <c r="D11" i="3"/>
  <c r="D8" i="3"/>
  <c r="D5" i="3"/>
  <c r="D13" i="3"/>
  <c r="D4" i="3"/>
  <c r="D17" i="2"/>
  <c r="D18" i="2"/>
  <c r="D21" i="2"/>
  <c r="D19" i="2"/>
  <c r="D15" i="2"/>
  <c r="D16" i="2"/>
  <c r="D11" i="2"/>
  <c r="D9" i="2"/>
  <c r="D10" i="2"/>
  <c r="D6" i="2"/>
  <c r="D5" i="2"/>
  <c r="D8" i="2"/>
  <c r="D7" i="2"/>
  <c r="D4" i="2"/>
  <c r="D17" i="13"/>
  <c r="D6" i="13"/>
  <c r="D12" i="13"/>
  <c r="D15" i="13"/>
  <c r="D10" i="13"/>
  <c r="D11" i="13"/>
  <c r="D5" i="13"/>
  <c r="D4" i="13"/>
  <c r="D4" i="21"/>
  <c r="D5" i="21"/>
  <c r="D16" i="4"/>
  <c r="D11" i="4"/>
  <c r="D9" i="4"/>
  <c r="D14" i="4"/>
  <c r="D8" i="4"/>
  <c r="D7" i="4"/>
  <c r="D4" i="4"/>
  <c r="D20" i="19"/>
  <c r="D7" i="19"/>
  <c r="D12" i="18"/>
  <c r="D8" i="18"/>
  <c r="D15" i="14"/>
  <c r="D9" i="14"/>
  <c r="D14" i="14"/>
  <c r="D10" i="14"/>
  <c r="D6" i="14"/>
  <c r="D7" i="14"/>
  <c r="D13" i="14"/>
  <c r="D12" i="14"/>
  <c r="D5" i="14"/>
  <c r="D8" i="14"/>
  <c r="D4" i="14"/>
  <c r="D10" i="10"/>
  <c r="D20" i="10"/>
  <c r="D18" i="10"/>
  <c r="D11" i="10"/>
  <c r="D15" i="10"/>
  <c r="D13" i="10"/>
  <c r="D9" i="10"/>
  <c r="D4" i="10"/>
  <c r="D7" i="10"/>
  <c r="D5" i="10"/>
  <c r="D6" i="10"/>
  <c r="D15" i="15"/>
  <c r="D16" i="15"/>
  <c r="D14" i="15"/>
  <c r="D11" i="15"/>
  <c r="D10" i="15"/>
  <c r="D8" i="15"/>
  <c r="D6" i="15"/>
  <c r="D7" i="15"/>
  <c r="D5" i="15"/>
  <c r="D4" i="15"/>
  <c r="D34" i="7"/>
  <c r="D6" i="7"/>
  <c r="D16" i="7"/>
  <c r="D35" i="7"/>
  <c r="D33" i="7"/>
  <c r="D32" i="7"/>
  <c r="D17" i="7"/>
  <c r="D28" i="7"/>
  <c r="D19" i="7"/>
  <c r="D23" i="7"/>
  <c r="D24" i="7"/>
  <c r="D26" i="7"/>
  <c r="D9" i="7"/>
  <c r="D12" i="7"/>
  <c r="D14" i="7"/>
  <c r="D7" i="7"/>
  <c r="D11" i="7"/>
  <c r="D10" i="7"/>
  <c r="D5" i="7"/>
  <c r="D4" i="7"/>
  <c r="D11" i="8"/>
  <c r="D7" i="8"/>
  <c r="D6" i="8"/>
  <c r="D4" i="8"/>
  <c r="D5" i="6"/>
  <c r="D38" i="6"/>
  <c r="D30" i="6"/>
  <c r="D35" i="6"/>
  <c r="D23" i="6"/>
  <c r="D31" i="6"/>
  <c r="D33" i="6"/>
  <c r="D17" i="6"/>
  <c r="D24" i="6"/>
  <c r="D29" i="6"/>
  <c r="D19" i="6"/>
  <c r="D22" i="6"/>
  <c r="D15" i="6"/>
  <c r="D16" i="6"/>
  <c r="D13" i="6"/>
  <c r="D10" i="6"/>
  <c r="D12" i="6"/>
  <c r="D11" i="6"/>
  <c r="D9" i="6"/>
  <c r="D20" i="6"/>
  <c r="D8" i="6"/>
  <c r="D7" i="6"/>
  <c r="D6" i="6"/>
  <c r="D4" i="6"/>
  <c r="D12" i="4"/>
  <c r="D6" i="4"/>
  <c r="T80" i="1"/>
  <c r="T73" i="1"/>
  <c r="T34" i="1"/>
  <c r="T46" i="1"/>
  <c r="T32" i="1"/>
  <c r="D31" i="7"/>
  <c r="D27" i="7"/>
  <c r="D15" i="7"/>
  <c r="D22" i="7"/>
  <c r="D8" i="7"/>
  <c r="D11" i="9"/>
  <c r="D12" i="10"/>
  <c r="D7" i="12"/>
  <c r="D13" i="13"/>
  <c r="D13" i="15"/>
  <c r="D6" i="21"/>
  <c r="D25" i="6"/>
  <c r="D27" i="6"/>
  <c r="D28" i="6"/>
  <c r="D7" i="5"/>
  <c r="D11" i="5"/>
  <c r="D10" i="4"/>
  <c r="D5" i="4"/>
  <c r="D12" i="3"/>
  <c r="D42" i="3"/>
  <c r="D29" i="3"/>
  <c r="D19" i="3"/>
  <c r="D22" i="3"/>
  <c r="D15" i="3"/>
  <c r="D14" i="3"/>
  <c r="D7" i="3"/>
  <c r="D13" i="2"/>
  <c r="T57" i="1"/>
  <c r="T97" i="1"/>
  <c r="T69" i="1"/>
  <c r="T84" i="1"/>
  <c r="T94" i="1"/>
  <c r="T52" i="1"/>
  <c r="T58" i="1"/>
  <c r="T59" i="1"/>
  <c r="T90" i="1"/>
  <c r="T86" i="1"/>
  <c r="T67" i="1"/>
  <c r="T81" i="1"/>
  <c r="T101" i="1"/>
  <c r="F101" i="1"/>
  <c r="D101" i="1"/>
  <c r="T88" i="1"/>
  <c r="T89" i="1"/>
  <c r="E89" i="1"/>
  <c r="T53" i="1"/>
  <c r="T30" i="1"/>
  <c r="T92" i="1"/>
  <c r="T62" i="1"/>
  <c r="M76" i="1"/>
  <c r="T74" i="1"/>
  <c r="M74" i="1"/>
  <c r="T93" i="1"/>
  <c r="M93" i="1"/>
  <c r="T28" i="1"/>
  <c r="T96" i="1"/>
  <c r="O96" i="1"/>
  <c r="E72" i="1"/>
  <c r="O33" i="1"/>
  <c r="T48" i="1"/>
  <c r="O48" i="1"/>
  <c r="E48" i="1"/>
  <c r="T100" i="1"/>
  <c r="T56" i="1"/>
  <c r="M21" i="1"/>
  <c r="T79" i="1"/>
  <c r="R79" i="1"/>
  <c r="T103" i="1"/>
  <c r="D7" i="21"/>
  <c r="D13" i="20"/>
  <c r="D11" i="20"/>
  <c r="D8" i="20"/>
  <c r="D18" i="19"/>
  <c r="D13" i="19"/>
  <c r="D9" i="19"/>
  <c r="D11" i="19"/>
  <c r="D6" i="17"/>
  <c r="D9" i="16"/>
  <c r="D6" i="16"/>
  <c r="D8" i="13"/>
  <c r="D15" i="12"/>
  <c r="D9" i="12"/>
  <c r="D19" i="10"/>
  <c r="D16" i="10"/>
  <c r="D9" i="9"/>
  <c r="D9" i="8"/>
  <c r="D38" i="7"/>
  <c r="D37" i="7"/>
  <c r="D25" i="7"/>
  <c r="D29" i="7"/>
  <c r="D20" i="7"/>
  <c r="D21" i="7"/>
  <c r="D13" i="7"/>
  <c r="D37" i="6"/>
  <c r="D39" i="6"/>
  <c r="D26" i="6"/>
  <c r="D18" i="6"/>
  <c r="D32" i="6"/>
  <c r="D14" i="6"/>
  <c r="D16" i="5"/>
  <c r="D14" i="5"/>
  <c r="D15" i="4"/>
  <c r="D13" i="4"/>
  <c r="D41" i="3"/>
  <c r="D33" i="3"/>
  <c r="D31" i="3"/>
  <c r="D12" i="15"/>
  <c r="D24" i="19"/>
  <c r="D16" i="19"/>
  <c r="D10" i="19"/>
  <c r="D25" i="19"/>
  <c r="D23" i="19"/>
  <c r="D12" i="19"/>
  <c r="D7" i="18"/>
  <c r="D9" i="15"/>
  <c r="D11" i="14"/>
  <c r="D8" i="21"/>
  <c r="D14" i="13"/>
  <c r="D9" i="13"/>
  <c r="D13" i="12"/>
  <c r="D9" i="11"/>
  <c r="D7" i="11"/>
  <c r="D17" i="10"/>
  <c r="D14" i="10"/>
  <c r="D8" i="10"/>
  <c r="D9" i="20"/>
  <c r="D13" i="9"/>
  <c r="D12" i="9"/>
  <c r="D7" i="9"/>
  <c r="D12" i="8"/>
  <c r="D8" i="8"/>
  <c r="D10" i="8"/>
  <c r="D5" i="8"/>
  <c r="D30" i="7"/>
  <c r="D18" i="7"/>
  <c r="D36" i="7"/>
  <c r="D36" i="6"/>
  <c r="D21" i="6"/>
  <c r="D34" i="6"/>
  <c r="D18" i="5"/>
  <c r="D17" i="5"/>
  <c r="D12" i="5"/>
  <c r="D24" i="3"/>
  <c r="D37" i="3"/>
  <c r="D35" i="3"/>
  <c r="D32" i="3"/>
  <c r="D28" i="3"/>
  <c r="D9" i="3"/>
  <c r="D14" i="2"/>
  <c r="D12" i="2"/>
  <c r="D26" i="19"/>
  <c r="D27" i="19"/>
  <c r="D19" i="19"/>
  <c r="D15" i="19"/>
  <c r="D10" i="18"/>
  <c r="D8" i="16"/>
  <c r="D17" i="15"/>
  <c r="D16" i="13"/>
  <c r="D7" i="13"/>
  <c r="D11" i="12"/>
  <c r="D14" i="11"/>
  <c r="D13" i="11"/>
  <c r="D12" i="11"/>
  <c r="D11" i="11"/>
  <c r="D18" i="4"/>
  <c r="D40" i="3"/>
  <c r="D39" i="3"/>
  <c r="D18" i="3"/>
  <c r="D16" i="3"/>
  <c r="D22" i="2"/>
  <c r="A3" i="1"/>
</calcChain>
</file>

<file path=xl/sharedStrings.xml><?xml version="1.0" encoding="utf-8"?>
<sst xmlns="http://schemas.openxmlformats.org/spreadsheetml/2006/main" count="556" uniqueCount="175">
  <si>
    <t>Overall Position</t>
  </si>
  <si>
    <t>No</t>
  </si>
  <si>
    <t>Name</t>
  </si>
  <si>
    <t>Formula Ultra</t>
  </si>
  <si>
    <t>Formula 2</t>
  </si>
  <si>
    <t>Open SS</t>
  </si>
  <si>
    <t>Open SBK</t>
  </si>
  <si>
    <t>600 SS</t>
  </si>
  <si>
    <t>600 SBK</t>
  </si>
  <si>
    <t>MW SS</t>
  </si>
  <si>
    <t>MW SBK</t>
  </si>
  <si>
    <t>LW SS</t>
  </si>
  <si>
    <t>LW SBK</t>
  </si>
  <si>
    <t>ULW SS</t>
  </si>
  <si>
    <t>450 SBK</t>
  </si>
  <si>
    <t>Classic SBK</t>
  </si>
  <si>
    <t>250 Ninja</t>
  </si>
  <si>
    <t>160 Vintage</t>
  </si>
  <si>
    <t>750 Vintage</t>
  </si>
  <si>
    <t>Top 2 Classes</t>
  </si>
  <si>
    <t>Adam Robarts</t>
  </si>
  <si>
    <t>Chris Sarbora</t>
  </si>
  <si>
    <t>62X</t>
  </si>
  <si>
    <t>Andy DiBrino</t>
  </si>
  <si>
    <t>21X</t>
  </si>
  <si>
    <t>Kevin Pinkstaff</t>
  </si>
  <si>
    <t>Steven Campbell</t>
  </si>
  <si>
    <t>58X</t>
  </si>
  <si>
    <t>Drat Diestler</t>
  </si>
  <si>
    <t>Volga Mermut</t>
  </si>
  <si>
    <t>24X</t>
  </si>
  <si>
    <t>Todd Eugene</t>
  </si>
  <si>
    <t>Garret Visser</t>
  </si>
  <si>
    <t>Andy Halbert</t>
  </si>
  <si>
    <t>Miles McElhany</t>
  </si>
  <si>
    <t>Darrin Griffin</t>
  </si>
  <si>
    <t>Philip Melnyk</t>
  </si>
  <si>
    <t>Micah Kudo</t>
  </si>
  <si>
    <t>Dave Heinricks</t>
  </si>
  <si>
    <t>Kevin Nanthrup</t>
  </si>
  <si>
    <t>David Pearce</t>
  </si>
  <si>
    <t>Paul McComsey</t>
  </si>
  <si>
    <t>Sean Cresap</t>
  </si>
  <si>
    <t>Kumpy Kump</t>
  </si>
  <si>
    <t>Zach Halbert</t>
  </si>
  <si>
    <t>Jeff Lane</t>
  </si>
  <si>
    <t>Donald Williams</t>
  </si>
  <si>
    <t>Jonathan Hudak</t>
  </si>
  <si>
    <t>Andrew Kapaldo</t>
  </si>
  <si>
    <t>Robert Stine</t>
  </si>
  <si>
    <t>Adam Fausett</t>
  </si>
  <si>
    <t>Ryan Cresap</t>
  </si>
  <si>
    <t>David Kohlstaedt</t>
  </si>
  <si>
    <t>Jacob Brown</t>
  </si>
  <si>
    <t>Ryan Doherty</t>
  </si>
  <si>
    <t>Joe Pittman</t>
  </si>
  <si>
    <t>Brian Pinkstaff</t>
  </si>
  <si>
    <t>Cedric Smith</t>
  </si>
  <si>
    <t>Paul Gienau</t>
  </si>
  <si>
    <t>Mallory Dobbs</t>
  </si>
  <si>
    <t>Matthew Winter</t>
  </si>
  <si>
    <t>Tico Sandoval</t>
  </si>
  <si>
    <t>Brian Burchill</t>
  </si>
  <si>
    <t>Jay Brown</t>
  </si>
  <si>
    <t>Matthew Wichgers</t>
  </si>
  <si>
    <t>Dave Oster</t>
  </si>
  <si>
    <t>Chris Wilcox</t>
  </si>
  <si>
    <t>Gary Ryder</t>
  </si>
  <si>
    <t>Cliff Griffin</t>
  </si>
  <si>
    <t>Matthew White</t>
  </si>
  <si>
    <t>Dustin Walbon</t>
  </si>
  <si>
    <t>Scott Harris</t>
  </si>
  <si>
    <t>Ron Rudy</t>
  </si>
  <si>
    <t>Zachary Smith</t>
  </si>
  <si>
    <t>Simon Smith</t>
  </si>
  <si>
    <t>Joel Ohman</t>
  </si>
  <si>
    <t>Jeremy Goddard</t>
  </si>
  <si>
    <t>Charles Hobbs</t>
  </si>
  <si>
    <t>Loren DeShon</t>
  </si>
  <si>
    <t>Nick Hawson</t>
  </si>
  <si>
    <t>Sergio Gingerich</t>
  </si>
  <si>
    <t>Arash Nadershahi</t>
  </si>
  <si>
    <t>Christopher Ritnoppakun</t>
  </si>
  <si>
    <t>Jolene Janacek</t>
  </si>
  <si>
    <t>Luke O'Brien</t>
  </si>
  <si>
    <t>Chris Eaker</t>
  </si>
  <si>
    <t>Garrick Fulbright</t>
  </si>
  <si>
    <t>Keith Stone</t>
  </si>
  <si>
    <t>Andy Moore</t>
  </si>
  <si>
    <t>Perry Lund</t>
  </si>
  <si>
    <t>Micah Smith</t>
  </si>
  <si>
    <t>Kent Swendseid</t>
  </si>
  <si>
    <t>Jennifer Chancellor</t>
  </si>
  <si>
    <t>Billy White</t>
  </si>
  <si>
    <t>Dion LaBlue</t>
  </si>
  <si>
    <t>Joseph Palmeri</t>
  </si>
  <si>
    <t>David Bostashvili</t>
  </si>
  <si>
    <t>John Bartlett</t>
  </si>
  <si>
    <t>Matt Taylor</t>
  </si>
  <si>
    <t>Tim Fowler</t>
  </si>
  <si>
    <t>Jacob Monson</t>
  </si>
  <si>
    <t>Howard Nusbaum</t>
  </si>
  <si>
    <t>Chris Burgess</t>
  </si>
  <si>
    <t>Kevin O'Neil</t>
  </si>
  <si>
    <t>Joe Van Patten</t>
  </si>
  <si>
    <t>Becky Smith</t>
  </si>
  <si>
    <t>Aleksandr Kibis</t>
  </si>
  <si>
    <t>Gavin Soderholm</t>
  </si>
  <si>
    <t>Seppi "T-Rex" Hutter</t>
  </si>
  <si>
    <t>Pete Markey</t>
  </si>
  <si>
    <t>Ryan Parlin</t>
  </si>
  <si>
    <t>Matthew Kitchell</t>
  </si>
  <si>
    <t>Brent Dwyer Love</t>
  </si>
  <si>
    <t>John Vento</t>
  </si>
  <si>
    <t>Patrick Ball</t>
  </si>
  <si>
    <t>Lucas Brown</t>
  </si>
  <si>
    <t>Dustin Knudsen</t>
  </si>
  <si>
    <t>Aaron Vaage</t>
  </si>
  <si>
    <t>Joseph Wright</t>
  </si>
  <si>
    <t>Scott Schnider</t>
  </si>
  <si>
    <t>Stephanie Dinescu</t>
  </si>
  <si>
    <t>Stacey Andrist</t>
  </si>
  <si>
    <t>Brett Andrist</t>
  </si>
  <si>
    <t>Jeffrey Seehorn</t>
  </si>
  <si>
    <t>Scott Teuton</t>
  </si>
  <si>
    <t>Duncan Craick</t>
  </si>
  <si>
    <t>2021 Formula Ultra</t>
  </si>
  <si>
    <t>Points</t>
  </si>
  <si>
    <t>2021 Formula 2</t>
  </si>
  <si>
    <t>2021 Open SS</t>
  </si>
  <si>
    <t>2021 Open SBK</t>
  </si>
  <si>
    <t>2021 600 SS</t>
  </si>
  <si>
    <t>2021 600 SBK</t>
  </si>
  <si>
    <t>2021 MW SS</t>
  </si>
  <si>
    <t>2021 MW SBK</t>
  </si>
  <si>
    <t>2021 LW SS</t>
  </si>
  <si>
    <t>24x</t>
  </si>
  <si>
    <t>2021 LW SBK</t>
  </si>
  <si>
    <t>2021 ULW SS</t>
  </si>
  <si>
    <t>2021 450 SBK</t>
  </si>
  <si>
    <t>2021 Classic SBK</t>
  </si>
  <si>
    <t>2021 250 Ninja Cup</t>
  </si>
  <si>
    <t>2021 160 Vintage</t>
  </si>
  <si>
    <t>Arash Nadershahi M.D.</t>
  </si>
  <si>
    <t>2021 750 Vintage</t>
  </si>
  <si>
    <t>2021 Novice 1000</t>
  </si>
  <si>
    <t>Cory Desouza</t>
  </si>
  <si>
    <t>Jonathan Kirkland</t>
  </si>
  <si>
    <t>Keith Radcliff</t>
  </si>
  <si>
    <t>Kevin O'Neill</t>
  </si>
  <si>
    <t>Andrew Hopkins</t>
  </si>
  <si>
    <t>Chance Terrell</t>
  </si>
  <si>
    <t>JD Bucklin</t>
  </si>
  <si>
    <t>Terrence Koger</t>
  </si>
  <si>
    <t>2021 Novice 600</t>
  </si>
  <si>
    <t>Logan Oster</t>
  </si>
  <si>
    <t>Dawson Hart</t>
  </si>
  <si>
    <t>Cory Balma</t>
  </si>
  <si>
    <t>Drew Lenihan</t>
  </si>
  <si>
    <t>Colin Carrihill</t>
  </si>
  <si>
    <t>Trevor Petersen</t>
  </si>
  <si>
    <t>Ken Dawson</t>
  </si>
  <si>
    <t>Hunter Fitch</t>
  </si>
  <si>
    <t>Lou Bragg</t>
  </si>
  <si>
    <t>Salman Khan</t>
  </si>
  <si>
    <t>Robert Prindle</t>
  </si>
  <si>
    <t>Vanessa Walters</t>
  </si>
  <si>
    <t>Chris Kobernik</t>
  </si>
  <si>
    <t>Sam Crawford</t>
  </si>
  <si>
    <t>Tyler Brown</t>
  </si>
  <si>
    <t>Thomas Arnesen</t>
  </si>
  <si>
    <t>2021 Formula 40</t>
  </si>
  <si>
    <t>2021 Formula Female</t>
  </si>
  <si>
    <t>Crystal Platt</t>
  </si>
  <si>
    <t>Emily 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</si>
</sst>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;###0"/>
  </numFmts>
  <fonts count="11">
    <font>
      <sz val="11"/>
      <color theme="1"/>
      <name val="Calibri"/>
      <family val="2"/>
      <scheme val="minor"/>
    </font>
    <font>
      <sz val="12"/>
      <color theme="1"/>
      <name val="Bookman Old Style"/>
      <family val="1"/>
    </font>
    <font>
      <b/>
      <sz val="12"/>
      <color theme="1"/>
      <name val="Bookman Old Style"/>
      <family val="1"/>
    </font>
    <font>
      <sz val="12"/>
      <name val="Bookman Old Style"/>
      <family val="1"/>
    </font>
    <font>
      <sz val="12"/>
      <color rgb="FF000000"/>
      <name val="Bookman Old Style"/>
      <family val="1"/>
    </font>
    <font>
      <sz val="10"/>
      <name val="Arial"/>
      <family val="2"/>
    </font>
    <font>
      <sz val="13"/>
      <color theme="1"/>
      <name val="Book Antiqua"/>
    </font>
    <font>
      <sz val="13"/>
      <name val="Book Antiqua"/>
    </font>
    <font>
      <sz val="13"/>
      <color rgb="FF000000"/>
      <name val="Book Antiqua"/>
    </font>
    <font>
      <b/>
      <sz val="13"/>
      <color theme="1"/>
      <name val="Book Antiqua"/>
    </font>
    <font>
      <sz val="11"/>
      <color theme="1"/>
      <name val="Book Antiqua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19FF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163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6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2" borderId="15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2" borderId="14" xfId="0" applyFont="1" applyFill="1" applyBorder="1" applyAlignment="1">
      <alignment horizontal="center" vertical="center"/>
    </xf>
    <xf numFmtId="14" fontId="1" fillId="0" borderId="0" xfId="0" applyNumberFormat="1" applyFont="1"/>
    <xf numFmtId="0" fontId="6" fillId="0" borderId="2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wrapText="1"/>
    </xf>
    <xf numFmtId="0" fontId="6" fillId="2" borderId="22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2" xfId="0" applyFont="1" applyBorder="1" applyAlignment="1">
      <alignment horizontal="right"/>
    </xf>
    <xf numFmtId="0" fontId="1" fillId="0" borderId="24" xfId="0" applyFont="1" applyBorder="1" applyAlignment="1">
      <alignment horizontal="right"/>
    </xf>
    <xf numFmtId="0" fontId="1" fillId="0" borderId="25" xfId="0" applyFont="1" applyBorder="1" applyAlignment="1">
      <alignment horizontal="right"/>
    </xf>
    <xf numFmtId="0" fontId="1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 wrapText="1"/>
    </xf>
    <xf numFmtId="0" fontId="3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8" fillId="0" borderId="8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/>
    </xf>
    <xf numFmtId="0" fontId="8" fillId="0" borderId="15" xfId="0" applyFont="1" applyFill="1" applyBorder="1" applyAlignment="1">
      <alignment horizontal="center"/>
    </xf>
    <xf numFmtId="0" fontId="8" fillId="0" borderId="15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 vertical="justify" wrapText="1"/>
    </xf>
    <xf numFmtId="0" fontId="1" fillId="2" borderId="9" xfId="0" applyFont="1" applyFill="1" applyBorder="1" applyAlignment="1">
      <alignment horizontal="center"/>
    </xf>
    <xf numFmtId="0" fontId="2" fillId="0" borderId="8" xfId="0" applyFont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6" fillId="0" borderId="27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9" fillId="0" borderId="0" xfId="0" applyFont="1"/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6" fillId="0" borderId="0" xfId="0" applyFont="1"/>
    <xf numFmtId="0" fontId="9" fillId="0" borderId="4" xfId="0" applyFont="1" applyBorder="1" applyAlignment="1">
      <alignment horizontal="center" wrapText="1"/>
    </xf>
    <xf numFmtId="0" fontId="9" fillId="0" borderId="16" xfId="0" applyFont="1" applyBorder="1" applyAlignment="1">
      <alignment horizontal="center" wrapText="1"/>
    </xf>
    <xf numFmtId="0" fontId="9" fillId="0" borderId="11" xfId="0" applyFont="1" applyBorder="1" applyAlignment="1">
      <alignment horizontal="center"/>
    </xf>
    <xf numFmtId="0" fontId="6" fillId="0" borderId="0" xfId="0" applyFont="1" applyAlignment="1">
      <alignment horizontal="left"/>
    </xf>
    <xf numFmtId="14" fontId="6" fillId="0" borderId="0" xfId="0" applyNumberFormat="1" applyFont="1"/>
    <xf numFmtId="0" fontId="9" fillId="0" borderId="19" xfId="0" applyFont="1" applyBorder="1" applyAlignment="1">
      <alignment horizontal="center" wrapText="1"/>
    </xf>
    <xf numFmtId="0" fontId="9" fillId="0" borderId="17" xfId="0" applyFont="1" applyBorder="1" applyAlignment="1">
      <alignment horizontal="left"/>
    </xf>
    <xf numFmtId="0" fontId="9" fillId="0" borderId="17" xfId="0" applyFont="1" applyBorder="1" applyAlignment="1">
      <alignment horizontal="center"/>
    </xf>
    <xf numFmtId="0" fontId="7" fillId="0" borderId="9" xfId="0" applyFont="1" applyBorder="1" applyAlignment="1">
      <alignment horizontal="center" vertical="center" wrapText="1"/>
    </xf>
    <xf numFmtId="0" fontId="6" fillId="0" borderId="22" xfId="0" applyFont="1" applyFill="1" applyBorder="1" applyAlignment="1">
      <alignment horizontal="center"/>
    </xf>
    <xf numFmtId="0" fontId="9" fillId="0" borderId="16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/>
    </xf>
    <xf numFmtId="0" fontId="6" fillId="0" borderId="30" xfId="0" applyFont="1" applyBorder="1" applyAlignment="1">
      <alignment horizontal="center"/>
    </xf>
    <xf numFmtId="0" fontId="9" fillId="0" borderId="0" xfId="0" applyFont="1" applyFill="1"/>
    <xf numFmtId="0" fontId="6" fillId="0" borderId="0" xfId="0" applyFont="1" applyFill="1"/>
    <xf numFmtId="14" fontId="6" fillId="0" borderId="0" xfId="0" applyNumberFormat="1" applyFont="1" applyFill="1"/>
    <xf numFmtId="0" fontId="9" fillId="0" borderId="4" xfId="0" applyFont="1" applyFill="1" applyBorder="1" applyAlignment="1">
      <alignment horizontal="center" wrapText="1"/>
    </xf>
    <xf numFmtId="0" fontId="9" fillId="0" borderId="19" xfId="0" applyFont="1" applyFill="1" applyBorder="1" applyAlignment="1">
      <alignment horizontal="center" wrapText="1"/>
    </xf>
    <xf numFmtId="0" fontId="9" fillId="0" borderId="22" xfId="0" applyFont="1" applyFill="1" applyBorder="1"/>
    <xf numFmtId="0" fontId="8" fillId="0" borderId="18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7" fillId="0" borderId="28" xfId="0" applyFont="1" applyBorder="1" applyAlignment="1">
      <alignment horizontal="center"/>
    </xf>
    <xf numFmtId="14" fontId="6" fillId="0" borderId="0" xfId="0" applyNumberFormat="1" applyFont="1" applyAlignment="1">
      <alignment horizontal="right"/>
    </xf>
    <xf numFmtId="0" fontId="9" fillId="0" borderId="17" xfId="0" applyFont="1" applyFill="1" applyBorder="1" applyAlignment="1">
      <alignment horizontal="center"/>
    </xf>
    <xf numFmtId="0" fontId="6" fillId="0" borderId="31" xfId="0" applyFont="1" applyBorder="1" applyAlignment="1">
      <alignment horizontal="center"/>
    </xf>
    <xf numFmtId="14" fontId="6" fillId="0" borderId="0" xfId="0" applyNumberFormat="1" applyFont="1" applyFill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9" fillId="0" borderId="22" xfId="0" applyFont="1" applyBorder="1"/>
    <xf numFmtId="0" fontId="9" fillId="0" borderId="22" xfId="0" applyFont="1" applyBorder="1" applyAlignment="1">
      <alignment horizontal="center"/>
    </xf>
    <xf numFmtId="0" fontId="7" fillId="2" borderId="29" xfId="0" applyFont="1" applyFill="1" applyBorder="1" applyAlignment="1">
      <alignment horizontal="center" vertical="center"/>
    </xf>
    <xf numFmtId="0" fontId="9" fillId="0" borderId="17" xfId="0" applyFont="1" applyBorder="1"/>
    <xf numFmtId="0" fontId="9" fillId="0" borderId="5" xfId="0" applyFont="1" applyBorder="1" applyAlignment="1">
      <alignment horizontal="center" wrapText="1"/>
    </xf>
    <xf numFmtId="0" fontId="9" fillId="0" borderId="12" xfId="0" applyFont="1" applyBorder="1" applyAlignment="1">
      <alignment horizontal="center" wrapText="1"/>
    </xf>
    <xf numFmtId="0" fontId="9" fillId="0" borderId="13" xfId="0" applyFont="1" applyBorder="1" applyAlignment="1">
      <alignment horizontal="center" wrapText="1"/>
    </xf>
    <xf numFmtId="0" fontId="9" fillId="0" borderId="6" xfId="0" applyFont="1" applyBorder="1" applyAlignment="1">
      <alignment horizontal="center" wrapText="1"/>
    </xf>
    <xf numFmtId="0" fontId="9" fillId="0" borderId="7" xfId="0" applyFont="1" applyBorder="1" applyAlignment="1">
      <alignment horizontal="center" wrapText="1"/>
    </xf>
    <xf numFmtId="0" fontId="9" fillId="0" borderId="11" xfId="0" applyFont="1" applyBorder="1"/>
    <xf numFmtId="0" fontId="6" fillId="2" borderId="2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wrapText="1"/>
    </xf>
    <xf numFmtId="0" fontId="2" fillId="3" borderId="26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wrapText="1"/>
    </xf>
    <xf numFmtId="0" fontId="1" fillId="0" borderId="0" xfId="0" applyFont="1" applyAlignment="1"/>
    <xf numFmtId="0" fontId="6" fillId="0" borderId="0" xfId="0" applyFont="1" applyBorder="1" applyAlignment="1">
      <alignment vertical="center"/>
    </xf>
    <xf numFmtId="0" fontId="6" fillId="0" borderId="0" xfId="0" applyFont="1" applyBorder="1" applyAlignment="1"/>
    <xf numFmtId="0" fontId="7" fillId="0" borderId="0" xfId="0" applyFont="1" applyBorder="1" applyAlignment="1">
      <alignment vertical="center" wrapText="1"/>
    </xf>
    <xf numFmtId="0" fontId="1" fillId="0" borderId="0" xfId="0" applyFont="1" applyBorder="1" applyAlignment="1"/>
    <xf numFmtId="0" fontId="4" fillId="0" borderId="0" xfId="0" applyFont="1" applyBorder="1" applyAlignment="1"/>
    <xf numFmtId="0" fontId="3" fillId="0" borderId="0" xfId="0" applyFont="1" applyBorder="1" applyAlignment="1"/>
    <xf numFmtId="0" fontId="7" fillId="0" borderId="0" xfId="0" applyFont="1" applyBorder="1" applyAlignment="1"/>
    <xf numFmtId="0" fontId="3" fillId="0" borderId="0" xfId="0" applyFont="1" applyBorder="1" applyAlignment="1">
      <alignment vertical="center"/>
    </xf>
    <xf numFmtId="0" fontId="9" fillId="0" borderId="32" xfId="0" applyFont="1" applyFill="1" applyBorder="1" applyAlignment="1">
      <alignment horizontal="center" wrapText="1"/>
    </xf>
    <xf numFmtId="0" fontId="9" fillId="0" borderId="22" xfId="0" applyFont="1" applyFill="1" applyBorder="1" applyAlignment="1">
      <alignment horizontal="center" wrapText="1"/>
    </xf>
    <xf numFmtId="0" fontId="10" fillId="0" borderId="8" xfId="0" applyFont="1" applyBorder="1" applyAlignment="1">
      <alignment horizontal="center"/>
    </xf>
    <xf numFmtId="0" fontId="9" fillId="0" borderId="11" xfId="0" applyFont="1" applyFill="1" applyBorder="1" applyAlignment="1">
      <alignment horizontal="center" wrapText="1"/>
    </xf>
    <xf numFmtId="0" fontId="6" fillId="2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9" fillId="0" borderId="32" xfId="0" applyFont="1" applyBorder="1" applyAlignment="1">
      <alignment horizontal="center" wrapText="1"/>
    </xf>
    <xf numFmtId="0" fontId="9" fillId="0" borderId="22" xfId="0" applyFont="1" applyBorder="1" applyAlignment="1">
      <alignment horizontal="center" wrapText="1"/>
    </xf>
    <xf numFmtId="0" fontId="6" fillId="2" borderId="8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wrapText="1"/>
    </xf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/>
    </xf>
    <xf numFmtId="0" fontId="6" fillId="0" borderId="36" xfId="0" applyFont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0" fontId="7" fillId="0" borderId="36" xfId="0" applyFont="1" applyBorder="1" applyAlignment="1">
      <alignment horizontal="center"/>
    </xf>
    <xf numFmtId="0" fontId="6" fillId="2" borderId="37" xfId="0" applyFont="1" applyFill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164" fontId="8" fillId="0" borderId="36" xfId="0" applyNumberFormat="1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/>
    </xf>
    <xf numFmtId="164" fontId="8" fillId="0" borderId="38" xfId="0" applyNumberFormat="1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 vertical="center"/>
    </xf>
    <xf numFmtId="1" fontId="8" fillId="0" borderId="8" xfId="0" applyNumberFormat="1" applyFont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8" xfId="0" applyFont="1" applyBorder="1" applyAlignment="1">
      <alignment horizontal="center" vertical="center"/>
    </xf>
    <xf numFmtId="0" fontId="8" fillId="0" borderId="27" xfId="0" applyFont="1" applyFill="1" applyBorder="1" applyAlignment="1">
      <alignment horizontal="center"/>
    </xf>
    <xf numFmtId="0" fontId="7" fillId="0" borderId="8" xfId="1" applyFont="1" applyFill="1" applyBorder="1" applyAlignment="1">
      <alignment horizontal="center" vertical="justify" wrapText="1"/>
    </xf>
    <xf numFmtId="0" fontId="6" fillId="0" borderId="27" xfId="0" applyFont="1" applyFill="1" applyBorder="1" applyAlignment="1">
      <alignment horizontal="center"/>
    </xf>
    <xf numFmtId="0" fontId="6" fillId="0" borderId="29" xfId="0" applyFont="1" applyFill="1" applyBorder="1" applyAlignment="1">
      <alignment horizontal="center"/>
    </xf>
    <xf numFmtId="0" fontId="6" fillId="2" borderId="27" xfId="0" applyFont="1" applyFill="1" applyBorder="1" applyAlignment="1">
      <alignment horizontal="center" vertical="center"/>
    </xf>
    <xf numFmtId="0" fontId="9" fillId="0" borderId="41" xfId="0" applyFont="1" applyBorder="1" applyAlignment="1">
      <alignment horizontal="center" wrapText="1"/>
    </xf>
    <xf numFmtId="0" fontId="8" fillId="0" borderId="8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1" fillId="0" borderId="42" xfId="0" applyFont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center"/>
    </xf>
  </cellXfs>
  <cellStyles count="2">
    <cellStyle name="Normal" xfId="0" builtinId="0"/>
    <cellStyle name="Normal 2" xfId="1" xr:uid="{44F08D4A-9A5E-48C7-8F8B-8FECCE0CDC1C}"/>
  </cellStyles>
  <dxfs count="0"/>
  <tableStyles count="0" defaultTableStyle="TableStyleMedium2" defaultPivotStyle="PivotStyleLight16"/>
  <colors>
    <mruColors>
      <color rgb="FF729A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7F948-6651-44D9-8ECD-8443283C1AB8}">
  <sheetPr>
    <tabColor rgb="FF7030A0"/>
  </sheetPr>
  <dimension ref="A1:U103"/>
  <sheetViews>
    <sheetView tabSelected="1" zoomScaleNormal="100" workbookViewId="0">
      <pane xSplit="3" ySplit="1" topLeftCell="K95" activePane="bottomRight" state="frozen"/>
      <selection pane="bottomRight" activeCell="A3" sqref="A3:A103"/>
      <selection pane="bottomLeft" activeCell="A2" sqref="A2"/>
      <selection pane="topRight" activeCell="C1" sqref="C1"/>
    </sheetView>
  </sheetViews>
  <sheetFormatPr defaultRowHeight="15.75"/>
  <cols>
    <col min="1" max="1" width="12" style="104" customWidth="1"/>
    <col min="2" max="2" width="6.7109375" style="104" customWidth="1"/>
    <col min="3" max="3" width="25.140625" style="108" customWidth="1"/>
    <col min="4" max="4" width="11.28515625" style="104" customWidth="1"/>
    <col min="5" max="5" width="11.85546875" style="104" customWidth="1"/>
    <col min="6" max="6" width="8.7109375" style="104" bestFit="1" customWidth="1"/>
    <col min="7" max="7" width="10.28515625" style="104" bestFit="1" customWidth="1"/>
    <col min="8" max="8" width="7.7109375" style="104" customWidth="1"/>
    <col min="9" max="9" width="8.5703125" style="104" customWidth="1"/>
    <col min="10" max="10" width="7.85546875" style="104" customWidth="1"/>
    <col min="11" max="11" width="9.28515625" style="104" bestFit="1" customWidth="1"/>
    <col min="12" max="13" width="8.5703125" style="104" bestFit="1" customWidth="1"/>
    <col min="14" max="14" width="9.28515625" style="104" bestFit="1" customWidth="1"/>
    <col min="15" max="15" width="8.42578125" style="104" bestFit="1" customWidth="1"/>
    <col min="16" max="16" width="11.42578125" style="104" bestFit="1" customWidth="1"/>
    <col min="17" max="17" width="9.42578125" style="104" bestFit="1" customWidth="1"/>
    <col min="18" max="19" width="11.28515625" style="104" bestFit="1" customWidth="1"/>
    <col min="20" max="20" width="11.28515625" style="106" customWidth="1"/>
    <col min="21" max="21" width="14.28515625" style="102" bestFit="1" customWidth="1"/>
    <col min="22" max="16384" width="9.140625" style="102"/>
  </cols>
  <sheetData>
    <row r="1" spans="1:21" s="2" customFormat="1" ht="31.5">
      <c r="A1" s="1" t="s">
        <v>0</v>
      </c>
      <c r="B1" s="1" t="s">
        <v>1</v>
      </c>
      <c r="C1" s="107" t="s">
        <v>2</v>
      </c>
      <c r="D1" s="97" t="s">
        <v>3</v>
      </c>
      <c r="E1" s="97" t="s">
        <v>4</v>
      </c>
      <c r="F1" s="97" t="s">
        <v>5</v>
      </c>
      <c r="G1" s="97" t="s">
        <v>6</v>
      </c>
      <c r="H1" s="97" t="s">
        <v>7</v>
      </c>
      <c r="I1" s="97" t="s">
        <v>8</v>
      </c>
      <c r="J1" s="97" t="s">
        <v>9</v>
      </c>
      <c r="K1" s="97" t="s">
        <v>10</v>
      </c>
      <c r="L1" s="97" t="s">
        <v>11</v>
      </c>
      <c r="M1" s="97" t="s">
        <v>12</v>
      </c>
      <c r="N1" s="97" t="s">
        <v>13</v>
      </c>
      <c r="O1" s="97" t="s">
        <v>14</v>
      </c>
      <c r="P1" s="97" t="s">
        <v>15</v>
      </c>
      <c r="Q1" s="97" t="s">
        <v>16</v>
      </c>
      <c r="R1" s="97" t="s">
        <v>17</v>
      </c>
      <c r="S1" s="98" t="s">
        <v>18</v>
      </c>
      <c r="T1" s="31" t="s">
        <v>19</v>
      </c>
      <c r="U1" s="16">
        <v>44432</v>
      </c>
    </row>
    <row r="2" spans="1:21" s="100" customFormat="1">
      <c r="A2" s="39">
        <v>1</v>
      </c>
      <c r="B2" s="99">
        <v>1</v>
      </c>
      <c r="C2" s="112" t="s">
        <v>20</v>
      </c>
      <c r="D2" s="32">
        <v>367</v>
      </c>
      <c r="E2" s="33">
        <v>317</v>
      </c>
      <c r="F2" s="32"/>
      <c r="G2" s="34"/>
      <c r="H2" s="33">
        <v>270</v>
      </c>
      <c r="I2" s="33">
        <v>277</v>
      </c>
      <c r="J2" s="33"/>
      <c r="K2" s="33"/>
      <c r="L2" s="33"/>
      <c r="M2" s="33"/>
      <c r="N2" s="47"/>
      <c r="O2" s="33"/>
      <c r="P2" s="33"/>
      <c r="Q2" s="33"/>
      <c r="R2" s="33"/>
      <c r="S2" s="46"/>
      <c r="T2" s="27">
        <f>367+317</f>
        <v>684</v>
      </c>
      <c r="U2" s="102"/>
    </row>
    <row r="3" spans="1:21">
      <c r="A3" s="39">
        <f>A2+1</f>
        <v>2</v>
      </c>
      <c r="B3" s="99">
        <v>2</v>
      </c>
      <c r="C3" s="112" t="s">
        <v>21</v>
      </c>
      <c r="D3" s="32">
        <v>371</v>
      </c>
      <c r="E3" s="33">
        <v>133</v>
      </c>
      <c r="F3" s="32">
        <v>41</v>
      </c>
      <c r="G3" s="34">
        <v>186</v>
      </c>
      <c r="H3" s="34">
        <v>296</v>
      </c>
      <c r="I3" s="34">
        <v>268</v>
      </c>
      <c r="J3" s="34"/>
      <c r="K3" s="34"/>
      <c r="L3" s="34"/>
      <c r="M3" s="34"/>
      <c r="N3" s="26"/>
      <c r="O3" s="34"/>
      <c r="P3" s="34"/>
      <c r="Q3" s="34"/>
      <c r="R3" s="34"/>
      <c r="S3" s="37"/>
      <c r="T3" s="28">
        <f>371+296</f>
        <v>667</v>
      </c>
    </row>
    <row r="4" spans="1:21">
      <c r="A4" s="39">
        <f t="shared" ref="A4:A67" si="0">A3+1</f>
        <v>3</v>
      </c>
      <c r="B4" s="99" t="s">
        <v>22</v>
      </c>
      <c r="C4" s="108" t="s">
        <v>23</v>
      </c>
      <c r="D4" s="32">
        <v>456</v>
      </c>
      <c r="E4" s="33">
        <v>81</v>
      </c>
      <c r="F4" s="32">
        <v>182</v>
      </c>
      <c r="G4" s="33">
        <v>169</v>
      </c>
      <c r="H4" s="32"/>
      <c r="I4" s="34">
        <v>32</v>
      </c>
      <c r="J4" s="34"/>
      <c r="K4" s="35"/>
      <c r="L4" s="35"/>
      <c r="M4" s="35"/>
      <c r="N4" s="26"/>
      <c r="O4" s="35"/>
      <c r="P4" s="35"/>
      <c r="Q4" s="35"/>
      <c r="R4" s="35"/>
      <c r="S4" s="38"/>
      <c r="T4" s="28">
        <f>456+182</f>
        <v>638</v>
      </c>
    </row>
    <row r="5" spans="1:21">
      <c r="A5" s="39">
        <f t="shared" si="0"/>
        <v>4</v>
      </c>
      <c r="B5" s="104" t="s">
        <v>24</v>
      </c>
      <c r="C5" s="112" t="s">
        <v>25</v>
      </c>
      <c r="D5" s="34">
        <v>332</v>
      </c>
      <c r="E5" s="33"/>
      <c r="F5" s="34">
        <v>185</v>
      </c>
      <c r="G5" s="34">
        <v>170</v>
      </c>
      <c r="H5" s="33"/>
      <c r="I5" s="33"/>
      <c r="J5" s="33"/>
      <c r="K5" s="33"/>
      <c r="L5" s="33"/>
      <c r="M5" s="33"/>
      <c r="N5" s="26"/>
      <c r="O5" s="33"/>
      <c r="P5" s="33"/>
      <c r="Q5" s="33"/>
      <c r="R5" s="33"/>
      <c r="S5" s="46"/>
      <c r="T5" s="28">
        <f>332+185</f>
        <v>517</v>
      </c>
    </row>
    <row r="6" spans="1:21">
      <c r="A6" s="39">
        <f t="shared" si="0"/>
        <v>5</v>
      </c>
      <c r="B6" s="99">
        <v>4</v>
      </c>
      <c r="C6" s="112" t="s">
        <v>26</v>
      </c>
      <c r="D6" s="32">
        <v>230</v>
      </c>
      <c r="E6" s="33">
        <v>205</v>
      </c>
      <c r="F6" s="32">
        <v>158</v>
      </c>
      <c r="G6" s="33">
        <v>130</v>
      </c>
      <c r="H6" s="32">
        <v>243</v>
      </c>
      <c r="I6" s="34">
        <v>120</v>
      </c>
      <c r="J6" s="34"/>
      <c r="K6" s="35"/>
      <c r="L6" s="35"/>
      <c r="M6" s="35"/>
      <c r="N6" s="26"/>
      <c r="O6" s="35"/>
      <c r="P6" s="35"/>
      <c r="Q6" s="35"/>
      <c r="R6" s="35"/>
      <c r="S6" s="38"/>
      <c r="T6" s="28">
        <f>243+230</f>
        <v>473</v>
      </c>
    </row>
    <row r="7" spans="1:21">
      <c r="A7" s="39">
        <f t="shared" si="0"/>
        <v>6</v>
      </c>
      <c r="B7" s="99" t="s">
        <v>27</v>
      </c>
      <c r="C7" s="112" t="s">
        <v>28</v>
      </c>
      <c r="D7" s="32"/>
      <c r="E7" s="33"/>
      <c r="F7" s="33"/>
      <c r="G7" s="34"/>
      <c r="H7" s="34"/>
      <c r="I7" s="33"/>
      <c r="J7" s="33"/>
      <c r="K7" s="34">
        <v>207</v>
      </c>
      <c r="L7" s="34"/>
      <c r="M7" s="35"/>
      <c r="N7" s="26"/>
      <c r="O7" s="34">
        <v>186</v>
      </c>
      <c r="P7" s="35"/>
      <c r="Q7" s="35"/>
      <c r="R7" s="33"/>
      <c r="S7" s="38"/>
      <c r="T7" s="28">
        <f>207+186</f>
        <v>393</v>
      </c>
    </row>
    <row r="8" spans="1:21">
      <c r="A8" s="39">
        <f t="shared" si="0"/>
        <v>7</v>
      </c>
      <c r="B8" s="99">
        <v>38</v>
      </c>
      <c r="C8" s="112" t="s">
        <v>29</v>
      </c>
      <c r="D8" s="32">
        <v>241</v>
      </c>
      <c r="E8" s="33"/>
      <c r="F8" s="32">
        <v>138</v>
      </c>
      <c r="G8" s="34">
        <v>125</v>
      </c>
      <c r="H8" s="33"/>
      <c r="I8" s="33"/>
      <c r="J8" s="33"/>
      <c r="K8" s="33"/>
      <c r="L8" s="33"/>
      <c r="M8" s="33"/>
      <c r="N8" s="26"/>
      <c r="O8" s="33"/>
      <c r="P8" s="33"/>
      <c r="Q8" s="33"/>
      <c r="R8" s="33"/>
      <c r="S8" s="46"/>
      <c r="T8" s="28">
        <f>241+138</f>
        <v>379</v>
      </c>
    </row>
    <row r="9" spans="1:21">
      <c r="A9" s="39">
        <f t="shared" si="0"/>
        <v>8</v>
      </c>
      <c r="B9" s="99" t="s">
        <v>30</v>
      </c>
      <c r="C9" s="113" t="s">
        <v>31</v>
      </c>
      <c r="D9" s="32"/>
      <c r="E9" s="33"/>
      <c r="F9" s="33"/>
      <c r="G9" s="34"/>
      <c r="H9" s="34"/>
      <c r="I9" s="33"/>
      <c r="J9" s="33">
        <v>81</v>
      </c>
      <c r="K9" s="34">
        <v>79</v>
      </c>
      <c r="L9" s="34">
        <v>177.5</v>
      </c>
      <c r="M9" s="35">
        <v>166</v>
      </c>
      <c r="N9" s="26"/>
      <c r="O9" s="34">
        <v>13</v>
      </c>
      <c r="P9" s="35"/>
      <c r="Q9" s="35">
        <v>16</v>
      </c>
      <c r="R9" s="33"/>
      <c r="S9" s="38"/>
      <c r="T9" s="28">
        <f>177.5+166</f>
        <v>343.5</v>
      </c>
    </row>
    <row r="10" spans="1:21">
      <c r="A10" s="39">
        <f t="shared" si="0"/>
        <v>9</v>
      </c>
      <c r="B10" s="101">
        <v>284</v>
      </c>
      <c r="C10" s="114" t="s">
        <v>32</v>
      </c>
      <c r="D10" s="32">
        <v>144</v>
      </c>
      <c r="E10" s="33">
        <v>157</v>
      </c>
      <c r="F10" s="32">
        <v>107</v>
      </c>
      <c r="G10" s="32">
        <v>67</v>
      </c>
      <c r="H10" s="33">
        <v>164</v>
      </c>
      <c r="I10" s="33">
        <v>136</v>
      </c>
      <c r="J10" s="33"/>
      <c r="K10" s="33"/>
      <c r="L10" s="33"/>
      <c r="M10" s="33"/>
      <c r="N10" s="26"/>
      <c r="O10" s="33"/>
      <c r="P10" s="33"/>
      <c r="Q10" s="33"/>
      <c r="R10" s="33"/>
      <c r="S10" s="46"/>
      <c r="T10" s="28">
        <f>164+157</f>
        <v>321</v>
      </c>
    </row>
    <row r="11" spans="1:21">
      <c r="A11" s="39">
        <f t="shared" si="0"/>
        <v>10</v>
      </c>
      <c r="B11" s="99">
        <v>107</v>
      </c>
      <c r="C11" s="112" t="s">
        <v>33</v>
      </c>
      <c r="D11" s="33"/>
      <c r="E11" s="33"/>
      <c r="F11" s="33"/>
      <c r="G11" s="33"/>
      <c r="H11" s="33"/>
      <c r="I11" s="34"/>
      <c r="J11" s="34"/>
      <c r="K11" s="34"/>
      <c r="L11" s="34">
        <v>128</v>
      </c>
      <c r="M11" s="34"/>
      <c r="N11" s="26">
        <v>176</v>
      </c>
      <c r="O11" s="34"/>
      <c r="P11" s="34"/>
      <c r="Q11" s="34"/>
      <c r="R11" s="34"/>
      <c r="S11" s="37"/>
      <c r="T11" s="28">
        <f>128+176</f>
        <v>304</v>
      </c>
    </row>
    <row r="12" spans="1:21">
      <c r="A12" s="39">
        <f t="shared" si="0"/>
        <v>11</v>
      </c>
      <c r="B12" s="99">
        <v>343</v>
      </c>
      <c r="C12" s="112" t="s">
        <v>34</v>
      </c>
      <c r="D12" s="33">
        <v>14</v>
      </c>
      <c r="E12" s="33">
        <v>42</v>
      </c>
      <c r="F12" s="33">
        <v>10</v>
      </c>
      <c r="G12" s="33">
        <v>17</v>
      </c>
      <c r="H12" s="32">
        <v>101</v>
      </c>
      <c r="I12" s="32">
        <v>74</v>
      </c>
      <c r="J12" s="32"/>
      <c r="K12" s="35"/>
      <c r="L12" s="35"/>
      <c r="M12" s="35"/>
      <c r="N12" s="26"/>
      <c r="O12" s="35"/>
      <c r="P12" s="35">
        <v>194</v>
      </c>
      <c r="Q12" s="35"/>
      <c r="R12" s="35"/>
      <c r="S12" s="38"/>
      <c r="T12" s="28">
        <f>194+101</f>
        <v>295</v>
      </c>
    </row>
    <row r="13" spans="1:21">
      <c r="A13" s="39">
        <f t="shared" si="0"/>
        <v>12</v>
      </c>
      <c r="B13" s="99">
        <v>23</v>
      </c>
      <c r="C13" s="112" t="s">
        <v>35</v>
      </c>
      <c r="D13" s="32"/>
      <c r="E13" s="33"/>
      <c r="F13" s="32"/>
      <c r="G13" s="34"/>
      <c r="H13" s="33"/>
      <c r="I13" s="33"/>
      <c r="J13" s="33"/>
      <c r="K13" s="33"/>
      <c r="L13" s="33"/>
      <c r="M13" s="33"/>
      <c r="N13" s="26"/>
      <c r="O13" s="33"/>
      <c r="P13" s="33"/>
      <c r="Q13" s="34">
        <v>249</v>
      </c>
      <c r="R13" s="33"/>
      <c r="S13" s="46"/>
      <c r="T13" s="28">
        <f>249</f>
        <v>249</v>
      </c>
    </row>
    <row r="14" spans="1:21">
      <c r="A14" s="39">
        <f t="shared" si="0"/>
        <v>13</v>
      </c>
      <c r="B14" s="99">
        <v>73</v>
      </c>
      <c r="C14" s="112" t="s">
        <v>36</v>
      </c>
      <c r="D14" s="32">
        <v>61</v>
      </c>
      <c r="E14" s="33">
        <v>110</v>
      </c>
      <c r="F14" s="33"/>
      <c r="G14" s="33"/>
      <c r="H14" s="33">
        <v>42</v>
      </c>
      <c r="I14" s="34">
        <v>136</v>
      </c>
      <c r="J14" s="34"/>
      <c r="K14" s="34"/>
      <c r="L14" s="34"/>
      <c r="M14" s="34"/>
      <c r="N14" s="26"/>
      <c r="O14" s="34"/>
      <c r="P14" s="34"/>
      <c r="Q14" s="34"/>
      <c r="R14" s="34"/>
      <c r="S14" s="37"/>
      <c r="T14" s="28">
        <f>110+136</f>
        <v>246</v>
      </c>
    </row>
    <row r="15" spans="1:21">
      <c r="A15" s="39">
        <f t="shared" si="0"/>
        <v>14</v>
      </c>
      <c r="B15" s="99">
        <v>84</v>
      </c>
      <c r="C15" s="112" t="s">
        <v>37</v>
      </c>
      <c r="D15" s="33"/>
      <c r="E15" s="33">
        <v>104</v>
      </c>
      <c r="F15" s="33"/>
      <c r="G15" s="33"/>
      <c r="H15" s="32">
        <v>122</v>
      </c>
      <c r="I15" s="34">
        <v>118</v>
      </c>
      <c r="J15" s="34"/>
      <c r="K15" s="34"/>
      <c r="L15" s="34"/>
      <c r="M15" s="34"/>
      <c r="N15" s="26"/>
      <c r="O15" s="34"/>
      <c r="P15" s="34"/>
      <c r="Q15" s="34"/>
      <c r="R15" s="34"/>
      <c r="S15" s="37"/>
      <c r="T15" s="28">
        <f>122+118</f>
        <v>240</v>
      </c>
    </row>
    <row r="16" spans="1:21">
      <c r="A16" s="39">
        <f t="shared" si="0"/>
        <v>15</v>
      </c>
      <c r="B16" s="99">
        <v>5</v>
      </c>
      <c r="C16" s="112" t="s">
        <v>38</v>
      </c>
      <c r="D16" s="32"/>
      <c r="E16" s="33"/>
      <c r="F16" s="32"/>
      <c r="G16" s="34"/>
      <c r="H16" s="33"/>
      <c r="I16" s="33"/>
      <c r="J16" s="33"/>
      <c r="K16" s="34">
        <v>90</v>
      </c>
      <c r="L16" s="33"/>
      <c r="M16" s="33"/>
      <c r="N16" s="26"/>
      <c r="O16" s="33">
        <v>148</v>
      </c>
      <c r="P16" s="33"/>
      <c r="Q16" s="33"/>
      <c r="R16" s="33"/>
      <c r="S16" s="46"/>
      <c r="T16" s="28">
        <f>148+90</f>
        <v>238</v>
      </c>
    </row>
    <row r="17" spans="1:20">
      <c r="A17" s="39">
        <f t="shared" si="0"/>
        <v>16</v>
      </c>
      <c r="B17" s="99">
        <v>82</v>
      </c>
      <c r="C17" s="112" t="s">
        <v>39</v>
      </c>
      <c r="D17" s="32">
        <v>126</v>
      </c>
      <c r="E17" s="33"/>
      <c r="F17" s="32">
        <v>103</v>
      </c>
      <c r="G17" s="34">
        <v>70</v>
      </c>
      <c r="H17" s="33"/>
      <c r="I17" s="33"/>
      <c r="J17" s="33"/>
      <c r="K17" s="33"/>
      <c r="L17" s="33"/>
      <c r="M17" s="33"/>
      <c r="N17" s="26"/>
      <c r="O17" s="33"/>
      <c r="P17" s="33"/>
      <c r="Q17" s="33"/>
      <c r="R17" s="33"/>
      <c r="S17" s="46"/>
      <c r="T17" s="28">
        <f>126+103</f>
        <v>229</v>
      </c>
    </row>
    <row r="18" spans="1:20">
      <c r="A18" s="39">
        <f t="shared" si="0"/>
        <v>17</v>
      </c>
      <c r="B18" s="99">
        <v>17</v>
      </c>
      <c r="C18" s="114" t="s">
        <v>40</v>
      </c>
      <c r="D18" s="32"/>
      <c r="E18" s="33"/>
      <c r="F18" s="33"/>
      <c r="G18" s="33"/>
      <c r="H18" s="33"/>
      <c r="I18" s="33"/>
      <c r="J18" s="33"/>
      <c r="K18" s="35"/>
      <c r="L18" s="34">
        <v>50.5</v>
      </c>
      <c r="M18" s="35"/>
      <c r="N18" s="26">
        <v>174.5</v>
      </c>
      <c r="O18" s="35"/>
      <c r="P18" s="35"/>
      <c r="Q18" s="35"/>
      <c r="R18" s="35"/>
      <c r="S18" s="38"/>
      <c r="T18" s="28">
        <f>174.5+50.5</f>
        <v>225</v>
      </c>
    </row>
    <row r="19" spans="1:20">
      <c r="A19" s="39">
        <f t="shared" si="0"/>
        <v>18</v>
      </c>
      <c r="B19" s="99">
        <v>6</v>
      </c>
      <c r="C19" s="112" t="s">
        <v>41</v>
      </c>
      <c r="D19" s="33"/>
      <c r="E19" s="33">
        <v>80</v>
      </c>
      <c r="F19" s="33"/>
      <c r="G19" s="33"/>
      <c r="H19" s="34">
        <v>142</v>
      </c>
      <c r="I19" s="34">
        <v>54</v>
      </c>
      <c r="J19" s="34"/>
      <c r="K19" s="34"/>
      <c r="L19" s="34"/>
      <c r="M19" s="34"/>
      <c r="N19" s="26"/>
      <c r="O19" s="34"/>
      <c r="P19" s="34"/>
      <c r="Q19" s="34"/>
      <c r="R19" s="34"/>
      <c r="S19" s="37"/>
      <c r="T19" s="28">
        <f>142+80</f>
        <v>222</v>
      </c>
    </row>
    <row r="20" spans="1:20">
      <c r="A20" s="39">
        <f t="shared" si="0"/>
        <v>19</v>
      </c>
      <c r="B20" s="99">
        <v>78</v>
      </c>
      <c r="C20" s="112" t="s">
        <v>42</v>
      </c>
      <c r="D20" s="32">
        <v>16</v>
      </c>
      <c r="E20" s="33">
        <v>46</v>
      </c>
      <c r="F20" s="32"/>
      <c r="G20" s="34"/>
      <c r="H20" s="32">
        <v>127</v>
      </c>
      <c r="I20" s="34">
        <v>76</v>
      </c>
      <c r="J20" s="34"/>
      <c r="K20" s="34"/>
      <c r="L20" s="34"/>
      <c r="M20" s="34"/>
      <c r="N20" s="26"/>
      <c r="O20" s="34"/>
      <c r="P20" s="34"/>
      <c r="Q20" s="34"/>
      <c r="R20" s="34"/>
      <c r="S20" s="37"/>
      <c r="T20" s="28">
        <f>127+76</f>
        <v>203</v>
      </c>
    </row>
    <row r="21" spans="1:20">
      <c r="A21" s="39">
        <f t="shared" si="0"/>
        <v>20</v>
      </c>
      <c r="B21" s="101">
        <v>46</v>
      </c>
      <c r="C21" s="112" t="s">
        <v>43</v>
      </c>
      <c r="D21" s="33"/>
      <c r="E21" s="33"/>
      <c r="F21" s="32"/>
      <c r="G21" s="34"/>
      <c r="H21" s="33"/>
      <c r="I21" s="33"/>
      <c r="J21" s="33"/>
      <c r="K21" s="33"/>
      <c r="L21" s="33">
        <v>45</v>
      </c>
      <c r="M21" s="33">
        <f>12.5</f>
        <v>12.5</v>
      </c>
      <c r="N21" s="26"/>
      <c r="O21" s="33"/>
      <c r="P21" s="33"/>
      <c r="Q21" s="34">
        <v>154</v>
      </c>
      <c r="R21" s="33"/>
      <c r="S21" s="46"/>
      <c r="T21" s="28">
        <f>154+45</f>
        <v>199</v>
      </c>
    </row>
    <row r="22" spans="1:20">
      <c r="A22" s="39">
        <f t="shared" si="0"/>
        <v>21</v>
      </c>
      <c r="B22" s="99">
        <v>769</v>
      </c>
      <c r="C22" s="113" t="s">
        <v>44</v>
      </c>
      <c r="D22" s="32"/>
      <c r="E22" s="33"/>
      <c r="F22" s="33"/>
      <c r="G22" s="34"/>
      <c r="H22" s="34"/>
      <c r="I22" s="33"/>
      <c r="J22" s="33"/>
      <c r="K22" s="34"/>
      <c r="L22" s="34">
        <v>74</v>
      </c>
      <c r="M22" s="35"/>
      <c r="N22" s="26">
        <v>123.5</v>
      </c>
      <c r="O22" s="34"/>
      <c r="P22" s="35"/>
      <c r="Q22" s="35"/>
      <c r="R22" s="33"/>
      <c r="S22" s="38"/>
      <c r="T22" s="28">
        <f>123.5+74</f>
        <v>197.5</v>
      </c>
    </row>
    <row r="23" spans="1:20">
      <c r="A23" s="39">
        <f t="shared" si="0"/>
        <v>22</v>
      </c>
      <c r="B23" s="99">
        <v>97</v>
      </c>
      <c r="C23" s="112" t="s">
        <v>45</v>
      </c>
      <c r="D23" s="32">
        <v>59</v>
      </c>
      <c r="E23" s="33">
        <v>19</v>
      </c>
      <c r="F23" s="33"/>
      <c r="G23" s="34"/>
      <c r="H23" s="32">
        <v>100</v>
      </c>
      <c r="I23" s="34">
        <v>92</v>
      </c>
      <c r="J23" s="34"/>
      <c r="K23" s="34"/>
      <c r="L23" s="34"/>
      <c r="M23" s="34"/>
      <c r="N23" s="26"/>
      <c r="O23" s="34"/>
      <c r="P23" s="34"/>
      <c r="Q23" s="34"/>
      <c r="R23" s="34"/>
      <c r="S23" s="37"/>
      <c r="T23" s="28">
        <f>100+92</f>
        <v>192</v>
      </c>
    </row>
    <row r="24" spans="1:20">
      <c r="A24" s="39">
        <f t="shared" si="0"/>
        <v>23</v>
      </c>
      <c r="B24" s="99">
        <v>272</v>
      </c>
      <c r="C24" s="112" t="s">
        <v>46</v>
      </c>
      <c r="D24" s="33"/>
      <c r="E24" s="33"/>
      <c r="F24" s="33"/>
      <c r="G24" s="33"/>
      <c r="H24" s="32"/>
      <c r="I24" s="34"/>
      <c r="J24" s="34"/>
      <c r="K24" s="34"/>
      <c r="L24" s="34"/>
      <c r="M24" s="34">
        <v>25</v>
      </c>
      <c r="N24" s="26"/>
      <c r="O24" s="34"/>
      <c r="P24" s="34"/>
      <c r="Q24" s="34">
        <v>166</v>
      </c>
      <c r="R24" s="34"/>
      <c r="S24" s="37"/>
      <c r="T24" s="28">
        <f>166+25</f>
        <v>191</v>
      </c>
    </row>
    <row r="25" spans="1:20">
      <c r="A25" s="39">
        <f t="shared" si="0"/>
        <v>24</v>
      </c>
      <c r="B25" s="99">
        <v>66</v>
      </c>
      <c r="C25" s="112" t="s">
        <v>47</v>
      </c>
      <c r="D25" s="33">
        <v>15</v>
      </c>
      <c r="E25" s="33">
        <v>85</v>
      </c>
      <c r="F25" s="33"/>
      <c r="G25" s="32">
        <v>7</v>
      </c>
      <c r="H25" s="33"/>
      <c r="I25" s="33">
        <v>105</v>
      </c>
      <c r="J25" s="33"/>
      <c r="K25" s="33"/>
      <c r="L25" s="33"/>
      <c r="M25" s="33"/>
      <c r="N25" s="26"/>
      <c r="O25" s="33"/>
      <c r="P25" s="33"/>
      <c r="Q25" s="33"/>
      <c r="R25" s="33"/>
      <c r="S25" s="46"/>
      <c r="T25" s="28">
        <f>105+85</f>
        <v>190</v>
      </c>
    </row>
    <row r="26" spans="1:20">
      <c r="A26" s="39">
        <f t="shared" si="0"/>
        <v>25</v>
      </c>
      <c r="B26" s="99">
        <v>813</v>
      </c>
      <c r="C26" s="113" t="s">
        <v>48</v>
      </c>
      <c r="D26" s="32"/>
      <c r="E26" s="33"/>
      <c r="F26" s="33"/>
      <c r="G26" s="34"/>
      <c r="H26" s="34"/>
      <c r="I26" s="33"/>
      <c r="J26" s="33">
        <v>188</v>
      </c>
      <c r="K26" s="34"/>
      <c r="L26" s="34"/>
      <c r="M26" s="35"/>
      <c r="N26" s="26"/>
      <c r="O26" s="34"/>
      <c r="P26" s="35"/>
      <c r="Q26" s="35"/>
      <c r="R26" s="33"/>
      <c r="S26" s="38"/>
      <c r="T26" s="28">
        <f>188</f>
        <v>188</v>
      </c>
    </row>
    <row r="27" spans="1:20" ht="17.25">
      <c r="A27" s="39">
        <f t="shared" si="0"/>
        <v>26</v>
      </c>
      <c r="B27" s="56">
        <v>40</v>
      </c>
      <c r="C27" s="115" t="s">
        <v>49</v>
      </c>
      <c r="D27" s="26"/>
      <c r="E27" s="26"/>
      <c r="F27" s="26"/>
      <c r="G27" s="26"/>
      <c r="H27" s="26"/>
      <c r="I27" s="26"/>
      <c r="J27" s="26"/>
      <c r="K27" s="26"/>
      <c r="L27" s="26">
        <v>97</v>
      </c>
      <c r="M27" s="26">
        <v>84.5</v>
      </c>
      <c r="N27" s="26"/>
      <c r="O27" s="26"/>
      <c r="P27" s="26"/>
      <c r="Q27" s="26"/>
      <c r="R27" s="26"/>
      <c r="S27" s="30"/>
      <c r="T27" s="28">
        <f>97+84.5</f>
        <v>181.5</v>
      </c>
    </row>
    <row r="28" spans="1:20">
      <c r="A28" s="39">
        <f t="shared" si="0"/>
        <v>27</v>
      </c>
      <c r="B28" s="105">
        <v>204</v>
      </c>
      <c r="C28" s="114" t="s">
        <v>50</v>
      </c>
      <c r="D28" s="48"/>
      <c r="E28" s="48"/>
      <c r="F28" s="48"/>
      <c r="G28" s="48"/>
      <c r="H28" s="48"/>
      <c r="I28" s="48"/>
      <c r="J28" s="35">
        <v>84</v>
      </c>
      <c r="K28" s="32">
        <v>58</v>
      </c>
      <c r="L28" s="32">
        <v>87</v>
      </c>
      <c r="M28" s="32">
        <v>67</v>
      </c>
      <c r="N28" s="26"/>
      <c r="O28" s="32"/>
      <c r="P28" s="48"/>
      <c r="Q28" s="32"/>
      <c r="R28" s="32"/>
      <c r="S28" s="36"/>
      <c r="T28" s="28">
        <f>87+84</f>
        <v>171</v>
      </c>
    </row>
    <row r="29" spans="1:20">
      <c r="A29" s="39">
        <f t="shared" si="0"/>
        <v>28</v>
      </c>
      <c r="B29" s="104">
        <v>31</v>
      </c>
      <c r="C29" s="112" t="s">
        <v>51</v>
      </c>
      <c r="D29" s="33"/>
      <c r="E29" s="33">
        <v>25</v>
      </c>
      <c r="F29" s="33"/>
      <c r="G29" s="33"/>
      <c r="H29" s="33">
        <v>39</v>
      </c>
      <c r="I29" s="34"/>
      <c r="J29" s="34"/>
      <c r="K29" s="32"/>
      <c r="L29" s="32">
        <v>126.5</v>
      </c>
      <c r="M29" s="32">
        <v>39</v>
      </c>
      <c r="N29" s="26"/>
      <c r="O29" s="32"/>
      <c r="P29" s="34"/>
      <c r="Q29" s="32"/>
      <c r="R29" s="32"/>
      <c r="S29" s="36"/>
      <c r="T29" s="28">
        <f>126.5+39</f>
        <v>165.5</v>
      </c>
    </row>
    <row r="30" spans="1:20">
      <c r="A30" s="39">
        <f t="shared" si="0"/>
        <v>29</v>
      </c>
      <c r="B30" s="99">
        <v>29</v>
      </c>
      <c r="C30" s="112" t="s">
        <v>52</v>
      </c>
      <c r="D30" s="32">
        <v>112</v>
      </c>
      <c r="E30" s="33">
        <v>48</v>
      </c>
      <c r="F30" s="33"/>
      <c r="G30" s="33">
        <v>35</v>
      </c>
      <c r="H30" s="33"/>
      <c r="I30" s="33">
        <v>50</v>
      </c>
      <c r="J30" s="33"/>
      <c r="K30" s="32"/>
      <c r="L30" s="32"/>
      <c r="M30" s="32"/>
      <c r="N30" s="26"/>
      <c r="O30" s="32"/>
      <c r="P30" s="33"/>
      <c r="Q30" s="32"/>
      <c r="R30" s="32"/>
      <c r="S30" s="36"/>
      <c r="T30" s="28">
        <f>112+50</f>
        <v>162</v>
      </c>
    </row>
    <row r="31" spans="1:20" ht="17.25">
      <c r="A31" s="39">
        <f t="shared" si="0"/>
        <v>30</v>
      </c>
      <c r="B31" s="104">
        <v>340</v>
      </c>
      <c r="C31" s="110" t="s">
        <v>53</v>
      </c>
      <c r="D31" s="26">
        <v>47</v>
      </c>
      <c r="E31" s="26">
        <v>113</v>
      </c>
      <c r="F31" s="26"/>
      <c r="G31" s="26"/>
      <c r="H31" s="26"/>
      <c r="I31" s="26">
        <v>34</v>
      </c>
      <c r="J31" s="26"/>
      <c r="K31" s="26"/>
      <c r="L31" s="26"/>
      <c r="M31" s="26"/>
      <c r="N31" s="26"/>
      <c r="O31" s="26"/>
      <c r="P31" s="26"/>
      <c r="Q31" s="26"/>
      <c r="R31" s="26"/>
      <c r="S31" s="30"/>
      <c r="T31" s="28">
        <f>113+47</f>
        <v>160</v>
      </c>
    </row>
    <row r="32" spans="1:20" ht="17.25">
      <c r="A32" s="39">
        <f t="shared" si="0"/>
        <v>31</v>
      </c>
      <c r="B32" s="56">
        <v>90</v>
      </c>
      <c r="C32" s="110" t="s">
        <v>54</v>
      </c>
      <c r="D32" s="26"/>
      <c r="E32" s="26">
        <v>84</v>
      </c>
      <c r="F32" s="26"/>
      <c r="G32" s="26"/>
      <c r="H32" s="26">
        <v>69</v>
      </c>
      <c r="I32" s="26">
        <v>74</v>
      </c>
      <c r="J32" s="26"/>
      <c r="K32" s="26"/>
      <c r="L32" s="26"/>
      <c r="M32" s="26"/>
      <c r="N32" s="26"/>
      <c r="O32" s="26"/>
      <c r="P32" s="26"/>
      <c r="Q32" s="26"/>
      <c r="R32" s="26"/>
      <c r="S32" s="30"/>
      <c r="T32" s="28">
        <f>84+74</f>
        <v>158</v>
      </c>
    </row>
    <row r="33" spans="1:21" ht="17.25">
      <c r="A33" s="39">
        <f t="shared" si="0"/>
        <v>32</v>
      </c>
      <c r="B33" s="56">
        <v>902</v>
      </c>
      <c r="C33" s="110" t="s">
        <v>55</v>
      </c>
      <c r="D33" s="26"/>
      <c r="E33" s="26"/>
      <c r="F33" s="26"/>
      <c r="G33" s="26"/>
      <c r="H33" s="26"/>
      <c r="I33" s="26"/>
      <c r="J33" s="26"/>
      <c r="K33" s="26"/>
      <c r="L33" s="26"/>
      <c r="M33" s="26">
        <v>127.5</v>
      </c>
      <c r="N33" s="26"/>
      <c r="O33" s="26">
        <f>27</f>
        <v>27</v>
      </c>
      <c r="P33" s="26"/>
      <c r="Q33" s="26"/>
      <c r="R33" s="26"/>
      <c r="S33" s="30"/>
      <c r="T33" s="28">
        <f>127.5+27</f>
        <v>154.5</v>
      </c>
    </row>
    <row r="34" spans="1:21">
      <c r="A34" s="39">
        <f t="shared" si="0"/>
        <v>33</v>
      </c>
      <c r="B34" s="99">
        <v>121</v>
      </c>
      <c r="C34" s="112" t="s">
        <v>56</v>
      </c>
      <c r="D34" s="32">
        <v>94</v>
      </c>
      <c r="E34" s="33"/>
      <c r="F34" s="32">
        <v>52</v>
      </c>
      <c r="G34" s="34">
        <v>57</v>
      </c>
      <c r="H34" s="33"/>
      <c r="I34" s="33"/>
      <c r="J34" s="33"/>
      <c r="K34" s="33"/>
      <c r="L34" s="33"/>
      <c r="M34" s="33"/>
      <c r="N34" s="26"/>
      <c r="O34" s="33"/>
      <c r="P34" s="33"/>
      <c r="Q34" s="33"/>
      <c r="R34" s="33"/>
      <c r="S34" s="46"/>
      <c r="T34" s="28">
        <f>94+57</f>
        <v>151</v>
      </c>
    </row>
    <row r="35" spans="1:21">
      <c r="A35" s="39">
        <f t="shared" si="0"/>
        <v>34</v>
      </c>
      <c r="B35" s="99">
        <v>88</v>
      </c>
      <c r="C35" s="113" t="s">
        <v>57</v>
      </c>
      <c r="D35" s="33"/>
      <c r="E35" s="33"/>
      <c r="F35" s="33"/>
      <c r="G35" s="33"/>
      <c r="H35" s="34"/>
      <c r="I35" s="33"/>
      <c r="J35" s="33"/>
      <c r="K35" s="33">
        <v>50</v>
      </c>
      <c r="L35" s="33"/>
      <c r="M35" s="33"/>
      <c r="N35" s="26"/>
      <c r="O35" s="33">
        <v>99</v>
      </c>
      <c r="P35" s="33"/>
      <c r="Q35" s="33"/>
      <c r="R35" s="33"/>
      <c r="S35" s="46"/>
      <c r="T35" s="28">
        <f>99+50</f>
        <v>149</v>
      </c>
    </row>
    <row r="36" spans="1:21">
      <c r="A36" s="39">
        <f t="shared" si="0"/>
        <v>35</v>
      </c>
      <c r="B36" s="99">
        <v>230</v>
      </c>
      <c r="C36" s="113" t="s">
        <v>58</v>
      </c>
      <c r="D36" s="32"/>
      <c r="E36" s="33"/>
      <c r="F36" s="32"/>
      <c r="G36" s="33"/>
      <c r="H36" s="32"/>
      <c r="I36" s="34"/>
      <c r="J36" s="34">
        <v>27</v>
      </c>
      <c r="K36" s="35"/>
      <c r="L36" s="35"/>
      <c r="M36" s="35"/>
      <c r="N36" s="26"/>
      <c r="O36" s="35"/>
      <c r="P36" s="35"/>
      <c r="Q36" s="35"/>
      <c r="R36" s="32"/>
      <c r="S36" s="38">
        <v>116</v>
      </c>
      <c r="T36" s="28">
        <f>116+27</f>
        <v>143</v>
      </c>
      <c r="U36" s="100"/>
    </row>
    <row r="37" spans="1:21">
      <c r="A37" s="39">
        <f t="shared" si="0"/>
        <v>36</v>
      </c>
      <c r="B37" s="104">
        <v>126</v>
      </c>
      <c r="C37" s="112" t="s">
        <v>59</v>
      </c>
      <c r="D37" s="33"/>
      <c r="E37" s="33">
        <v>75</v>
      </c>
      <c r="F37" s="33"/>
      <c r="G37" s="33">
        <v>9</v>
      </c>
      <c r="H37" s="32">
        <v>61</v>
      </c>
      <c r="I37" s="32">
        <v>52</v>
      </c>
      <c r="J37" s="32"/>
      <c r="K37" s="35"/>
      <c r="L37" s="35"/>
      <c r="M37" s="35"/>
      <c r="N37" s="26"/>
      <c r="O37" s="35"/>
      <c r="P37" s="35"/>
      <c r="Q37" s="35"/>
      <c r="R37" s="35"/>
      <c r="S37" s="38"/>
      <c r="T37" s="28">
        <f>75+61</f>
        <v>136</v>
      </c>
    </row>
    <row r="38" spans="1:21">
      <c r="A38" s="39">
        <f t="shared" si="0"/>
        <v>37</v>
      </c>
      <c r="B38" s="99">
        <v>676</v>
      </c>
      <c r="C38" s="112" t="s">
        <v>60</v>
      </c>
      <c r="D38" s="33"/>
      <c r="E38" s="33"/>
      <c r="F38" s="33"/>
      <c r="G38" s="33"/>
      <c r="H38" s="32"/>
      <c r="I38" s="34"/>
      <c r="J38" s="34"/>
      <c r="K38" s="33"/>
      <c r="L38" s="34">
        <v>15</v>
      </c>
      <c r="M38" s="33"/>
      <c r="N38" s="26">
        <v>4</v>
      </c>
      <c r="O38" s="33"/>
      <c r="P38" s="33"/>
      <c r="Q38" s="33"/>
      <c r="R38" s="34">
        <v>118.5</v>
      </c>
      <c r="S38" s="46"/>
      <c r="T38" s="28">
        <f>118.5+15</f>
        <v>133.5</v>
      </c>
    </row>
    <row r="39" spans="1:21">
      <c r="A39" s="39">
        <f t="shared" si="0"/>
        <v>38</v>
      </c>
      <c r="B39" s="99">
        <v>213</v>
      </c>
      <c r="C39" s="114" t="s">
        <v>61</v>
      </c>
      <c r="D39" s="32"/>
      <c r="E39" s="33"/>
      <c r="F39" s="32"/>
      <c r="G39" s="33"/>
      <c r="H39" s="32"/>
      <c r="I39" s="34"/>
      <c r="J39" s="34"/>
      <c r="K39" s="35"/>
      <c r="L39" s="35"/>
      <c r="M39" s="35"/>
      <c r="N39" s="26"/>
      <c r="O39" s="35"/>
      <c r="P39" s="35"/>
      <c r="Q39" s="35">
        <v>26.5</v>
      </c>
      <c r="R39" s="32">
        <v>104</v>
      </c>
      <c r="S39" s="38"/>
      <c r="T39" s="28">
        <f>104+26.5</f>
        <v>130.5</v>
      </c>
    </row>
    <row r="40" spans="1:21">
      <c r="A40" s="39">
        <f t="shared" si="0"/>
        <v>39</v>
      </c>
      <c r="B40" s="99">
        <v>48</v>
      </c>
      <c r="C40" s="112" t="s">
        <v>62</v>
      </c>
      <c r="D40" s="33"/>
      <c r="E40" s="33"/>
      <c r="F40" s="33"/>
      <c r="G40" s="33"/>
      <c r="H40" s="32"/>
      <c r="I40" s="34"/>
      <c r="J40" s="34"/>
      <c r="K40" s="35"/>
      <c r="L40" s="35"/>
      <c r="M40" s="35"/>
      <c r="N40" s="26"/>
      <c r="O40" s="35"/>
      <c r="P40" s="35"/>
      <c r="Q40" s="34">
        <v>128.5</v>
      </c>
      <c r="R40" s="35"/>
      <c r="S40" s="38"/>
      <c r="T40" s="28">
        <f>128.5</f>
        <v>128.5</v>
      </c>
    </row>
    <row r="41" spans="1:21">
      <c r="A41" s="39">
        <f t="shared" si="0"/>
        <v>40</v>
      </c>
      <c r="B41" s="101">
        <v>32</v>
      </c>
      <c r="C41" s="114" t="s">
        <v>63</v>
      </c>
      <c r="D41" s="32"/>
      <c r="E41" s="33">
        <v>17</v>
      </c>
      <c r="F41" s="32"/>
      <c r="G41" s="34"/>
      <c r="H41" s="33">
        <v>108</v>
      </c>
      <c r="I41" s="33"/>
      <c r="J41" s="33"/>
      <c r="K41" s="34"/>
      <c r="L41" s="35"/>
      <c r="M41" s="35"/>
      <c r="N41" s="26"/>
      <c r="O41" s="33">
        <v>10</v>
      </c>
      <c r="P41" s="35">
        <v>19</v>
      </c>
      <c r="Q41" s="35"/>
      <c r="R41" s="33"/>
      <c r="S41" s="38"/>
      <c r="T41" s="28">
        <f>108+19</f>
        <v>127</v>
      </c>
    </row>
    <row r="42" spans="1:21" ht="17.25">
      <c r="A42" s="39">
        <f t="shared" si="0"/>
        <v>41</v>
      </c>
      <c r="B42" s="56">
        <v>181</v>
      </c>
      <c r="C42" s="110" t="s">
        <v>64</v>
      </c>
      <c r="D42" s="26"/>
      <c r="E42" s="26">
        <v>28</v>
      </c>
      <c r="F42" s="26"/>
      <c r="G42" s="26"/>
      <c r="H42" s="26">
        <v>38</v>
      </c>
      <c r="I42" s="26">
        <v>26</v>
      </c>
      <c r="J42" s="26"/>
      <c r="K42" s="26"/>
      <c r="L42" s="26"/>
      <c r="M42" s="26"/>
      <c r="N42" s="26"/>
      <c r="O42" s="26"/>
      <c r="P42" s="26">
        <v>88</v>
      </c>
      <c r="Q42" s="26"/>
      <c r="R42" s="26"/>
      <c r="S42" s="30"/>
      <c r="T42" s="28">
        <f>88+38</f>
        <v>126</v>
      </c>
    </row>
    <row r="43" spans="1:21">
      <c r="A43" s="39">
        <f t="shared" si="0"/>
        <v>42</v>
      </c>
      <c r="B43" s="99">
        <v>901</v>
      </c>
      <c r="C43" s="113" t="s">
        <v>65</v>
      </c>
      <c r="D43" s="32"/>
      <c r="E43" s="33"/>
      <c r="F43" s="33"/>
      <c r="G43" s="34"/>
      <c r="H43" s="34"/>
      <c r="I43" s="33"/>
      <c r="J43" s="33"/>
      <c r="K43" s="34"/>
      <c r="L43" s="34"/>
      <c r="M43" s="35"/>
      <c r="N43" s="26">
        <v>31.5</v>
      </c>
      <c r="O43" s="34"/>
      <c r="P43" s="35"/>
      <c r="Q43" s="35">
        <v>87.5</v>
      </c>
      <c r="R43" s="33"/>
      <c r="S43" s="38"/>
      <c r="T43" s="28">
        <f>87.5+31.5</f>
        <v>119</v>
      </c>
    </row>
    <row r="44" spans="1:21">
      <c r="A44" s="39">
        <f t="shared" si="0"/>
        <v>43</v>
      </c>
      <c r="B44" s="99">
        <v>47</v>
      </c>
      <c r="C44" s="112" t="s">
        <v>66</v>
      </c>
      <c r="D44" s="33"/>
      <c r="E44" s="33">
        <v>27</v>
      </c>
      <c r="F44" s="33"/>
      <c r="G44" s="33"/>
      <c r="H44" s="32">
        <v>69</v>
      </c>
      <c r="I44" s="34">
        <v>37</v>
      </c>
      <c r="J44" s="34"/>
      <c r="K44" s="35"/>
      <c r="L44" s="35"/>
      <c r="M44" s="35"/>
      <c r="N44" s="26"/>
      <c r="O44" s="35"/>
      <c r="P44" s="35"/>
      <c r="Q44" s="35"/>
      <c r="R44" s="35"/>
      <c r="S44" s="38"/>
      <c r="T44" s="28">
        <f>69+37</f>
        <v>106</v>
      </c>
    </row>
    <row r="45" spans="1:21">
      <c r="A45" s="39">
        <f t="shared" si="0"/>
        <v>44</v>
      </c>
      <c r="B45" s="101">
        <v>81</v>
      </c>
      <c r="C45" s="114" t="s">
        <v>67</v>
      </c>
      <c r="D45" s="32"/>
      <c r="E45" s="33"/>
      <c r="F45" s="32"/>
      <c r="G45" s="32"/>
      <c r="H45" s="33"/>
      <c r="I45" s="33"/>
      <c r="J45" s="33"/>
      <c r="K45" s="33"/>
      <c r="L45" s="33"/>
      <c r="M45" s="33"/>
      <c r="N45" s="26"/>
      <c r="O45" s="33"/>
      <c r="P45" s="33"/>
      <c r="Q45" s="33"/>
      <c r="R45" s="33"/>
      <c r="S45" s="36">
        <v>104</v>
      </c>
      <c r="T45" s="28">
        <f>104</f>
        <v>104</v>
      </c>
    </row>
    <row r="46" spans="1:21">
      <c r="A46" s="39">
        <f t="shared" si="0"/>
        <v>45</v>
      </c>
      <c r="B46" s="99">
        <v>64</v>
      </c>
      <c r="C46" s="114" t="s">
        <v>68</v>
      </c>
      <c r="D46" s="33"/>
      <c r="E46" s="33"/>
      <c r="F46" s="33"/>
      <c r="G46" s="33"/>
      <c r="H46" s="32"/>
      <c r="I46" s="34"/>
      <c r="J46" s="35"/>
      <c r="K46" s="34"/>
      <c r="L46" s="34">
        <v>12</v>
      </c>
      <c r="M46" s="34"/>
      <c r="N46" s="26">
        <v>89</v>
      </c>
      <c r="O46" s="34"/>
      <c r="P46" s="34"/>
      <c r="Q46" s="34"/>
      <c r="R46" s="33"/>
      <c r="S46" s="37"/>
      <c r="T46" s="28">
        <f>89+12</f>
        <v>101</v>
      </c>
    </row>
    <row r="47" spans="1:21">
      <c r="A47" s="39">
        <f t="shared" si="0"/>
        <v>46</v>
      </c>
      <c r="B47" s="99">
        <v>351</v>
      </c>
      <c r="C47" s="113" t="s">
        <v>69</v>
      </c>
      <c r="D47" s="32"/>
      <c r="E47" s="33">
        <v>20</v>
      </c>
      <c r="F47" s="33"/>
      <c r="G47" s="34"/>
      <c r="H47" s="34">
        <v>48</v>
      </c>
      <c r="I47" s="33">
        <v>51</v>
      </c>
      <c r="J47" s="33"/>
      <c r="K47" s="34"/>
      <c r="L47" s="34"/>
      <c r="M47" s="35"/>
      <c r="N47" s="26"/>
      <c r="O47" s="34"/>
      <c r="P47" s="35"/>
      <c r="Q47" s="35"/>
      <c r="R47" s="33"/>
      <c r="S47" s="38"/>
      <c r="T47" s="28">
        <f>51+48</f>
        <v>99</v>
      </c>
    </row>
    <row r="48" spans="1:21">
      <c r="A48" s="39">
        <f t="shared" si="0"/>
        <v>47</v>
      </c>
      <c r="B48" s="99">
        <v>77</v>
      </c>
      <c r="C48" s="112" t="s">
        <v>70</v>
      </c>
      <c r="D48" s="32"/>
      <c r="E48" s="33">
        <f>42</f>
        <v>42</v>
      </c>
      <c r="F48" s="32"/>
      <c r="G48" s="33"/>
      <c r="H48" s="32"/>
      <c r="I48" s="34"/>
      <c r="J48" s="35"/>
      <c r="K48" s="34"/>
      <c r="L48" s="34"/>
      <c r="M48" s="34"/>
      <c r="N48" s="26"/>
      <c r="O48" s="34">
        <f>53</f>
        <v>53</v>
      </c>
      <c r="P48" s="34"/>
      <c r="Q48" s="34"/>
      <c r="R48" s="33"/>
      <c r="S48" s="37"/>
      <c r="T48" s="28">
        <f>53+42</f>
        <v>95</v>
      </c>
    </row>
    <row r="49" spans="1:20" ht="17.25">
      <c r="A49" s="39">
        <f t="shared" si="0"/>
        <v>48</v>
      </c>
      <c r="B49" s="56">
        <v>152</v>
      </c>
      <c r="C49" s="115" t="s">
        <v>71</v>
      </c>
      <c r="D49" s="26"/>
      <c r="E49" s="26"/>
      <c r="F49" s="26"/>
      <c r="G49" s="26"/>
      <c r="H49" s="26"/>
      <c r="I49" s="26"/>
      <c r="J49" s="26"/>
      <c r="K49" s="26"/>
      <c r="L49" s="26">
        <v>13.5</v>
      </c>
      <c r="M49" s="26"/>
      <c r="N49" s="26">
        <v>81.5</v>
      </c>
      <c r="O49" s="26"/>
      <c r="P49" s="26"/>
      <c r="Q49" s="26"/>
      <c r="R49" s="26"/>
      <c r="S49" s="30"/>
      <c r="T49" s="28">
        <f>81.5+13.5</f>
        <v>95</v>
      </c>
    </row>
    <row r="50" spans="1:20">
      <c r="A50" s="39">
        <f t="shared" si="0"/>
        <v>49</v>
      </c>
      <c r="B50" s="99">
        <v>93</v>
      </c>
      <c r="C50" s="116" t="s">
        <v>72</v>
      </c>
      <c r="D50" s="33"/>
      <c r="E50" s="33"/>
      <c r="F50" s="33"/>
      <c r="G50" s="33"/>
      <c r="H50" s="33"/>
      <c r="I50" s="34"/>
      <c r="J50" s="34"/>
      <c r="K50" s="32"/>
      <c r="L50" s="32">
        <v>53.5</v>
      </c>
      <c r="M50" s="32">
        <v>37</v>
      </c>
      <c r="N50" s="26"/>
      <c r="O50" s="32"/>
      <c r="P50" s="35"/>
      <c r="Q50" s="32"/>
      <c r="R50" s="32"/>
      <c r="S50" s="36"/>
      <c r="T50" s="28">
        <f>53.5+37</f>
        <v>90.5</v>
      </c>
    </row>
    <row r="51" spans="1:20" ht="17.25">
      <c r="A51" s="39">
        <f t="shared" si="0"/>
        <v>50</v>
      </c>
      <c r="B51" s="104">
        <v>58</v>
      </c>
      <c r="C51" s="109" t="s">
        <v>73</v>
      </c>
      <c r="D51" s="26"/>
      <c r="E51" s="26">
        <v>16</v>
      </c>
      <c r="F51" s="26"/>
      <c r="G51" s="26"/>
      <c r="H51" s="26">
        <v>32</v>
      </c>
      <c r="I51" s="26">
        <v>10</v>
      </c>
      <c r="J51" s="26"/>
      <c r="K51" s="26"/>
      <c r="L51" s="26"/>
      <c r="M51" s="26"/>
      <c r="N51" s="26"/>
      <c r="O51" s="26"/>
      <c r="P51" s="26">
        <v>44</v>
      </c>
      <c r="Q51" s="26"/>
      <c r="R51" s="26"/>
      <c r="S51" s="30"/>
      <c r="T51" s="28">
        <f>44+32</f>
        <v>76</v>
      </c>
    </row>
    <row r="52" spans="1:20" ht="17.25">
      <c r="A52" s="39">
        <f t="shared" si="0"/>
        <v>51</v>
      </c>
      <c r="B52" s="56">
        <v>234</v>
      </c>
      <c r="C52" s="110" t="s">
        <v>74</v>
      </c>
      <c r="D52" s="26"/>
      <c r="E52" s="26"/>
      <c r="F52" s="26"/>
      <c r="G52" s="26"/>
      <c r="H52" s="26"/>
      <c r="I52" s="26"/>
      <c r="J52" s="26"/>
      <c r="K52" s="26">
        <v>38</v>
      </c>
      <c r="L52" s="26"/>
      <c r="M52" s="26"/>
      <c r="N52" s="26"/>
      <c r="O52" s="26">
        <v>38</v>
      </c>
      <c r="P52" s="26"/>
      <c r="Q52" s="26"/>
      <c r="R52" s="26"/>
      <c r="S52" s="30"/>
      <c r="T52" s="28">
        <f>38+38</f>
        <v>76</v>
      </c>
    </row>
    <row r="53" spans="1:20">
      <c r="A53" s="39">
        <f t="shared" si="0"/>
        <v>52</v>
      </c>
      <c r="B53" s="104">
        <v>92</v>
      </c>
      <c r="C53" s="114" t="s">
        <v>75</v>
      </c>
      <c r="D53" s="33"/>
      <c r="E53" s="32">
        <v>24</v>
      </c>
      <c r="F53" s="33"/>
      <c r="G53" s="33"/>
      <c r="H53" s="32">
        <v>40</v>
      </c>
      <c r="I53" s="32">
        <v>35</v>
      </c>
      <c r="J53" s="32"/>
      <c r="K53" s="35"/>
      <c r="L53" s="35"/>
      <c r="M53" s="35"/>
      <c r="N53" s="26"/>
      <c r="O53" s="35"/>
      <c r="P53" s="35"/>
      <c r="Q53" s="35"/>
      <c r="R53" s="35"/>
      <c r="S53" s="38"/>
      <c r="T53" s="28">
        <f>40+35</f>
        <v>75</v>
      </c>
    </row>
    <row r="54" spans="1:20">
      <c r="A54" s="39">
        <f t="shared" si="0"/>
        <v>53</v>
      </c>
      <c r="B54" s="99">
        <v>253</v>
      </c>
      <c r="C54" s="112" t="s">
        <v>76</v>
      </c>
      <c r="D54" s="33"/>
      <c r="E54" s="33">
        <v>32</v>
      </c>
      <c r="F54" s="33"/>
      <c r="G54" s="33"/>
      <c r="H54" s="34">
        <v>42</v>
      </c>
      <c r="I54" s="34">
        <v>26</v>
      </c>
      <c r="J54" s="34"/>
      <c r="K54" s="34"/>
      <c r="L54" s="34"/>
      <c r="M54" s="34"/>
      <c r="N54" s="26"/>
      <c r="O54" s="34"/>
      <c r="P54" s="34"/>
      <c r="Q54" s="34"/>
      <c r="R54" s="34"/>
      <c r="S54" s="37"/>
      <c r="T54" s="28">
        <f>42+32</f>
        <v>74</v>
      </c>
    </row>
    <row r="55" spans="1:20">
      <c r="A55" s="39">
        <f t="shared" si="0"/>
        <v>54</v>
      </c>
      <c r="B55" s="99">
        <v>24</v>
      </c>
      <c r="C55" s="114" t="s">
        <v>77</v>
      </c>
      <c r="D55" s="33"/>
      <c r="E55" s="33"/>
      <c r="F55" s="32">
        <v>47</v>
      </c>
      <c r="G55" s="34">
        <v>27</v>
      </c>
      <c r="H55" s="33"/>
      <c r="I55" s="33"/>
      <c r="J55" s="33"/>
      <c r="K55" s="33"/>
      <c r="L55" s="33"/>
      <c r="M55" s="33"/>
      <c r="N55" s="26"/>
      <c r="O55" s="33"/>
      <c r="P55" s="33"/>
      <c r="Q55" s="33"/>
      <c r="R55" s="33"/>
      <c r="S55" s="46"/>
      <c r="T55" s="28">
        <f>47+27</f>
        <v>74</v>
      </c>
    </row>
    <row r="56" spans="1:20">
      <c r="A56" s="39">
        <f t="shared" si="0"/>
        <v>55</v>
      </c>
      <c r="B56" s="99">
        <v>914</v>
      </c>
      <c r="C56" s="113" t="s">
        <v>78</v>
      </c>
      <c r="D56" s="32"/>
      <c r="E56" s="33"/>
      <c r="F56" s="33"/>
      <c r="G56" s="34"/>
      <c r="H56" s="34"/>
      <c r="I56" s="33"/>
      <c r="J56" s="33"/>
      <c r="K56" s="34"/>
      <c r="L56" s="34"/>
      <c r="M56" s="35"/>
      <c r="N56" s="26">
        <v>8.5</v>
      </c>
      <c r="O56" s="34"/>
      <c r="P56" s="35"/>
      <c r="Q56" s="35">
        <v>58.5</v>
      </c>
      <c r="R56" s="33"/>
      <c r="S56" s="38"/>
      <c r="T56" s="28">
        <f>58.5+8.5</f>
        <v>67</v>
      </c>
    </row>
    <row r="57" spans="1:20">
      <c r="A57" s="39">
        <f t="shared" si="0"/>
        <v>56</v>
      </c>
      <c r="B57" s="99">
        <v>36</v>
      </c>
      <c r="C57" s="112" t="s">
        <v>79</v>
      </c>
      <c r="D57" s="33"/>
      <c r="E57" s="33"/>
      <c r="F57" s="33"/>
      <c r="G57" s="33"/>
      <c r="H57" s="32"/>
      <c r="I57" s="32"/>
      <c r="J57" s="32"/>
      <c r="K57" s="35"/>
      <c r="L57" s="34">
        <v>18.5</v>
      </c>
      <c r="M57" s="35"/>
      <c r="N57" s="26">
        <v>46</v>
      </c>
      <c r="O57" s="35"/>
      <c r="P57" s="35"/>
      <c r="Q57" s="35"/>
      <c r="R57" s="35"/>
      <c r="S57" s="38"/>
      <c r="T57" s="28">
        <f>46+18.5</f>
        <v>64.5</v>
      </c>
    </row>
    <row r="58" spans="1:20">
      <c r="A58" s="39">
        <f t="shared" si="0"/>
        <v>57</v>
      </c>
      <c r="B58" s="99">
        <v>247</v>
      </c>
      <c r="C58" s="113" t="s">
        <v>80</v>
      </c>
      <c r="D58" s="32"/>
      <c r="E58" s="33">
        <v>15</v>
      </c>
      <c r="F58" s="33"/>
      <c r="G58" s="34"/>
      <c r="H58" s="34">
        <v>45</v>
      </c>
      <c r="I58" s="33">
        <v>19</v>
      </c>
      <c r="J58" s="33"/>
      <c r="K58" s="34"/>
      <c r="L58" s="34"/>
      <c r="M58" s="35"/>
      <c r="N58" s="26"/>
      <c r="O58" s="34"/>
      <c r="P58" s="35"/>
      <c r="Q58" s="35"/>
      <c r="R58" s="33"/>
      <c r="S58" s="38"/>
      <c r="T58" s="28">
        <f>45+19</f>
        <v>64</v>
      </c>
    </row>
    <row r="59" spans="1:20">
      <c r="A59" s="39">
        <f t="shared" si="0"/>
        <v>58</v>
      </c>
      <c r="B59" s="99">
        <v>393</v>
      </c>
      <c r="C59" s="112" t="s">
        <v>81</v>
      </c>
      <c r="D59" s="33"/>
      <c r="E59" s="33"/>
      <c r="F59" s="33"/>
      <c r="G59" s="33"/>
      <c r="H59" s="33"/>
      <c r="I59" s="34"/>
      <c r="J59" s="35"/>
      <c r="K59" s="34"/>
      <c r="L59" s="34"/>
      <c r="M59" s="34"/>
      <c r="N59" s="26"/>
      <c r="O59" s="34"/>
      <c r="P59" s="34"/>
      <c r="Q59" s="34"/>
      <c r="R59" s="34">
        <v>60.5</v>
      </c>
      <c r="S59" s="37"/>
      <c r="T59" s="28">
        <f>60.5</f>
        <v>60.5</v>
      </c>
    </row>
    <row r="60" spans="1:20">
      <c r="A60" s="39">
        <f t="shared" si="0"/>
        <v>59</v>
      </c>
      <c r="B60" s="99">
        <v>965</v>
      </c>
      <c r="C60" s="113" t="s">
        <v>82</v>
      </c>
      <c r="D60" s="32"/>
      <c r="E60" s="33"/>
      <c r="F60" s="33"/>
      <c r="G60" s="34"/>
      <c r="H60" s="34"/>
      <c r="I60" s="33"/>
      <c r="J60" s="33"/>
      <c r="K60" s="34"/>
      <c r="L60" s="34">
        <v>41.5</v>
      </c>
      <c r="M60" s="35"/>
      <c r="N60" s="26">
        <v>18.5</v>
      </c>
      <c r="O60" s="34"/>
      <c r="P60" s="35"/>
      <c r="Q60" s="35"/>
      <c r="R60" s="33"/>
      <c r="S60" s="38"/>
      <c r="T60" s="28">
        <f>41.5+18.5</f>
        <v>60</v>
      </c>
    </row>
    <row r="61" spans="1:20">
      <c r="A61" s="39">
        <f t="shared" si="0"/>
        <v>60</v>
      </c>
      <c r="B61" s="104">
        <v>339</v>
      </c>
      <c r="C61" s="114" t="s">
        <v>83</v>
      </c>
      <c r="D61" s="33"/>
      <c r="E61" s="32">
        <v>5</v>
      </c>
      <c r="F61" s="33"/>
      <c r="G61" s="33"/>
      <c r="H61" s="32">
        <v>6</v>
      </c>
      <c r="I61" s="32">
        <v>3</v>
      </c>
      <c r="J61" s="32"/>
      <c r="K61" s="32"/>
      <c r="L61" s="34"/>
      <c r="M61" s="32"/>
      <c r="N61" s="26">
        <v>19</v>
      </c>
      <c r="O61" s="32"/>
      <c r="P61" s="35"/>
      <c r="Q61" s="34">
        <v>40.5</v>
      </c>
      <c r="R61" s="32"/>
      <c r="S61" s="36"/>
      <c r="T61" s="28">
        <f>40.5+19</f>
        <v>59.5</v>
      </c>
    </row>
    <row r="62" spans="1:20">
      <c r="A62" s="39">
        <f t="shared" si="0"/>
        <v>61</v>
      </c>
      <c r="B62" s="99">
        <v>803</v>
      </c>
      <c r="C62" s="113" t="s">
        <v>84</v>
      </c>
      <c r="D62" s="33"/>
      <c r="E62" s="33"/>
      <c r="F62" s="33"/>
      <c r="G62" s="32"/>
      <c r="H62" s="33"/>
      <c r="I62" s="33"/>
      <c r="J62" s="33">
        <v>46</v>
      </c>
      <c r="K62" s="33">
        <v>12</v>
      </c>
      <c r="L62" s="33"/>
      <c r="M62" s="33"/>
      <c r="N62" s="26"/>
      <c r="O62" s="34"/>
      <c r="P62" s="33"/>
      <c r="Q62" s="33"/>
      <c r="R62" s="33"/>
      <c r="S62" s="36"/>
      <c r="T62" s="28">
        <f>46+12</f>
        <v>58</v>
      </c>
    </row>
    <row r="63" spans="1:20">
      <c r="A63" s="39">
        <f t="shared" si="0"/>
        <v>62</v>
      </c>
      <c r="B63" s="104">
        <v>34</v>
      </c>
      <c r="C63" s="108" t="s">
        <v>85</v>
      </c>
      <c r="D63" s="26"/>
      <c r="E63" s="26"/>
      <c r="F63" s="26"/>
      <c r="G63" s="26"/>
      <c r="H63" s="26">
        <v>17</v>
      </c>
      <c r="I63" s="26"/>
      <c r="J63" s="26"/>
      <c r="K63" s="26"/>
      <c r="L63" s="26"/>
      <c r="M63" s="26"/>
      <c r="N63" s="26"/>
      <c r="O63" s="26"/>
      <c r="P63" s="26">
        <v>40</v>
      </c>
      <c r="Q63" s="26"/>
      <c r="R63" s="26"/>
      <c r="S63" s="30"/>
      <c r="T63" s="28">
        <f>40+17</f>
        <v>57</v>
      </c>
    </row>
    <row r="64" spans="1:20">
      <c r="A64" s="39">
        <f t="shared" si="0"/>
        <v>63</v>
      </c>
      <c r="B64" s="99">
        <v>314</v>
      </c>
      <c r="C64" s="113" t="s">
        <v>86</v>
      </c>
      <c r="D64" s="33">
        <v>28</v>
      </c>
      <c r="E64" s="33"/>
      <c r="F64" s="33">
        <v>28</v>
      </c>
      <c r="G64" s="33">
        <v>14</v>
      </c>
      <c r="H64" s="32"/>
      <c r="I64" s="32"/>
      <c r="J64" s="32"/>
      <c r="K64" s="35"/>
      <c r="L64" s="35"/>
      <c r="M64" s="35"/>
      <c r="N64" s="26"/>
      <c r="O64" s="35"/>
      <c r="P64" s="35"/>
      <c r="Q64" s="35"/>
      <c r="R64" s="35"/>
      <c r="S64" s="38"/>
      <c r="T64" s="28">
        <f>28+28</f>
        <v>56</v>
      </c>
    </row>
    <row r="65" spans="1:20">
      <c r="A65" s="39">
        <f t="shared" si="0"/>
        <v>64</v>
      </c>
      <c r="B65" s="99">
        <v>49</v>
      </c>
      <c r="C65" s="112" t="s">
        <v>87</v>
      </c>
      <c r="D65" s="33"/>
      <c r="E65" s="33">
        <v>5</v>
      </c>
      <c r="F65" s="33"/>
      <c r="G65" s="33"/>
      <c r="H65" s="34">
        <v>16</v>
      </c>
      <c r="I65" s="33">
        <v>6</v>
      </c>
      <c r="J65" s="33"/>
      <c r="K65" s="33"/>
      <c r="L65" s="33"/>
      <c r="M65" s="33"/>
      <c r="N65" s="26"/>
      <c r="O65" s="33"/>
      <c r="P65" s="33">
        <v>36</v>
      </c>
      <c r="Q65" s="33"/>
      <c r="R65" s="33"/>
      <c r="S65" s="46"/>
      <c r="T65" s="28">
        <f>36+16</f>
        <v>52</v>
      </c>
    </row>
    <row r="66" spans="1:20">
      <c r="A66" s="39">
        <f t="shared" si="0"/>
        <v>65</v>
      </c>
      <c r="B66" s="99">
        <v>54</v>
      </c>
      <c r="C66" s="114" t="s">
        <v>88</v>
      </c>
      <c r="D66" s="33"/>
      <c r="E66" s="33"/>
      <c r="F66" s="33"/>
      <c r="G66" s="33"/>
      <c r="H66" s="33"/>
      <c r="I66" s="34"/>
      <c r="J66" s="35">
        <v>52</v>
      </c>
      <c r="K66" s="34"/>
      <c r="L66" s="34"/>
      <c r="M66" s="34"/>
      <c r="N66" s="26"/>
      <c r="O66" s="34"/>
      <c r="P66" s="34"/>
      <c r="Q66" s="34"/>
      <c r="R66" s="33"/>
      <c r="S66" s="37"/>
      <c r="T66" s="28">
        <f>52</f>
        <v>52</v>
      </c>
    </row>
    <row r="67" spans="1:20" ht="17.25">
      <c r="A67" s="39">
        <f t="shared" si="0"/>
        <v>66</v>
      </c>
      <c r="B67" s="103">
        <v>826</v>
      </c>
      <c r="C67" s="110" t="s">
        <v>89</v>
      </c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30">
        <v>50.5</v>
      </c>
      <c r="T67" s="28">
        <f>50.5</f>
        <v>50.5</v>
      </c>
    </row>
    <row r="68" spans="1:20" ht="17.25">
      <c r="A68" s="39">
        <f t="shared" ref="A68:A103" si="1">A67+1</f>
        <v>67</v>
      </c>
      <c r="B68" s="56">
        <v>52</v>
      </c>
      <c r="C68" s="110" t="s">
        <v>90</v>
      </c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>
        <v>50</v>
      </c>
      <c r="Q68" s="26"/>
      <c r="R68" s="26"/>
      <c r="S68" s="30"/>
      <c r="T68" s="28">
        <f>50</f>
        <v>50</v>
      </c>
    </row>
    <row r="69" spans="1:20" ht="17.25">
      <c r="A69" s="39">
        <f t="shared" si="1"/>
        <v>68</v>
      </c>
      <c r="B69" s="56">
        <v>53</v>
      </c>
      <c r="C69" s="110" t="s">
        <v>91</v>
      </c>
      <c r="D69" s="26"/>
      <c r="E69" s="26">
        <v>14</v>
      </c>
      <c r="F69" s="26"/>
      <c r="G69" s="26"/>
      <c r="H69" s="26">
        <v>21</v>
      </c>
      <c r="I69" s="26">
        <v>8</v>
      </c>
      <c r="J69" s="26"/>
      <c r="K69" s="26"/>
      <c r="L69" s="26"/>
      <c r="M69" s="26"/>
      <c r="N69" s="26"/>
      <c r="O69" s="26"/>
      <c r="P69" s="26">
        <v>24</v>
      </c>
      <c r="Q69" s="26"/>
      <c r="R69" s="26"/>
      <c r="S69" s="30"/>
      <c r="T69" s="28">
        <f>24+21</f>
        <v>45</v>
      </c>
    </row>
    <row r="70" spans="1:20">
      <c r="A70" s="39">
        <f t="shared" si="1"/>
        <v>69</v>
      </c>
      <c r="B70" s="99">
        <v>819</v>
      </c>
      <c r="C70" s="113" t="s">
        <v>92</v>
      </c>
      <c r="D70" s="32"/>
      <c r="E70" s="33"/>
      <c r="F70" s="33"/>
      <c r="G70" s="34"/>
      <c r="H70" s="34"/>
      <c r="I70" s="33"/>
      <c r="J70" s="33">
        <v>27</v>
      </c>
      <c r="K70" s="34"/>
      <c r="L70" s="34"/>
      <c r="M70" s="35"/>
      <c r="N70" s="26"/>
      <c r="O70" s="34">
        <v>18</v>
      </c>
      <c r="P70" s="35"/>
      <c r="Q70" s="35"/>
      <c r="R70" s="33"/>
      <c r="S70" s="38"/>
      <c r="T70" s="28">
        <f>27+18</f>
        <v>45</v>
      </c>
    </row>
    <row r="71" spans="1:20">
      <c r="A71" s="39">
        <f t="shared" si="1"/>
        <v>70</v>
      </c>
      <c r="B71" s="104">
        <v>43</v>
      </c>
      <c r="C71" s="108" t="s">
        <v>93</v>
      </c>
      <c r="D71" s="26"/>
      <c r="E71" s="26">
        <v>20</v>
      </c>
      <c r="F71" s="26"/>
      <c r="G71" s="26"/>
      <c r="H71" s="26">
        <v>8</v>
      </c>
      <c r="I71" s="26">
        <v>18</v>
      </c>
      <c r="J71" s="26"/>
      <c r="K71" s="26"/>
      <c r="L71" s="26"/>
      <c r="M71" s="26"/>
      <c r="N71" s="26"/>
      <c r="O71" s="26"/>
      <c r="P71" s="26">
        <v>24</v>
      </c>
      <c r="Q71" s="26"/>
      <c r="R71" s="26"/>
      <c r="S71" s="30">
        <v>19</v>
      </c>
      <c r="T71" s="28">
        <f>24+20</f>
        <v>44</v>
      </c>
    </row>
    <row r="72" spans="1:20">
      <c r="A72" s="39">
        <f t="shared" si="1"/>
        <v>71</v>
      </c>
      <c r="B72" s="99">
        <v>61</v>
      </c>
      <c r="C72" s="112" t="s">
        <v>94</v>
      </c>
      <c r="D72" s="33"/>
      <c r="E72" s="33">
        <f>3</f>
        <v>3</v>
      </c>
      <c r="F72" s="33"/>
      <c r="G72" s="33"/>
      <c r="H72" s="32">
        <v>19</v>
      </c>
      <c r="I72" s="34">
        <v>4</v>
      </c>
      <c r="J72" s="34"/>
      <c r="K72" s="34">
        <v>14</v>
      </c>
      <c r="L72" s="34"/>
      <c r="M72" s="34"/>
      <c r="N72" s="26"/>
      <c r="O72" s="34">
        <v>24</v>
      </c>
      <c r="P72" s="34">
        <v>2</v>
      </c>
      <c r="Q72" s="34"/>
      <c r="R72" s="34"/>
      <c r="S72" s="37"/>
      <c r="T72" s="28">
        <f>24+19</f>
        <v>43</v>
      </c>
    </row>
    <row r="73" spans="1:20">
      <c r="A73" s="39">
        <f t="shared" si="1"/>
        <v>72</v>
      </c>
      <c r="B73" s="99">
        <v>397</v>
      </c>
      <c r="C73" s="113" t="s">
        <v>95</v>
      </c>
      <c r="D73" s="32"/>
      <c r="E73" s="33">
        <v>17</v>
      </c>
      <c r="F73" s="33">
        <v>3</v>
      </c>
      <c r="G73" s="34"/>
      <c r="H73" s="34">
        <v>25</v>
      </c>
      <c r="I73" s="33">
        <v>17</v>
      </c>
      <c r="J73" s="33"/>
      <c r="K73" s="34"/>
      <c r="L73" s="34"/>
      <c r="M73" s="35"/>
      <c r="N73" s="26"/>
      <c r="O73" s="34"/>
      <c r="P73" s="35"/>
      <c r="Q73" s="35"/>
      <c r="R73" s="33"/>
      <c r="S73" s="38"/>
      <c r="T73" s="28">
        <f>25+17</f>
        <v>42</v>
      </c>
    </row>
    <row r="74" spans="1:20">
      <c r="A74" s="39">
        <f t="shared" si="1"/>
        <v>73</v>
      </c>
      <c r="B74" s="99">
        <v>99</v>
      </c>
      <c r="C74" s="113" t="s">
        <v>96</v>
      </c>
      <c r="D74" s="32"/>
      <c r="E74" s="33"/>
      <c r="F74" s="33"/>
      <c r="G74" s="34"/>
      <c r="H74" s="34"/>
      <c r="I74" s="33"/>
      <c r="J74" s="33"/>
      <c r="K74" s="34"/>
      <c r="L74" s="34">
        <v>35.5</v>
      </c>
      <c r="M74" s="35">
        <f>5.5</f>
        <v>5.5</v>
      </c>
      <c r="N74" s="26"/>
      <c r="O74" s="34"/>
      <c r="P74" s="35"/>
      <c r="Q74" s="35"/>
      <c r="R74" s="33"/>
      <c r="S74" s="38"/>
      <c r="T74" s="28">
        <f>35.5+5.5</f>
        <v>41</v>
      </c>
    </row>
    <row r="75" spans="1:20">
      <c r="A75" s="39">
        <f t="shared" si="1"/>
        <v>74</v>
      </c>
      <c r="B75" s="104">
        <v>207</v>
      </c>
      <c r="C75" s="108" t="s">
        <v>97</v>
      </c>
      <c r="D75" s="26"/>
      <c r="E75" s="26"/>
      <c r="F75" s="26"/>
      <c r="G75" s="26"/>
      <c r="H75" s="26"/>
      <c r="I75" s="26"/>
      <c r="J75" s="26"/>
      <c r="K75" s="26">
        <v>22</v>
      </c>
      <c r="L75" s="26"/>
      <c r="M75" s="26"/>
      <c r="N75" s="26"/>
      <c r="O75" s="26">
        <v>19</v>
      </c>
      <c r="P75" s="26"/>
      <c r="Q75" s="26"/>
      <c r="R75" s="26"/>
      <c r="S75" s="30"/>
      <c r="T75" s="28">
        <f>22+19</f>
        <v>41</v>
      </c>
    </row>
    <row r="76" spans="1:20">
      <c r="A76" s="39">
        <f t="shared" si="1"/>
        <v>75</v>
      </c>
      <c r="B76" s="104">
        <v>166</v>
      </c>
      <c r="C76" s="113" t="s">
        <v>98</v>
      </c>
      <c r="D76" s="33"/>
      <c r="E76" s="33"/>
      <c r="F76" s="33"/>
      <c r="G76" s="33"/>
      <c r="H76" s="32"/>
      <c r="I76" s="32"/>
      <c r="J76" s="32"/>
      <c r="K76" s="35"/>
      <c r="L76" s="35">
        <v>35.5</v>
      </c>
      <c r="M76" s="35">
        <f>4</f>
        <v>4</v>
      </c>
      <c r="N76" s="26"/>
      <c r="O76" s="35"/>
      <c r="P76" s="35"/>
      <c r="Q76" s="35"/>
      <c r="R76" s="35"/>
      <c r="S76" s="38"/>
      <c r="T76" s="28">
        <f>35.5+4</f>
        <v>39.5</v>
      </c>
    </row>
    <row r="77" spans="1:20" ht="17.25">
      <c r="A77" s="39">
        <f t="shared" si="1"/>
        <v>76</v>
      </c>
      <c r="B77" s="104">
        <v>219</v>
      </c>
      <c r="C77" s="109" t="s">
        <v>99</v>
      </c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>
        <v>39</v>
      </c>
      <c r="S77" s="30"/>
      <c r="T77" s="28">
        <f>39</f>
        <v>39</v>
      </c>
    </row>
    <row r="78" spans="1:20" ht="17.25">
      <c r="A78" s="39">
        <f t="shared" si="1"/>
        <v>77</v>
      </c>
      <c r="B78" s="104">
        <v>41</v>
      </c>
      <c r="C78" s="159" t="s">
        <v>100</v>
      </c>
      <c r="D78" s="26">
        <v>14</v>
      </c>
      <c r="E78" s="26"/>
      <c r="F78" s="26">
        <v>24</v>
      </c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30"/>
      <c r="T78" s="28">
        <f>24+14</f>
        <v>38</v>
      </c>
    </row>
    <row r="79" spans="1:20">
      <c r="A79" s="39">
        <f t="shared" si="1"/>
        <v>78</v>
      </c>
      <c r="B79" s="104">
        <v>149</v>
      </c>
      <c r="C79" s="113" t="s">
        <v>101</v>
      </c>
      <c r="D79" s="33"/>
      <c r="E79" s="33"/>
      <c r="F79" s="33"/>
      <c r="G79" s="33"/>
      <c r="H79" s="32"/>
      <c r="I79" s="32"/>
      <c r="J79" s="32"/>
      <c r="K79" s="35"/>
      <c r="L79" s="35"/>
      <c r="M79" s="35"/>
      <c r="N79" s="26"/>
      <c r="O79" s="35"/>
      <c r="P79" s="35"/>
      <c r="Q79" s="35"/>
      <c r="R79" s="35">
        <f>37.5</f>
        <v>37.5</v>
      </c>
      <c r="S79" s="38"/>
      <c r="T79" s="28">
        <f>37.5</f>
        <v>37.5</v>
      </c>
    </row>
    <row r="80" spans="1:20">
      <c r="A80" s="39">
        <f t="shared" si="1"/>
        <v>79</v>
      </c>
      <c r="B80" s="99">
        <v>104</v>
      </c>
      <c r="C80" s="112" t="s">
        <v>102</v>
      </c>
      <c r="D80" s="33"/>
      <c r="E80" s="33">
        <v>2</v>
      </c>
      <c r="F80" s="32"/>
      <c r="G80" s="34"/>
      <c r="H80" s="34">
        <v>21</v>
      </c>
      <c r="I80" s="33">
        <v>8</v>
      </c>
      <c r="J80" s="33"/>
      <c r="K80" s="33"/>
      <c r="L80" s="33"/>
      <c r="M80" s="33"/>
      <c r="N80" s="26"/>
      <c r="O80" s="33">
        <v>15</v>
      </c>
      <c r="P80" s="33"/>
      <c r="Q80" s="33"/>
      <c r="R80" s="33"/>
      <c r="S80" s="46"/>
      <c r="T80" s="28">
        <f>21+15</f>
        <v>36</v>
      </c>
    </row>
    <row r="81" spans="1:20">
      <c r="A81" s="39">
        <f t="shared" si="1"/>
        <v>80</v>
      </c>
      <c r="B81" s="99">
        <v>999</v>
      </c>
      <c r="C81" s="113" t="s">
        <v>103</v>
      </c>
      <c r="D81" s="32"/>
      <c r="E81" s="33"/>
      <c r="F81" s="33"/>
      <c r="G81" s="34"/>
      <c r="H81" s="34"/>
      <c r="I81" s="33"/>
      <c r="J81" s="33">
        <v>33</v>
      </c>
      <c r="K81" s="34"/>
      <c r="L81" s="34"/>
      <c r="M81" s="35"/>
      <c r="N81" s="26"/>
      <c r="O81" s="34"/>
      <c r="P81" s="35"/>
      <c r="Q81" s="35"/>
      <c r="R81" s="33"/>
      <c r="S81" s="38"/>
      <c r="T81" s="28">
        <f>33</f>
        <v>33</v>
      </c>
    </row>
    <row r="82" spans="1:20" ht="17.25">
      <c r="A82" s="39">
        <f t="shared" si="1"/>
        <v>81</v>
      </c>
      <c r="B82" s="56">
        <v>33</v>
      </c>
      <c r="C82" s="110" t="s">
        <v>104</v>
      </c>
      <c r="D82" s="26"/>
      <c r="E82" s="26">
        <v>12</v>
      </c>
      <c r="F82" s="26"/>
      <c r="G82" s="26"/>
      <c r="H82" s="26">
        <v>16</v>
      </c>
      <c r="I82" s="26">
        <v>6</v>
      </c>
      <c r="J82" s="26"/>
      <c r="K82" s="26"/>
      <c r="L82" s="26"/>
      <c r="M82" s="26"/>
      <c r="N82" s="26"/>
      <c r="O82" s="26"/>
      <c r="P82" s="26"/>
      <c r="Q82" s="26"/>
      <c r="R82" s="26"/>
      <c r="S82" s="30"/>
      <c r="T82" s="28">
        <f>16+12</f>
        <v>28</v>
      </c>
    </row>
    <row r="83" spans="1:20" ht="17.25">
      <c r="A83" s="39">
        <f t="shared" si="1"/>
        <v>82</v>
      </c>
      <c r="B83" s="104">
        <v>45</v>
      </c>
      <c r="C83" s="110" t="s">
        <v>105</v>
      </c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>
        <v>28</v>
      </c>
      <c r="Q83" s="26"/>
      <c r="R83" s="26"/>
      <c r="S83" s="30"/>
      <c r="T83" s="28">
        <f>28</f>
        <v>28</v>
      </c>
    </row>
    <row r="84" spans="1:20" ht="17.25">
      <c r="A84" s="39">
        <f t="shared" si="1"/>
        <v>83</v>
      </c>
      <c r="B84" s="104">
        <v>182</v>
      </c>
      <c r="C84" s="109" t="s">
        <v>106</v>
      </c>
      <c r="D84" s="26"/>
      <c r="E84" s="26">
        <v>2</v>
      </c>
      <c r="F84" s="26"/>
      <c r="G84" s="26"/>
      <c r="H84" s="26">
        <v>13</v>
      </c>
      <c r="I84" s="26">
        <v>9</v>
      </c>
      <c r="J84" s="26"/>
      <c r="K84" s="26"/>
      <c r="L84" s="26"/>
      <c r="M84" s="26"/>
      <c r="N84" s="26"/>
      <c r="O84" s="26"/>
      <c r="P84" s="26"/>
      <c r="Q84" s="26"/>
      <c r="R84" s="26"/>
      <c r="S84" s="30"/>
      <c r="T84" s="28">
        <f>13+9</f>
        <v>22</v>
      </c>
    </row>
    <row r="85" spans="1:20" ht="17.25">
      <c r="A85" s="39">
        <f t="shared" si="1"/>
        <v>84</v>
      </c>
      <c r="B85" s="104">
        <v>124</v>
      </c>
      <c r="C85" s="159" t="s">
        <v>107</v>
      </c>
      <c r="D85" s="26"/>
      <c r="E85" s="26">
        <v>9</v>
      </c>
      <c r="F85" s="26"/>
      <c r="G85" s="26"/>
      <c r="H85" s="26">
        <v>12</v>
      </c>
      <c r="I85" s="26">
        <v>8</v>
      </c>
      <c r="J85" s="26"/>
      <c r="K85" s="26"/>
      <c r="L85" s="26"/>
      <c r="M85" s="26"/>
      <c r="N85" s="26"/>
      <c r="O85" s="26"/>
      <c r="P85" s="26"/>
      <c r="Q85" s="26"/>
      <c r="R85" s="26"/>
      <c r="S85" s="30"/>
      <c r="T85" s="28">
        <f>12+9</f>
        <v>21</v>
      </c>
    </row>
    <row r="86" spans="1:20" ht="17.25">
      <c r="A86" s="39">
        <f t="shared" si="1"/>
        <v>85</v>
      </c>
      <c r="B86" s="56">
        <v>810</v>
      </c>
      <c r="C86" s="110" t="s">
        <v>108</v>
      </c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>
        <v>18.5</v>
      </c>
      <c r="R86" s="26"/>
      <c r="S86" s="30"/>
      <c r="T86" s="28">
        <f>18.5</f>
        <v>18.5</v>
      </c>
    </row>
    <row r="87" spans="1:20">
      <c r="A87" s="39">
        <f t="shared" si="1"/>
        <v>86</v>
      </c>
      <c r="B87" s="99">
        <v>806</v>
      </c>
      <c r="C87" s="113" t="s">
        <v>109</v>
      </c>
      <c r="D87" s="32"/>
      <c r="E87" s="33"/>
      <c r="F87" s="33"/>
      <c r="G87" s="34"/>
      <c r="H87" s="34"/>
      <c r="I87" s="33"/>
      <c r="J87" s="33"/>
      <c r="K87" s="34"/>
      <c r="L87" s="34"/>
      <c r="M87" s="35"/>
      <c r="N87" s="26"/>
      <c r="O87" s="34"/>
      <c r="P87" s="35"/>
      <c r="Q87" s="35">
        <v>15.5</v>
      </c>
      <c r="R87" s="33"/>
      <c r="S87" s="38"/>
      <c r="T87" s="28">
        <f>15.5</f>
        <v>15.5</v>
      </c>
    </row>
    <row r="88" spans="1:20" ht="17.25">
      <c r="A88" s="39">
        <f t="shared" si="1"/>
        <v>87</v>
      </c>
      <c r="B88" s="56">
        <v>85</v>
      </c>
      <c r="C88" s="110" t="s">
        <v>110</v>
      </c>
      <c r="D88" s="26"/>
      <c r="E88" s="26">
        <v>6</v>
      </c>
      <c r="F88" s="26"/>
      <c r="G88" s="26"/>
      <c r="H88" s="26">
        <v>7</v>
      </c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30"/>
      <c r="T88" s="28">
        <f>7+6</f>
        <v>13</v>
      </c>
    </row>
    <row r="89" spans="1:20">
      <c r="A89" s="39">
        <f t="shared" si="1"/>
        <v>88</v>
      </c>
      <c r="B89" s="99">
        <v>313</v>
      </c>
      <c r="C89" s="112" t="s">
        <v>111</v>
      </c>
      <c r="D89" s="32"/>
      <c r="E89" s="33">
        <f>4</f>
        <v>4</v>
      </c>
      <c r="F89" s="34"/>
      <c r="G89" s="34"/>
      <c r="H89" s="34">
        <v>8</v>
      </c>
      <c r="I89" s="34">
        <v>5</v>
      </c>
      <c r="J89" s="34"/>
      <c r="K89" s="34"/>
      <c r="L89" s="34"/>
      <c r="M89" s="34"/>
      <c r="N89" s="26"/>
      <c r="O89" s="34"/>
      <c r="P89" s="34"/>
      <c r="Q89" s="34"/>
      <c r="R89" s="34"/>
      <c r="S89" s="37"/>
      <c r="T89" s="28">
        <f>8+5</f>
        <v>13</v>
      </c>
    </row>
    <row r="90" spans="1:20" ht="17.25">
      <c r="A90" s="39">
        <f t="shared" si="1"/>
        <v>89</v>
      </c>
      <c r="B90" s="56">
        <v>432</v>
      </c>
      <c r="C90" s="110" t="s">
        <v>112</v>
      </c>
      <c r="D90" s="26"/>
      <c r="E90" s="26"/>
      <c r="F90" s="26">
        <v>10</v>
      </c>
      <c r="G90" s="26">
        <v>3</v>
      </c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30"/>
      <c r="T90" s="28">
        <f>3+10</f>
        <v>13</v>
      </c>
    </row>
    <row r="91" spans="1:20">
      <c r="A91" s="39">
        <f t="shared" si="1"/>
        <v>90</v>
      </c>
      <c r="B91" s="104">
        <v>87</v>
      </c>
      <c r="C91" s="108" t="s">
        <v>113</v>
      </c>
      <c r="D91" s="26"/>
      <c r="E91" s="26">
        <v>6</v>
      </c>
      <c r="F91" s="26"/>
      <c r="G91" s="26"/>
      <c r="H91" s="26">
        <v>5</v>
      </c>
      <c r="I91" s="26">
        <v>7</v>
      </c>
      <c r="J91" s="26"/>
      <c r="K91" s="26"/>
      <c r="L91" s="26"/>
      <c r="M91" s="26"/>
      <c r="N91" s="26"/>
      <c r="O91" s="26"/>
      <c r="P91" s="26">
        <v>6</v>
      </c>
      <c r="Q91" s="26"/>
      <c r="R91" s="26"/>
      <c r="S91" s="30"/>
      <c r="T91" s="28">
        <f>7+6</f>
        <v>13</v>
      </c>
    </row>
    <row r="92" spans="1:20" ht="17.25">
      <c r="A92" s="39">
        <f t="shared" si="1"/>
        <v>91</v>
      </c>
      <c r="B92" s="56">
        <v>909</v>
      </c>
      <c r="C92" s="110" t="s">
        <v>114</v>
      </c>
      <c r="D92" s="26"/>
      <c r="E92" s="26"/>
      <c r="F92" s="26"/>
      <c r="G92" s="26"/>
      <c r="H92" s="26"/>
      <c r="I92" s="26"/>
      <c r="J92" s="26">
        <v>4</v>
      </c>
      <c r="K92" s="26">
        <v>6</v>
      </c>
      <c r="L92" s="26"/>
      <c r="M92" s="26"/>
      <c r="N92" s="26"/>
      <c r="O92" s="26"/>
      <c r="P92" s="26"/>
      <c r="Q92" s="26"/>
      <c r="R92" s="26"/>
      <c r="S92" s="30"/>
      <c r="T92" s="28">
        <f>6+4</f>
        <v>10</v>
      </c>
    </row>
    <row r="93" spans="1:20">
      <c r="A93" s="39">
        <f t="shared" si="1"/>
        <v>92</v>
      </c>
      <c r="B93" s="99">
        <v>844</v>
      </c>
      <c r="C93" s="113" t="s">
        <v>115</v>
      </c>
      <c r="D93" s="32"/>
      <c r="E93" s="33"/>
      <c r="F93" s="33"/>
      <c r="G93" s="34"/>
      <c r="H93" s="34"/>
      <c r="I93" s="33"/>
      <c r="J93" s="33"/>
      <c r="K93" s="34"/>
      <c r="L93" s="34"/>
      <c r="M93" s="35">
        <f>10</f>
        <v>10</v>
      </c>
      <c r="N93" s="26"/>
      <c r="O93" s="34"/>
      <c r="P93" s="35"/>
      <c r="Q93" s="35"/>
      <c r="R93" s="33"/>
      <c r="S93" s="38"/>
      <c r="T93" s="28">
        <f>10</f>
        <v>10</v>
      </c>
    </row>
    <row r="94" spans="1:20" ht="17.25">
      <c r="A94" s="39">
        <f t="shared" si="1"/>
        <v>93</v>
      </c>
      <c r="B94" s="104">
        <v>202</v>
      </c>
      <c r="C94" s="109" t="s">
        <v>116</v>
      </c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>
        <v>8.5</v>
      </c>
      <c r="S94" s="30"/>
      <c r="T94" s="28">
        <f>8.5</f>
        <v>8.5</v>
      </c>
    </row>
    <row r="95" spans="1:20">
      <c r="A95" s="39">
        <f t="shared" si="1"/>
        <v>94</v>
      </c>
      <c r="B95" s="104">
        <v>27</v>
      </c>
      <c r="C95" s="108" t="s">
        <v>117</v>
      </c>
      <c r="D95" s="157"/>
      <c r="E95" s="157"/>
      <c r="F95" s="157"/>
      <c r="G95" s="157"/>
      <c r="H95" s="157"/>
      <c r="I95" s="157"/>
      <c r="J95" s="157"/>
      <c r="K95" s="157"/>
      <c r="L95" s="157">
        <v>3.5</v>
      </c>
      <c r="M95" s="157"/>
      <c r="N95" s="157">
        <v>5</v>
      </c>
      <c r="O95" s="157"/>
      <c r="P95" s="157"/>
      <c r="Q95" s="157"/>
      <c r="R95" s="157"/>
      <c r="S95" s="158"/>
      <c r="T95" s="28">
        <f>3.5+5</f>
        <v>8.5</v>
      </c>
    </row>
    <row r="96" spans="1:20">
      <c r="A96" s="39">
        <f t="shared" si="1"/>
        <v>95</v>
      </c>
      <c r="B96" s="99">
        <v>777</v>
      </c>
      <c r="C96" s="112" t="s">
        <v>118</v>
      </c>
      <c r="D96" s="33"/>
      <c r="E96" s="33"/>
      <c r="F96" s="33"/>
      <c r="G96" s="32"/>
      <c r="H96" s="33"/>
      <c r="I96" s="33"/>
      <c r="J96" s="33"/>
      <c r="K96" s="33"/>
      <c r="L96" s="33"/>
      <c r="M96" s="33"/>
      <c r="N96" s="26"/>
      <c r="O96" s="34">
        <f>6</f>
        <v>6</v>
      </c>
      <c r="P96" s="33"/>
      <c r="Q96" s="33"/>
      <c r="R96" s="33"/>
      <c r="S96" s="36"/>
      <c r="T96" s="28">
        <f>6</f>
        <v>6</v>
      </c>
    </row>
    <row r="97" spans="1:20" ht="17.25">
      <c r="A97" s="39">
        <f t="shared" si="1"/>
        <v>96</v>
      </c>
      <c r="B97" s="104">
        <v>39</v>
      </c>
      <c r="C97" s="111" t="s">
        <v>119</v>
      </c>
      <c r="D97" s="26"/>
      <c r="E97" s="26"/>
      <c r="F97" s="26"/>
      <c r="G97" s="26"/>
      <c r="H97" s="26">
        <v>4</v>
      </c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30"/>
      <c r="T97" s="28">
        <f>4</f>
        <v>4</v>
      </c>
    </row>
    <row r="98" spans="1:20" ht="17.25">
      <c r="A98" s="39">
        <f t="shared" si="1"/>
        <v>97</v>
      </c>
      <c r="B98" s="56">
        <v>868</v>
      </c>
      <c r="C98" s="110" t="s">
        <v>120</v>
      </c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>
        <v>3.5</v>
      </c>
      <c r="R98" s="26"/>
      <c r="S98" s="30"/>
      <c r="T98" s="28">
        <f>3.5</f>
        <v>3.5</v>
      </c>
    </row>
    <row r="99" spans="1:20">
      <c r="A99" s="39">
        <f t="shared" si="1"/>
        <v>98</v>
      </c>
      <c r="B99" s="99">
        <v>412</v>
      </c>
      <c r="C99" s="112" t="s">
        <v>121</v>
      </c>
      <c r="D99" s="32"/>
      <c r="E99" s="33"/>
      <c r="F99" s="32"/>
      <c r="G99" s="34"/>
      <c r="H99" s="32"/>
      <c r="I99" s="34"/>
      <c r="J99" s="34"/>
      <c r="K99" s="34"/>
      <c r="L99" s="34"/>
      <c r="M99" s="34"/>
      <c r="N99" s="26"/>
      <c r="O99" s="34"/>
      <c r="P99" s="34"/>
      <c r="Q99" s="34">
        <v>3.5</v>
      </c>
      <c r="R99" s="34"/>
      <c r="S99" s="37"/>
      <c r="T99" s="28">
        <f>3.5</f>
        <v>3.5</v>
      </c>
    </row>
    <row r="100" spans="1:20">
      <c r="A100" s="39">
        <f t="shared" si="1"/>
        <v>99</v>
      </c>
      <c r="B100" s="99">
        <v>479</v>
      </c>
      <c r="C100" s="112" t="s">
        <v>122</v>
      </c>
      <c r="D100" s="161"/>
      <c r="E100" s="33"/>
      <c r="F100" s="33"/>
      <c r="G100" s="33"/>
      <c r="H100" s="32"/>
      <c r="I100" s="34"/>
      <c r="J100" s="34"/>
      <c r="K100" s="35"/>
      <c r="L100" s="35"/>
      <c r="M100" s="35"/>
      <c r="N100" s="26"/>
      <c r="O100" s="35"/>
      <c r="P100" s="35"/>
      <c r="Q100" s="34">
        <v>3</v>
      </c>
      <c r="R100" s="35"/>
      <c r="S100" s="38"/>
      <c r="T100" s="28">
        <f>3</f>
        <v>3</v>
      </c>
    </row>
    <row r="101" spans="1:20">
      <c r="A101" s="39">
        <f t="shared" si="1"/>
        <v>100</v>
      </c>
      <c r="B101" s="99">
        <v>56</v>
      </c>
      <c r="C101" s="113" t="s">
        <v>123</v>
      </c>
      <c r="D101" s="33">
        <f>1</f>
        <v>1</v>
      </c>
      <c r="E101" s="162"/>
      <c r="F101" s="33">
        <f>1</f>
        <v>1</v>
      </c>
      <c r="G101" s="33"/>
      <c r="H101" s="32"/>
      <c r="I101" s="32"/>
      <c r="J101" s="32"/>
      <c r="K101" s="35"/>
      <c r="L101" s="35"/>
      <c r="M101" s="35"/>
      <c r="N101" s="26"/>
      <c r="O101" s="35"/>
      <c r="P101" s="35"/>
      <c r="Q101" s="35"/>
      <c r="R101" s="35"/>
      <c r="S101" s="38"/>
      <c r="T101" s="28">
        <f>1+1</f>
        <v>2</v>
      </c>
    </row>
    <row r="102" spans="1:20">
      <c r="A102" s="39">
        <f t="shared" si="1"/>
        <v>101</v>
      </c>
      <c r="B102" s="104">
        <v>25</v>
      </c>
      <c r="C102" s="108" t="s">
        <v>124</v>
      </c>
      <c r="D102" s="26"/>
      <c r="E102" s="160"/>
      <c r="F102" s="26"/>
      <c r="G102" s="26"/>
      <c r="H102" s="26"/>
      <c r="I102" s="26"/>
      <c r="J102" s="26"/>
      <c r="K102" s="26"/>
      <c r="L102" s="26"/>
      <c r="M102" s="26"/>
      <c r="N102" s="26"/>
      <c r="O102" s="26">
        <v>2</v>
      </c>
      <c r="P102" s="26"/>
      <c r="Q102" s="26"/>
      <c r="R102" s="26"/>
      <c r="S102" s="30"/>
      <c r="T102" s="28">
        <f>2</f>
        <v>2</v>
      </c>
    </row>
    <row r="103" spans="1:20" ht="17.25">
      <c r="A103" s="39">
        <f t="shared" si="1"/>
        <v>102</v>
      </c>
      <c r="B103" s="56">
        <v>71</v>
      </c>
      <c r="C103" s="110" t="s">
        <v>125</v>
      </c>
      <c r="D103" s="26"/>
      <c r="E103" s="160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30">
        <v>0.5</v>
      </c>
      <c r="T103" s="29">
        <f>0.5</f>
        <v>0.5</v>
      </c>
    </row>
  </sheetData>
  <sortState xmlns:xlrd2="http://schemas.microsoft.com/office/spreadsheetml/2017/richdata2" ref="A2:U104">
    <sortCondition descending="1" ref="T2:T104"/>
  </sortState>
  <pageMargins left="0.25" right="0.25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FAD2F-2BDD-4752-8018-19A4116385BA}">
  <dimension ref="A1:D21"/>
  <sheetViews>
    <sheetView topLeftCell="B1" workbookViewId="0">
      <selection activeCell="M10" sqref="M10"/>
    </sheetView>
  </sheetViews>
  <sheetFormatPr defaultRowHeight="15.75"/>
  <cols>
    <col min="1" max="1" width="14.7109375" style="58" customWidth="1"/>
    <col min="2" max="2" width="9.140625" style="58"/>
    <col min="3" max="3" width="31.140625" style="58" bestFit="1" customWidth="1"/>
    <col min="4" max="16384" width="9.140625" style="58"/>
  </cols>
  <sheetData>
    <row r="1" spans="1:4" ht="17.25">
      <c r="A1" s="55" t="s">
        <v>135</v>
      </c>
      <c r="C1" s="63"/>
    </row>
    <row r="2" spans="1:4" ht="17.25">
      <c r="C2" s="63">
        <v>44430</v>
      </c>
    </row>
    <row r="3" spans="1:4" ht="34.5">
      <c r="A3" s="90" t="s">
        <v>0</v>
      </c>
      <c r="B3" s="93" t="s">
        <v>1</v>
      </c>
      <c r="C3" s="94" t="s">
        <v>2</v>
      </c>
      <c r="D3" s="95" t="s">
        <v>127</v>
      </c>
    </row>
    <row r="4" spans="1:4" ht="17.25">
      <c r="B4" s="17" t="s">
        <v>136</v>
      </c>
      <c r="C4" s="21" t="s">
        <v>31</v>
      </c>
      <c r="D4" s="96">
        <f>21+36.5+26+32+37+25</f>
        <v>177.5</v>
      </c>
    </row>
    <row r="5" spans="1:4" ht="17.25">
      <c r="B5" s="3">
        <v>107</v>
      </c>
      <c r="C5" s="5" t="s">
        <v>33</v>
      </c>
      <c r="D5" s="121">
        <f>31+17+41.5+38.5</f>
        <v>128</v>
      </c>
    </row>
    <row r="6" spans="1:4" ht="17.25">
      <c r="B6" s="5">
        <v>31</v>
      </c>
      <c r="C6" s="5" t="s">
        <v>51</v>
      </c>
      <c r="D6" s="127">
        <f>43+38+45.5</f>
        <v>126.5</v>
      </c>
    </row>
    <row r="7" spans="1:4" ht="17.25">
      <c r="B7" s="5">
        <v>40</v>
      </c>
      <c r="C7" s="145" t="s">
        <v>49</v>
      </c>
      <c r="D7" s="5">
        <f>23+41.5+32.5</f>
        <v>97</v>
      </c>
    </row>
    <row r="8" spans="1:4" ht="17.25">
      <c r="B8" s="18">
        <v>204</v>
      </c>
      <c r="C8" s="4" t="s">
        <v>50</v>
      </c>
      <c r="D8" s="127">
        <f>43+44</f>
        <v>87</v>
      </c>
    </row>
    <row r="9" spans="1:4" ht="17.25">
      <c r="B9" s="3">
        <v>769</v>
      </c>
      <c r="C9" s="122" t="s">
        <v>44</v>
      </c>
      <c r="D9" s="121">
        <f>8.5+16+27+22.5</f>
        <v>74</v>
      </c>
    </row>
    <row r="10" spans="1:4" ht="17.25">
      <c r="B10" s="3">
        <v>93</v>
      </c>
      <c r="C10" s="146" t="s">
        <v>72</v>
      </c>
      <c r="D10" s="127">
        <f>31+22+0.5</f>
        <v>53.5</v>
      </c>
    </row>
    <row r="11" spans="1:4" ht="17.25">
      <c r="B11" s="3">
        <v>17</v>
      </c>
      <c r="C11" s="4" t="s">
        <v>40</v>
      </c>
      <c r="D11" s="121">
        <f>14.5+13+17+6</f>
        <v>50.5</v>
      </c>
    </row>
    <row r="12" spans="1:4" ht="17.25">
      <c r="B12" s="4">
        <v>46</v>
      </c>
      <c r="C12" s="5" t="s">
        <v>43</v>
      </c>
      <c r="D12" s="126">
        <f>15+30</f>
        <v>45</v>
      </c>
    </row>
    <row r="13" spans="1:4" ht="17.25">
      <c r="B13" s="3">
        <v>965</v>
      </c>
      <c r="C13" s="122" t="s">
        <v>82</v>
      </c>
      <c r="D13" s="121">
        <f>6+4.5+17.5+13.5</f>
        <v>41.5</v>
      </c>
    </row>
    <row r="14" spans="1:4" ht="17.25">
      <c r="B14" s="3">
        <v>99</v>
      </c>
      <c r="C14" s="122" t="s">
        <v>96</v>
      </c>
      <c r="D14" s="121">
        <f>21+14.5</f>
        <v>35.5</v>
      </c>
    </row>
    <row r="15" spans="1:4" ht="17.25">
      <c r="B15" s="5">
        <v>166</v>
      </c>
      <c r="C15" s="122" t="s">
        <v>98</v>
      </c>
      <c r="D15" s="123">
        <f>2.5+8+17.5+7.5</f>
        <v>35.5</v>
      </c>
    </row>
    <row r="16" spans="1:4" ht="17.25">
      <c r="B16" s="3">
        <v>36</v>
      </c>
      <c r="C16" s="5" t="s">
        <v>79</v>
      </c>
      <c r="D16" s="121">
        <f>4.5+5.5+8.5</f>
        <v>18.5</v>
      </c>
    </row>
    <row r="17" spans="2:4" ht="17.25">
      <c r="B17" s="3">
        <v>676</v>
      </c>
      <c r="C17" s="5" t="s">
        <v>60</v>
      </c>
      <c r="D17" s="121">
        <f>5.5+9.5</f>
        <v>15</v>
      </c>
    </row>
    <row r="18" spans="2:4" ht="17.25">
      <c r="B18" s="5">
        <v>152</v>
      </c>
      <c r="C18" s="4" t="s">
        <v>71</v>
      </c>
      <c r="D18" s="5">
        <f>3.5+5.5+4.5</f>
        <v>13.5</v>
      </c>
    </row>
    <row r="19" spans="2:4" ht="17.25">
      <c r="B19" s="5">
        <v>64</v>
      </c>
      <c r="C19" s="4" t="s">
        <v>68</v>
      </c>
      <c r="D19" s="5">
        <f>5+7</f>
        <v>12</v>
      </c>
    </row>
    <row r="20" spans="2:4" ht="17.25">
      <c r="B20" s="5">
        <v>27</v>
      </c>
      <c r="C20" s="122" t="s">
        <v>117</v>
      </c>
      <c r="D20" s="5">
        <f>3.5</f>
        <v>3.5</v>
      </c>
    </row>
    <row r="21" spans="2:4" ht="17.25"/>
  </sheetData>
  <sortState xmlns:xlrd2="http://schemas.microsoft.com/office/spreadsheetml/2017/richdata2" ref="B4:D20">
    <sortCondition descending="1" ref="D4:D20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DCA30-B780-4802-86DA-2B536D5E6722}">
  <dimension ref="A1:D15"/>
  <sheetViews>
    <sheetView workbookViewId="0">
      <selection activeCell="I8" sqref="I8"/>
    </sheetView>
  </sheetViews>
  <sheetFormatPr defaultRowHeight="15.75"/>
  <cols>
    <col min="1" max="1" width="14.7109375" style="58" customWidth="1"/>
    <col min="2" max="2" width="9.140625" style="58"/>
    <col min="3" max="3" width="21.42578125" style="58" customWidth="1"/>
    <col min="4" max="16384" width="9.140625" style="58"/>
  </cols>
  <sheetData>
    <row r="1" spans="1:4" ht="17.25">
      <c r="A1" s="55" t="s">
        <v>137</v>
      </c>
      <c r="C1" s="63"/>
    </row>
    <row r="2" spans="1:4" ht="17.25">
      <c r="C2" s="63">
        <v>44432</v>
      </c>
    </row>
    <row r="3" spans="1:4" ht="34.5">
      <c r="A3" s="59" t="s">
        <v>0</v>
      </c>
      <c r="B3" s="64" t="s">
        <v>1</v>
      </c>
      <c r="C3" s="60" t="s">
        <v>2</v>
      </c>
      <c r="D3" s="89" t="s">
        <v>127</v>
      </c>
    </row>
    <row r="4" spans="1:4" ht="17.25">
      <c r="B4" s="17" t="s">
        <v>30</v>
      </c>
      <c r="C4" s="21" t="s">
        <v>31</v>
      </c>
      <c r="D4" s="24">
        <f>26.5+38.5+24.5+30+26.5+20</f>
        <v>166</v>
      </c>
    </row>
    <row r="5" spans="1:4" ht="17.25">
      <c r="B5" s="5">
        <v>902</v>
      </c>
      <c r="C5" s="5" t="s">
        <v>55</v>
      </c>
      <c r="D5" s="5">
        <f>40+30.5+20+37</f>
        <v>127.5</v>
      </c>
    </row>
    <row r="6" spans="1:4" ht="17.25">
      <c r="B6" s="5">
        <v>40</v>
      </c>
      <c r="C6" s="5" t="s">
        <v>49</v>
      </c>
      <c r="D6" s="5">
        <f>17+37+30.5</f>
        <v>84.5</v>
      </c>
    </row>
    <row r="7" spans="1:4" ht="17.25">
      <c r="B7" s="18">
        <v>204</v>
      </c>
      <c r="C7" s="4" t="s">
        <v>50</v>
      </c>
      <c r="D7" s="127">
        <f>34+33</f>
        <v>67</v>
      </c>
    </row>
    <row r="8" spans="1:4" ht="17.25">
      <c r="B8" s="5">
        <v>31</v>
      </c>
      <c r="C8" s="5" t="s">
        <v>51</v>
      </c>
      <c r="D8" s="127">
        <f>18+21</f>
        <v>39</v>
      </c>
    </row>
    <row r="9" spans="1:4" ht="17.25">
      <c r="B9" s="3">
        <v>93</v>
      </c>
      <c r="C9" s="146" t="s">
        <v>72</v>
      </c>
      <c r="D9" s="127">
        <f>12.5+24.5</f>
        <v>37</v>
      </c>
    </row>
    <row r="10" spans="1:4" ht="17.25">
      <c r="B10" s="5">
        <v>272</v>
      </c>
      <c r="C10" s="122" t="s">
        <v>46</v>
      </c>
      <c r="D10" s="5">
        <f>25</f>
        <v>25</v>
      </c>
    </row>
    <row r="11" spans="1:4" ht="17.25">
      <c r="B11" s="4">
        <v>46</v>
      </c>
      <c r="C11" s="5" t="s">
        <v>43</v>
      </c>
      <c r="D11" s="126">
        <f>12.5</f>
        <v>12.5</v>
      </c>
    </row>
    <row r="12" spans="1:4" ht="17.25">
      <c r="B12" s="3">
        <v>844</v>
      </c>
      <c r="C12" s="122" t="s">
        <v>115</v>
      </c>
      <c r="D12" s="123">
        <f>10</f>
        <v>10</v>
      </c>
    </row>
    <row r="13" spans="1:4" ht="17.25">
      <c r="B13" s="3">
        <v>99</v>
      </c>
      <c r="C13" s="122" t="s">
        <v>96</v>
      </c>
      <c r="D13" s="123">
        <f>5.5</f>
        <v>5.5</v>
      </c>
    </row>
    <row r="14" spans="1:4" ht="17.25">
      <c r="B14" s="5">
        <v>166</v>
      </c>
      <c r="C14" s="122" t="s">
        <v>98</v>
      </c>
      <c r="D14" s="123">
        <f>4</f>
        <v>4</v>
      </c>
    </row>
    <row r="15" spans="1:4" ht="17.25"/>
  </sheetData>
  <sortState xmlns:xlrd2="http://schemas.microsoft.com/office/spreadsheetml/2017/richdata2" ref="B5:D14">
    <sortCondition descending="1" ref="D5:D14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7BB4E-E4C6-4917-85B0-8D1C64D725D3}">
  <dimension ref="A1:D17"/>
  <sheetViews>
    <sheetView workbookViewId="0">
      <selection activeCell="F13" sqref="F13"/>
    </sheetView>
  </sheetViews>
  <sheetFormatPr defaultRowHeight="15.75"/>
  <cols>
    <col min="1" max="1" width="14.7109375" style="58" customWidth="1"/>
    <col min="2" max="2" width="9.140625" style="56"/>
    <col min="3" max="3" width="30.5703125" style="56" customWidth="1"/>
    <col min="4" max="4" width="9.140625" style="56"/>
    <col min="5" max="16384" width="9.140625" style="58"/>
  </cols>
  <sheetData>
    <row r="1" spans="1:4" ht="17.25">
      <c r="A1" s="55" t="s">
        <v>138</v>
      </c>
      <c r="C1" s="57"/>
    </row>
    <row r="2" spans="1:4" ht="17.25">
      <c r="C2" s="57">
        <v>44432</v>
      </c>
    </row>
    <row r="3" spans="1:4" ht="34.5">
      <c r="A3" s="59" t="s">
        <v>0</v>
      </c>
      <c r="B3" s="124" t="s">
        <v>1</v>
      </c>
      <c r="C3" s="125" t="s">
        <v>2</v>
      </c>
      <c r="D3" s="66" t="s">
        <v>127</v>
      </c>
    </row>
    <row r="4" spans="1:4" ht="17.25">
      <c r="B4" s="3">
        <v>107</v>
      </c>
      <c r="C4" s="5" t="s">
        <v>33</v>
      </c>
      <c r="D4" s="5">
        <f>41+45+42+48</f>
        <v>176</v>
      </c>
    </row>
    <row r="5" spans="1:4" ht="17.25">
      <c r="B5" s="3">
        <v>17</v>
      </c>
      <c r="C5" s="4" t="s">
        <v>40</v>
      </c>
      <c r="D5" s="5">
        <f>18.5+32+35+29+44+16</f>
        <v>174.5</v>
      </c>
    </row>
    <row r="6" spans="1:4" ht="17.25">
      <c r="B6" s="3">
        <v>769</v>
      </c>
      <c r="C6" s="122" t="s">
        <v>44</v>
      </c>
      <c r="D6" s="5">
        <f>15.5+35+35+38</f>
        <v>123.5</v>
      </c>
    </row>
    <row r="7" spans="1:4" ht="17.25">
      <c r="B7" s="3">
        <v>64</v>
      </c>
      <c r="C7" s="4" t="s">
        <v>68</v>
      </c>
      <c r="D7" s="5">
        <f>28.5+17+17+11+15.5</f>
        <v>89</v>
      </c>
    </row>
    <row r="8" spans="1:4" ht="17.25">
      <c r="B8" s="5">
        <v>152</v>
      </c>
      <c r="C8" s="5" t="s">
        <v>71</v>
      </c>
      <c r="D8" s="5">
        <f>27+27+27.5</f>
        <v>81.5</v>
      </c>
    </row>
    <row r="9" spans="1:4" ht="17.25">
      <c r="B9" s="5">
        <v>36</v>
      </c>
      <c r="C9" s="5" t="s">
        <v>79</v>
      </c>
      <c r="D9" s="5">
        <f>22+24</f>
        <v>46</v>
      </c>
    </row>
    <row r="10" spans="1:4" ht="17.25">
      <c r="B10" s="3">
        <v>901</v>
      </c>
      <c r="C10" s="122" t="s">
        <v>65</v>
      </c>
      <c r="D10" s="5">
        <f>2+10+14.5+5</f>
        <v>31.5</v>
      </c>
    </row>
    <row r="11" spans="1:4" ht="17.25">
      <c r="B11" s="5">
        <v>339</v>
      </c>
      <c r="C11" s="4" t="s">
        <v>83</v>
      </c>
      <c r="D11" s="5">
        <f>18.5+0.5</f>
        <v>19</v>
      </c>
    </row>
    <row r="12" spans="1:4" ht="17.25">
      <c r="B12" s="5">
        <v>965</v>
      </c>
      <c r="C12" s="5" t="s">
        <v>82</v>
      </c>
      <c r="D12" s="5">
        <f>13+1+4.5</f>
        <v>18.5</v>
      </c>
    </row>
    <row r="13" spans="1:4" ht="17.25">
      <c r="B13" s="3">
        <v>914</v>
      </c>
      <c r="C13" s="122" t="s">
        <v>78</v>
      </c>
      <c r="D13" s="5">
        <f>3+5.5</f>
        <v>8.5</v>
      </c>
    </row>
    <row r="14" spans="1:4" ht="17.25">
      <c r="B14" s="5">
        <v>27</v>
      </c>
      <c r="C14" s="122" t="s">
        <v>117</v>
      </c>
      <c r="D14" s="5">
        <f>5</f>
        <v>5</v>
      </c>
    </row>
    <row r="15" spans="1:4" ht="17.25">
      <c r="B15" s="5">
        <v>676</v>
      </c>
      <c r="C15" s="3" t="s">
        <v>60</v>
      </c>
      <c r="D15" s="5">
        <f>4</f>
        <v>4</v>
      </c>
    </row>
    <row r="16" spans="1:4" ht="17.25"/>
    <row r="17" ht="17.25"/>
  </sheetData>
  <sortState xmlns:xlrd2="http://schemas.microsoft.com/office/spreadsheetml/2017/richdata2" ref="B4:D15">
    <sortCondition descending="1" ref="D4:D1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690E4-D857-4FCC-85C6-1908D663BE51}">
  <dimension ref="A1:D18"/>
  <sheetViews>
    <sheetView topLeftCell="A3" workbookViewId="0">
      <selection activeCell="K12" sqref="K12"/>
    </sheetView>
  </sheetViews>
  <sheetFormatPr defaultRowHeight="15.75"/>
  <cols>
    <col min="1" max="1" width="14.7109375" style="58" customWidth="1"/>
    <col min="2" max="2" width="9.140625" style="58"/>
    <col min="3" max="3" width="22.7109375" style="58" bestFit="1" customWidth="1"/>
    <col min="4" max="16384" width="9.140625" style="58"/>
  </cols>
  <sheetData>
    <row r="1" spans="1:4" ht="17.25">
      <c r="A1" s="55" t="s">
        <v>139</v>
      </c>
      <c r="C1" s="63"/>
    </row>
    <row r="2" spans="1:4" ht="17.25">
      <c r="C2" s="63">
        <v>44432</v>
      </c>
    </row>
    <row r="3" spans="1:4" ht="34.5">
      <c r="A3" s="59" t="s">
        <v>0</v>
      </c>
      <c r="B3" s="125" t="s">
        <v>1</v>
      </c>
      <c r="C3" s="152" t="s">
        <v>2</v>
      </c>
      <c r="D3" s="89" t="s">
        <v>127</v>
      </c>
    </row>
    <row r="4" spans="1:4" ht="17.25">
      <c r="B4" s="3" t="s">
        <v>27</v>
      </c>
      <c r="C4" s="5" t="s">
        <v>28</v>
      </c>
      <c r="D4" s="121">
        <f>1+30+38+26+47+44</f>
        <v>186</v>
      </c>
    </row>
    <row r="5" spans="1:4" ht="17.25">
      <c r="B5" s="3">
        <v>5</v>
      </c>
      <c r="C5" s="5" t="s">
        <v>38</v>
      </c>
      <c r="D5" s="126">
        <f>35+7+39+29+38</f>
        <v>148</v>
      </c>
    </row>
    <row r="6" spans="1:4" ht="17.25">
      <c r="B6" s="3">
        <v>88</v>
      </c>
      <c r="C6" s="122" t="s">
        <v>57</v>
      </c>
      <c r="D6" s="126">
        <f>40+32+24+3</f>
        <v>99</v>
      </c>
    </row>
    <row r="7" spans="1:4" ht="17.25">
      <c r="B7" s="3">
        <v>77</v>
      </c>
      <c r="C7" s="5" t="s">
        <v>70</v>
      </c>
      <c r="D7" s="121">
        <f>53</f>
        <v>53</v>
      </c>
    </row>
    <row r="8" spans="1:4" ht="17.25">
      <c r="B8" s="5">
        <v>234</v>
      </c>
      <c r="C8" s="5" t="s">
        <v>74</v>
      </c>
      <c r="D8" s="5">
        <f>17+21</f>
        <v>38</v>
      </c>
    </row>
    <row r="9" spans="1:4" ht="17.25">
      <c r="B9" s="5">
        <v>902</v>
      </c>
      <c r="C9" s="5" t="s">
        <v>55</v>
      </c>
      <c r="D9" s="5">
        <f>27</f>
        <v>27</v>
      </c>
    </row>
    <row r="10" spans="1:4" ht="17.25">
      <c r="B10" s="3">
        <v>61</v>
      </c>
      <c r="C10" s="5" t="s">
        <v>94</v>
      </c>
      <c r="D10" s="121">
        <f>8+16</f>
        <v>24</v>
      </c>
    </row>
    <row r="11" spans="1:4" ht="17.25">
      <c r="B11" s="5">
        <v>207</v>
      </c>
      <c r="C11" s="4" t="s">
        <v>97</v>
      </c>
      <c r="D11" s="5">
        <f>19</f>
        <v>19</v>
      </c>
    </row>
    <row r="12" spans="1:4" ht="17.25">
      <c r="B12" s="5">
        <v>819</v>
      </c>
      <c r="C12" s="5" t="s">
        <v>92</v>
      </c>
      <c r="D12" s="5">
        <f>10+8</f>
        <v>18</v>
      </c>
    </row>
    <row r="13" spans="1:4" ht="17.25">
      <c r="B13" s="3">
        <v>104</v>
      </c>
      <c r="C13" s="5" t="s">
        <v>102</v>
      </c>
      <c r="D13" s="126">
        <f>7+4+4</f>
        <v>15</v>
      </c>
    </row>
    <row r="14" spans="1:4" ht="17.25">
      <c r="B14" s="5" t="s">
        <v>30</v>
      </c>
      <c r="C14" s="5" t="s">
        <v>31</v>
      </c>
      <c r="D14" s="5">
        <f>13</f>
        <v>13</v>
      </c>
    </row>
    <row r="15" spans="1:4" ht="17.25">
      <c r="B15" s="5">
        <v>32</v>
      </c>
      <c r="C15" s="4" t="s">
        <v>63</v>
      </c>
      <c r="D15" s="5">
        <f>10</f>
        <v>10</v>
      </c>
    </row>
    <row r="16" spans="1:4" ht="17.25">
      <c r="B16" s="3">
        <v>777</v>
      </c>
      <c r="C16" s="5" t="s">
        <v>118</v>
      </c>
      <c r="D16" s="121">
        <f>6</f>
        <v>6</v>
      </c>
    </row>
    <row r="17" spans="2:4" ht="17.25">
      <c r="B17" s="5">
        <v>25</v>
      </c>
      <c r="C17" s="4" t="s">
        <v>124</v>
      </c>
      <c r="D17" s="5">
        <f>2</f>
        <v>2</v>
      </c>
    </row>
    <row r="18" spans="2:4" ht="17.25"/>
  </sheetData>
  <sortState xmlns:xlrd2="http://schemas.microsoft.com/office/spreadsheetml/2017/richdata2" ref="B4:D17">
    <sortCondition descending="1" ref="D4:D17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D56C7-EC01-40CD-9AE2-B9F8F444794D}">
  <dimension ref="A1:D16"/>
  <sheetViews>
    <sheetView workbookViewId="0">
      <selection activeCell="K11" sqref="K11"/>
    </sheetView>
  </sheetViews>
  <sheetFormatPr defaultRowHeight="15.75"/>
  <cols>
    <col min="1" max="1" width="14.7109375" style="58" customWidth="1"/>
    <col min="2" max="2" width="9.140625" style="56"/>
    <col min="3" max="3" width="22.28515625" style="56" bestFit="1" customWidth="1"/>
    <col min="4" max="4" width="9.140625" style="56"/>
    <col min="5" max="16384" width="9.140625" style="58"/>
  </cols>
  <sheetData>
    <row r="1" spans="1:4" ht="17.25">
      <c r="A1" s="55" t="s">
        <v>140</v>
      </c>
      <c r="C1" s="57"/>
    </row>
    <row r="2" spans="1:4" ht="17.25">
      <c r="C2" s="57">
        <v>44430</v>
      </c>
    </row>
    <row r="3" spans="1:4" ht="34.5">
      <c r="A3" s="90" t="s">
        <v>0</v>
      </c>
      <c r="B3" s="91" t="s">
        <v>1</v>
      </c>
      <c r="C3" s="92" t="s">
        <v>2</v>
      </c>
      <c r="D3" s="61" t="s">
        <v>127</v>
      </c>
    </row>
    <row r="4" spans="1:4" ht="17.25">
      <c r="B4" s="49">
        <v>343</v>
      </c>
      <c r="C4" s="51" t="s">
        <v>34</v>
      </c>
      <c r="D4" s="24">
        <f>40+29+42+36+47</f>
        <v>194</v>
      </c>
    </row>
    <row r="5" spans="1:4" ht="17.25">
      <c r="B5" s="5">
        <v>181</v>
      </c>
      <c r="C5" s="5" t="s">
        <v>64</v>
      </c>
      <c r="D5" s="5">
        <f>19+35+34</f>
        <v>88</v>
      </c>
    </row>
    <row r="6" spans="1:4" ht="17.25">
      <c r="B6" s="5">
        <v>52</v>
      </c>
      <c r="C6" s="5" t="s">
        <v>90</v>
      </c>
      <c r="D6" s="5">
        <f>14+24+12</f>
        <v>50</v>
      </c>
    </row>
    <row r="7" spans="1:4" ht="17.25">
      <c r="B7" s="5">
        <v>58</v>
      </c>
      <c r="C7" s="128" t="s">
        <v>73</v>
      </c>
      <c r="D7" s="5">
        <f>29+15</f>
        <v>44</v>
      </c>
    </row>
    <row r="8" spans="1:4" ht="17.25">
      <c r="B8" s="5">
        <v>34</v>
      </c>
      <c r="C8" s="122" t="s">
        <v>85</v>
      </c>
      <c r="D8" s="5">
        <f>40</f>
        <v>40</v>
      </c>
    </row>
    <row r="9" spans="1:4" ht="17.25">
      <c r="B9" s="3">
        <v>49</v>
      </c>
      <c r="C9" s="5" t="s">
        <v>87</v>
      </c>
      <c r="D9" s="126">
        <f>22+10+4</f>
        <v>36</v>
      </c>
    </row>
    <row r="10" spans="1:4" ht="17.25">
      <c r="B10" s="5">
        <v>45</v>
      </c>
      <c r="C10" s="5" t="s">
        <v>105</v>
      </c>
      <c r="D10" s="5">
        <f>19+9</f>
        <v>28</v>
      </c>
    </row>
    <row r="11" spans="1:4" ht="17.25">
      <c r="B11" s="5">
        <v>53</v>
      </c>
      <c r="C11" s="5" t="s">
        <v>91</v>
      </c>
      <c r="D11" s="5">
        <f>24</f>
        <v>24</v>
      </c>
    </row>
    <row r="12" spans="1:4" ht="17.25">
      <c r="B12" s="5">
        <v>43</v>
      </c>
      <c r="C12" s="122" t="s">
        <v>93</v>
      </c>
      <c r="D12" s="5">
        <f>24</f>
        <v>24</v>
      </c>
    </row>
    <row r="13" spans="1:4" ht="17.25">
      <c r="B13" s="5">
        <v>32</v>
      </c>
      <c r="C13" s="122" t="s">
        <v>63</v>
      </c>
      <c r="D13" s="5">
        <f>19</f>
        <v>19</v>
      </c>
    </row>
    <row r="14" spans="1:4" ht="17.25">
      <c r="B14" s="5">
        <v>87</v>
      </c>
      <c r="C14" s="122" t="s">
        <v>113</v>
      </c>
      <c r="D14" s="5">
        <f>6</f>
        <v>6</v>
      </c>
    </row>
    <row r="15" spans="1:4" ht="17.25">
      <c r="B15" s="5">
        <v>61</v>
      </c>
      <c r="C15" s="122" t="s">
        <v>94</v>
      </c>
      <c r="D15" s="5">
        <f>2</f>
        <v>2</v>
      </c>
    </row>
    <row r="16" spans="1:4" ht="17.25"/>
  </sheetData>
  <sortState xmlns:xlrd2="http://schemas.microsoft.com/office/spreadsheetml/2017/richdata2" ref="B4:D15">
    <sortCondition descending="1" ref="D4:D15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3A3EE-C3B1-4017-B6BE-D42457443356}">
  <dimension ref="A1:D18"/>
  <sheetViews>
    <sheetView workbookViewId="0">
      <selection activeCell="C2" sqref="C2"/>
    </sheetView>
  </sheetViews>
  <sheetFormatPr defaultRowHeight="15.75"/>
  <cols>
    <col min="1" max="1" width="14.7109375" style="58" customWidth="1"/>
    <col min="2" max="2" width="9.140625" style="58"/>
    <col min="3" max="3" width="25" style="58" customWidth="1"/>
    <col min="4" max="16384" width="9.140625" style="58"/>
  </cols>
  <sheetData>
    <row r="1" spans="1:4" ht="17.25">
      <c r="A1" s="55" t="s">
        <v>141</v>
      </c>
    </row>
    <row r="2" spans="1:4" ht="17.25">
      <c r="C2" s="63">
        <v>44430</v>
      </c>
    </row>
    <row r="3" spans="1:4" ht="34.5">
      <c r="A3" s="59" t="s">
        <v>0</v>
      </c>
      <c r="B3" s="124" t="s">
        <v>1</v>
      </c>
      <c r="C3" s="125" t="s">
        <v>2</v>
      </c>
      <c r="D3" s="89" t="s">
        <v>127</v>
      </c>
    </row>
    <row r="4" spans="1:4" ht="17.25">
      <c r="B4" s="3">
        <v>23</v>
      </c>
      <c r="C4" s="5" t="s">
        <v>35</v>
      </c>
      <c r="D4" s="121">
        <f>25+42.5+45.5+44.5+46+45.5</f>
        <v>249</v>
      </c>
    </row>
    <row r="5" spans="1:4" ht="17.25">
      <c r="B5" s="3">
        <v>272</v>
      </c>
      <c r="C5" s="5" t="s">
        <v>46</v>
      </c>
      <c r="D5" s="121">
        <f>44.5+38.5+37.5+45.5</f>
        <v>166</v>
      </c>
    </row>
    <row r="6" spans="1:4" ht="17.25">
      <c r="B6" s="4">
        <v>46</v>
      </c>
      <c r="C6" s="5" t="s">
        <v>43</v>
      </c>
      <c r="D6" s="121">
        <f>38+10.5+27.5+24+28+26</f>
        <v>154</v>
      </c>
    </row>
    <row r="7" spans="1:4" ht="17.25">
      <c r="B7" s="3">
        <v>48</v>
      </c>
      <c r="C7" s="5" t="s">
        <v>62</v>
      </c>
      <c r="D7" s="121">
        <f>32.5+32.5+24+11+28.5</f>
        <v>128.5</v>
      </c>
    </row>
    <row r="8" spans="1:4" ht="17.25">
      <c r="B8" s="3">
        <v>901</v>
      </c>
      <c r="C8" s="122" t="s">
        <v>65</v>
      </c>
      <c r="D8" s="123">
        <f>13+19.5+20+14.5+8+12.5</f>
        <v>87.5</v>
      </c>
    </row>
    <row r="9" spans="1:4" ht="17.25">
      <c r="B9" s="3">
        <v>914</v>
      </c>
      <c r="C9" s="122" t="s">
        <v>78</v>
      </c>
      <c r="D9" s="123">
        <f>22.5+27+9</f>
        <v>58.5</v>
      </c>
    </row>
    <row r="10" spans="1:4" ht="17.25">
      <c r="B10" s="5">
        <v>339</v>
      </c>
      <c r="C10" s="4" t="s">
        <v>83</v>
      </c>
      <c r="D10" s="121">
        <f>8+6+14.5+4+8</f>
        <v>40.5</v>
      </c>
    </row>
    <row r="11" spans="1:4" ht="17.25">
      <c r="B11" s="3">
        <v>213</v>
      </c>
      <c r="C11" s="4" t="s">
        <v>61</v>
      </c>
      <c r="D11" s="123">
        <f>8.5+5.5+8+4.5</f>
        <v>26.5</v>
      </c>
    </row>
    <row r="12" spans="1:4" ht="17.25">
      <c r="B12" s="5">
        <v>810</v>
      </c>
      <c r="C12" s="5" t="s">
        <v>108</v>
      </c>
      <c r="D12" s="5">
        <f>13.5+5</f>
        <v>18.5</v>
      </c>
    </row>
    <row r="13" spans="1:4" ht="17.25">
      <c r="B13" s="5">
        <v>24</v>
      </c>
      <c r="C13" s="5" t="s">
        <v>31</v>
      </c>
      <c r="D13" s="5">
        <f>16</f>
        <v>16</v>
      </c>
    </row>
    <row r="14" spans="1:4" ht="17.25">
      <c r="B14" s="3">
        <v>806</v>
      </c>
      <c r="C14" s="122" t="s">
        <v>109</v>
      </c>
      <c r="D14" s="123">
        <f>8.5+5+2</f>
        <v>15.5</v>
      </c>
    </row>
    <row r="15" spans="1:4" ht="17.25">
      <c r="B15" s="5">
        <v>868</v>
      </c>
      <c r="C15" s="5" t="s">
        <v>120</v>
      </c>
      <c r="D15" s="5">
        <f>2.5+1</f>
        <v>3.5</v>
      </c>
    </row>
    <row r="16" spans="1:4" ht="17.25">
      <c r="B16" s="3">
        <v>412</v>
      </c>
      <c r="C16" s="5" t="s">
        <v>121</v>
      </c>
      <c r="D16" s="121">
        <f>1.5+2</f>
        <v>3.5</v>
      </c>
    </row>
    <row r="17" spans="2:4" ht="17.25">
      <c r="B17" s="3">
        <v>479</v>
      </c>
      <c r="C17" s="5" t="s">
        <v>122</v>
      </c>
      <c r="D17" s="121">
        <f>3</f>
        <v>3</v>
      </c>
    </row>
    <row r="18" spans="2:4" ht="17.25"/>
  </sheetData>
  <sortState xmlns:xlrd2="http://schemas.microsoft.com/office/spreadsheetml/2017/richdata2" ref="B4:D17">
    <sortCondition descending="1" ref="D4:D17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BA381-0EA1-420C-A93B-81DCE1E49442}">
  <dimension ref="A1:D10"/>
  <sheetViews>
    <sheetView workbookViewId="0">
      <selection activeCell="E14" sqref="E14"/>
    </sheetView>
  </sheetViews>
  <sheetFormatPr defaultRowHeight="15.75"/>
  <cols>
    <col min="1" max="1" width="14.7109375" style="58" customWidth="1"/>
    <col min="2" max="2" width="9.140625" style="56"/>
    <col min="3" max="3" width="27.5703125" style="56" bestFit="1" customWidth="1"/>
    <col min="4" max="4" width="9.140625" style="56"/>
    <col min="5" max="16384" width="9.140625" style="58"/>
  </cols>
  <sheetData>
    <row r="1" spans="1:4" ht="17.25">
      <c r="A1" s="55" t="s">
        <v>142</v>
      </c>
      <c r="C1" s="57"/>
    </row>
    <row r="2" spans="1:4" ht="17.25">
      <c r="C2" s="57">
        <v>44432</v>
      </c>
    </row>
    <row r="3" spans="1:4" ht="34.5">
      <c r="A3" s="59" t="s">
        <v>0</v>
      </c>
      <c r="B3" s="64" t="s">
        <v>1</v>
      </c>
      <c r="C3" s="64" t="s">
        <v>2</v>
      </c>
      <c r="D3" s="87" t="s">
        <v>127</v>
      </c>
    </row>
    <row r="4" spans="1:4" ht="17.25">
      <c r="B4" s="12">
        <v>676</v>
      </c>
      <c r="C4" s="13" t="s">
        <v>60</v>
      </c>
      <c r="D4" s="15">
        <f>0.5+38+39+41</f>
        <v>118.5</v>
      </c>
    </row>
    <row r="5" spans="1:4" ht="17.25">
      <c r="B5" s="49">
        <v>213</v>
      </c>
      <c r="C5" s="80" t="s">
        <v>61</v>
      </c>
      <c r="D5" s="88">
        <f>16+25+29+34</f>
        <v>104</v>
      </c>
    </row>
    <row r="6" spans="1:4" ht="17.25">
      <c r="B6" s="5">
        <v>393</v>
      </c>
      <c r="C6" s="6" t="s">
        <v>143</v>
      </c>
      <c r="D6" s="11">
        <f>31.5+29</f>
        <v>60.5</v>
      </c>
    </row>
    <row r="7" spans="1:4" ht="17.25">
      <c r="B7" s="5">
        <v>219</v>
      </c>
      <c r="C7" s="53" t="s">
        <v>99</v>
      </c>
      <c r="D7" s="11">
        <f>11+28</f>
        <v>39</v>
      </c>
    </row>
    <row r="8" spans="1:4" ht="17.25">
      <c r="B8" s="5">
        <v>149</v>
      </c>
      <c r="C8" s="9" t="s">
        <v>101</v>
      </c>
      <c r="D8" s="20">
        <f>37.5</f>
        <v>37.5</v>
      </c>
    </row>
    <row r="9" spans="1:4" ht="17.25">
      <c r="B9" s="5">
        <v>202</v>
      </c>
      <c r="C9" s="53" t="s">
        <v>116</v>
      </c>
      <c r="D9" s="14">
        <f>8.5</f>
        <v>8.5</v>
      </c>
    </row>
    <row r="10" spans="1:4" ht="17.25"/>
  </sheetData>
  <sortState xmlns:xlrd2="http://schemas.microsoft.com/office/spreadsheetml/2017/richdata2" ref="B5:D9">
    <sortCondition descending="1" ref="D5:D9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ADC83-D020-4A62-9F58-D9D10A74BE88}">
  <dimension ref="A1:D9"/>
  <sheetViews>
    <sheetView workbookViewId="0">
      <selection activeCell="G6" sqref="G6"/>
    </sheetView>
  </sheetViews>
  <sheetFormatPr defaultRowHeight="15.75"/>
  <cols>
    <col min="1" max="1" width="14.7109375" style="58" customWidth="1"/>
    <col min="2" max="2" width="9.140625" style="58"/>
    <col min="3" max="3" width="22" style="58" bestFit="1" customWidth="1"/>
    <col min="4" max="16384" width="9.140625" style="58"/>
  </cols>
  <sheetData>
    <row r="1" spans="1:4" ht="17.25">
      <c r="A1" s="55" t="s">
        <v>144</v>
      </c>
      <c r="C1" s="63"/>
    </row>
    <row r="2" spans="1:4" ht="17.25">
      <c r="C2" s="63">
        <v>44432</v>
      </c>
    </row>
    <row r="3" spans="1:4" ht="34.5">
      <c r="A3" s="59" t="s">
        <v>0</v>
      </c>
      <c r="B3" s="64" t="s">
        <v>1</v>
      </c>
      <c r="C3" s="64" t="s">
        <v>2</v>
      </c>
      <c r="D3" s="86" t="s">
        <v>127</v>
      </c>
    </row>
    <row r="4" spans="1:4" ht="17.25">
      <c r="B4" s="154">
        <v>230</v>
      </c>
      <c r="C4" s="83" t="s">
        <v>58</v>
      </c>
      <c r="D4" s="24">
        <f>19+38.5+31+27.5</f>
        <v>116</v>
      </c>
    </row>
    <row r="5" spans="1:4" ht="17.25">
      <c r="B5" s="4">
        <v>81</v>
      </c>
      <c r="C5" s="5" t="s">
        <v>67</v>
      </c>
      <c r="D5" s="127">
        <f>0.5+31.5+38+34</f>
        <v>104</v>
      </c>
    </row>
    <row r="6" spans="1:4" ht="17.25">
      <c r="B6" s="3">
        <v>826</v>
      </c>
      <c r="C6" s="5" t="s">
        <v>89</v>
      </c>
      <c r="D6" s="121">
        <f>25.5+25</f>
        <v>50.5</v>
      </c>
    </row>
    <row r="7" spans="1:4" ht="17.25">
      <c r="B7" s="5">
        <v>43</v>
      </c>
      <c r="C7" s="122" t="s">
        <v>93</v>
      </c>
      <c r="D7" s="5">
        <f>19</f>
        <v>19</v>
      </c>
    </row>
    <row r="8" spans="1:4" ht="17.25">
      <c r="B8" s="5">
        <v>71</v>
      </c>
      <c r="C8" s="5" t="s">
        <v>125</v>
      </c>
      <c r="D8" s="5">
        <v>0.5</v>
      </c>
    </row>
    <row r="9" spans="1:4" ht="17.25"/>
  </sheetData>
  <sortState xmlns:xlrd2="http://schemas.microsoft.com/office/spreadsheetml/2017/richdata2" ref="B5:D8">
    <sortCondition descending="1" ref="D5:D8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16250-C349-49BD-A162-568A5D9F47F0}">
  <sheetPr>
    <tabColor rgb="FF00B0F0"/>
  </sheetPr>
  <dimension ref="A1:D12"/>
  <sheetViews>
    <sheetView workbookViewId="0">
      <selection activeCell="F9" sqref="F9"/>
    </sheetView>
  </sheetViews>
  <sheetFormatPr defaultRowHeight="15.75"/>
  <cols>
    <col min="1" max="1" width="14.7109375" style="73" customWidth="1"/>
    <col min="2" max="2" width="9.140625" style="70"/>
    <col min="3" max="3" width="23.140625" style="70" bestFit="1" customWidth="1"/>
    <col min="4" max="4" width="9.140625" style="70"/>
    <col min="5" max="16384" width="9.140625" style="73"/>
  </cols>
  <sheetData>
    <row r="1" spans="1:4" ht="17.25">
      <c r="A1" s="72" t="s">
        <v>145</v>
      </c>
      <c r="C1" s="57"/>
    </row>
    <row r="2" spans="1:4" ht="17.25">
      <c r="C2" s="84">
        <v>44432</v>
      </c>
    </row>
    <row r="3" spans="1:4" ht="34.5">
      <c r="A3" s="75" t="s">
        <v>0</v>
      </c>
      <c r="B3" s="120" t="s">
        <v>1</v>
      </c>
      <c r="C3" s="120" t="s">
        <v>2</v>
      </c>
      <c r="D3" s="85" t="s">
        <v>127</v>
      </c>
    </row>
    <row r="4" spans="1:4" ht="17.25">
      <c r="B4" s="147">
        <v>829</v>
      </c>
      <c r="C4" s="147" t="s">
        <v>146</v>
      </c>
      <c r="D4" s="147">
        <f>14+25+17+25+30+37+37+22+22+8+1</f>
        <v>238</v>
      </c>
    </row>
    <row r="5" spans="1:4" ht="17.25">
      <c r="B5" s="41">
        <v>800</v>
      </c>
      <c r="C5" s="41" t="s">
        <v>147</v>
      </c>
      <c r="D5" s="41">
        <f>19+38+37+20+29</f>
        <v>143</v>
      </c>
    </row>
    <row r="6" spans="1:4" ht="17.25">
      <c r="B6" s="22">
        <v>907</v>
      </c>
      <c r="C6" s="5" t="s">
        <v>148</v>
      </c>
      <c r="D6" s="22">
        <f>40+17+43+42</f>
        <v>142</v>
      </c>
    </row>
    <row r="7" spans="1:4" ht="17.25">
      <c r="B7" s="41">
        <v>864</v>
      </c>
      <c r="C7" s="41" t="s">
        <v>112</v>
      </c>
      <c r="D7" s="41">
        <f>29+31+33+31</f>
        <v>124</v>
      </c>
    </row>
    <row r="8" spans="1:4" ht="17.25">
      <c r="B8" s="22">
        <v>999</v>
      </c>
      <c r="C8" s="5" t="s">
        <v>149</v>
      </c>
      <c r="D8" s="22">
        <f>27+33+30</f>
        <v>90</v>
      </c>
    </row>
    <row r="9" spans="1:4" ht="17.25">
      <c r="B9" s="22">
        <v>918</v>
      </c>
      <c r="C9" s="122" t="s">
        <v>150</v>
      </c>
      <c r="D9" s="22">
        <f>25+24</f>
        <v>49</v>
      </c>
    </row>
    <row r="10" spans="1:4" ht="17.25">
      <c r="B10" s="41">
        <v>869</v>
      </c>
      <c r="C10" s="41" t="s">
        <v>151</v>
      </c>
      <c r="D10" s="41">
        <f>35</f>
        <v>35</v>
      </c>
    </row>
    <row r="11" spans="1:4" ht="17.25">
      <c r="B11" s="144">
        <v>942</v>
      </c>
      <c r="C11" s="122" t="s">
        <v>152</v>
      </c>
      <c r="D11" s="22">
        <f>11+19</f>
        <v>30</v>
      </c>
    </row>
    <row r="12" spans="1:4" ht="17.25">
      <c r="B12" s="144">
        <v>823</v>
      </c>
      <c r="C12" s="122" t="s">
        <v>153</v>
      </c>
      <c r="D12" s="22">
        <f>15</f>
        <v>15</v>
      </c>
    </row>
  </sheetData>
  <sortState xmlns:xlrd2="http://schemas.microsoft.com/office/spreadsheetml/2017/richdata2" ref="B4:D12">
    <sortCondition descending="1" ref="D4:D12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E228F-9794-4FEA-868E-3B5531E34ABC}">
  <sheetPr>
    <tabColor rgb="FF00B0F0"/>
  </sheetPr>
  <dimension ref="A1:D28"/>
  <sheetViews>
    <sheetView workbookViewId="0">
      <selection activeCell="A11" sqref="A11"/>
    </sheetView>
  </sheetViews>
  <sheetFormatPr defaultRowHeight="15.75"/>
  <cols>
    <col min="1" max="1" width="14.7109375" style="73" customWidth="1"/>
    <col min="2" max="2" width="9.140625" style="73"/>
    <col min="3" max="3" width="25.42578125" style="73" customWidth="1"/>
    <col min="4" max="16384" width="9.140625" style="73"/>
  </cols>
  <sheetData>
    <row r="1" spans="1:4" ht="17.25">
      <c r="A1" s="72" t="s">
        <v>154</v>
      </c>
      <c r="C1" s="63"/>
    </row>
    <row r="2" spans="1:4" ht="17.25">
      <c r="C2" s="74">
        <v>44432</v>
      </c>
    </row>
    <row r="3" spans="1:4" ht="34.5">
      <c r="A3" s="75" t="s">
        <v>0</v>
      </c>
      <c r="B3" s="76" t="s">
        <v>1</v>
      </c>
      <c r="C3" s="76" t="s">
        <v>2</v>
      </c>
      <c r="D3" s="77" t="s">
        <v>127</v>
      </c>
    </row>
    <row r="4" spans="1:4" ht="17.25">
      <c r="B4" s="78">
        <v>900</v>
      </c>
      <c r="C4" s="25" t="s">
        <v>155</v>
      </c>
      <c r="D4" s="79">
        <f>22+25+39+37+33+32+42+41+41+35+47</f>
        <v>394</v>
      </c>
    </row>
    <row r="5" spans="1:4" ht="17.25">
      <c r="B5" s="41">
        <v>913</v>
      </c>
      <c r="C5" s="44" t="s">
        <v>156</v>
      </c>
      <c r="D5" s="42">
        <f>43+30+1+1+23+10+19+30+30+48+40</f>
        <v>275</v>
      </c>
    </row>
    <row r="6" spans="1:4" ht="17.25">
      <c r="B6" s="41">
        <v>905</v>
      </c>
      <c r="C6" s="44" t="s">
        <v>157</v>
      </c>
      <c r="D6" s="42">
        <f>27+13+27+44+17+35+25+25+25+34</f>
        <v>272</v>
      </c>
    </row>
    <row r="7" spans="1:4" ht="17.25">
      <c r="B7" s="40">
        <v>916</v>
      </c>
      <c r="C7" s="44" t="s">
        <v>158</v>
      </c>
      <c r="D7" s="43">
        <f>12+28+10+8+12+13+13+29+20+16+30</f>
        <v>191</v>
      </c>
    </row>
    <row r="8" spans="1:4" ht="17.25">
      <c r="B8" s="40">
        <v>827</v>
      </c>
      <c r="C8" s="44" t="s">
        <v>159</v>
      </c>
      <c r="D8" s="43">
        <f>23+3+23+14+10+27+24+16+1+20+29</f>
        <v>190</v>
      </c>
    </row>
    <row r="9" spans="1:4" ht="17.25">
      <c r="B9" s="22">
        <v>807</v>
      </c>
      <c r="C9" s="6" t="s">
        <v>85</v>
      </c>
      <c r="D9" s="23">
        <f>41+48+51+38</f>
        <v>178</v>
      </c>
    </row>
    <row r="10" spans="1:4" ht="17.25">
      <c r="B10" s="40">
        <v>969</v>
      </c>
      <c r="C10" s="44" t="s">
        <v>160</v>
      </c>
      <c r="D10" s="43">
        <f>18+41+35+1+42+38</f>
        <v>175</v>
      </c>
    </row>
    <row r="11" spans="1:4" ht="17.25">
      <c r="B11" s="41">
        <v>824</v>
      </c>
      <c r="C11" s="44" t="s">
        <v>113</v>
      </c>
      <c r="D11" s="42">
        <f>37+55+19+45</f>
        <v>156</v>
      </c>
    </row>
    <row r="12" spans="1:4" ht="17.25">
      <c r="B12" s="41">
        <v>802</v>
      </c>
      <c r="C12" s="44" t="s">
        <v>104</v>
      </c>
      <c r="D12" s="42">
        <f>32+34+32</f>
        <v>98</v>
      </c>
    </row>
    <row r="13" spans="1:4" ht="17.25">
      <c r="B13" s="40">
        <v>907</v>
      </c>
      <c r="C13" s="45" t="s">
        <v>148</v>
      </c>
      <c r="D13" s="43">
        <f>5+28+17+1+22+14</f>
        <v>87</v>
      </c>
    </row>
    <row r="14" spans="1:4" ht="17.25">
      <c r="B14" s="41">
        <v>816</v>
      </c>
      <c r="C14" s="45" t="s">
        <v>161</v>
      </c>
      <c r="D14" s="42">
        <f>20+14+10+8+4+15</f>
        <v>71</v>
      </c>
    </row>
    <row r="15" spans="1:4" ht="17.25">
      <c r="B15" s="41">
        <v>821</v>
      </c>
      <c r="C15" s="44" t="s">
        <v>106</v>
      </c>
      <c r="D15" s="42">
        <f>50</f>
        <v>50</v>
      </c>
    </row>
    <row r="16" spans="1:4" ht="17.25">
      <c r="B16" s="149">
        <v>810</v>
      </c>
      <c r="C16" s="51" t="s">
        <v>108</v>
      </c>
      <c r="D16" s="150">
        <f>20+28</f>
        <v>48</v>
      </c>
    </row>
    <row r="17" spans="2:4" ht="17.25">
      <c r="B17" s="41">
        <v>903</v>
      </c>
      <c r="C17" s="41" t="s">
        <v>162</v>
      </c>
      <c r="D17" s="41">
        <f>1+1+7+10+10+19</f>
        <v>48</v>
      </c>
    </row>
    <row r="18" spans="2:4" ht="17.25">
      <c r="B18" s="22">
        <v>815</v>
      </c>
      <c r="C18" s="5" t="s">
        <v>163</v>
      </c>
      <c r="D18" s="22">
        <f>8+5+7+10</f>
        <v>30</v>
      </c>
    </row>
    <row r="19" spans="2:4" ht="17.25">
      <c r="B19" s="40">
        <v>808</v>
      </c>
      <c r="C19" s="41" t="s">
        <v>164</v>
      </c>
      <c r="D19" s="40">
        <f>9+18</f>
        <v>27</v>
      </c>
    </row>
    <row r="20" spans="2:4" ht="17.25">
      <c r="B20" s="41">
        <v>911</v>
      </c>
      <c r="C20" s="41" t="s">
        <v>165</v>
      </c>
      <c r="D20" s="40">
        <f>5+6+13</f>
        <v>24</v>
      </c>
    </row>
    <row r="21" spans="2:4" ht="17.25">
      <c r="B21" s="22">
        <v>954</v>
      </c>
      <c r="C21" s="122" t="s">
        <v>166</v>
      </c>
      <c r="D21" s="22">
        <f>7+9</f>
        <v>16</v>
      </c>
    </row>
    <row r="22" spans="2:4" ht="17.25">
      <c r="B22" s="22">
        <v>982</v>
      </c>
      <c r="C22" s="122" t="s">
        <v>167</v>
      </c>
      <c r="D22" s="22">
        <f>3+6</f>
        <v>9</v>
      </c>
    </row>
    <row r="23" spans="2:4" ht="17.25">
      <c r="B23" s="22">
        <v>870</v>
      </c>
      <c r="C23" s="5" t="s">
        <v>168</v>
      </c>
      <c r="D23" s="22">
        <f>7</f>
        <v>7</v>
      </c>
    </row>
    <row r="24" spans="2:4" ht="17.25">
      <c r="B24" s="22">
        <v>977</v>
      </c>
      <c r="C24" s="5" t="s">
        <v>169</v>
      </c>
      <c r="D24" s="22">
        <f>4+3</f>
        <v>7</v>
      </c>
    </row>
    <row r="25" spans="2:4" ht="17.25">
      <c r="B25" s="22">
        <v>999</v>
      </c>
      <c r="C25" s="5" t="s">
        <v>149</v>
      </c>
      <c r="D25" s="22">
        <f>5</f>
        <v>5</v>
      </c>
    </row>
    <row r="26" spans="2:4" ht="17.25">
      <c r="B26" s="40">
        <v>812</v>
      </c>
      <c r="C26" s="148" t="s">
        <v>170</v>
      </c>
      <c r="D26" s="40">
        <f>2</f>
        <v>2</v>
      </c>
    </row>
    <row r="27" spans="2:4" ht="17.25">
      <c r="B27" s="41">
        <v>818</v>
      </c>
      <c r="C27" s="41" t="s">
        <v>105</v>
      </c>
      <c r="D27" s="41">
        <f>1</f>
        <v>1</v>
      </c>
    </row>
    <row r="28" spans="2:4" ht="17.25"/>
  </sheetData>
  <sortState xmlns:xlrd2="http://schemas.microsoft.com/office/spreadsheetml/2017/richdata2" ref="B4:D27">
    <sortCondition descending="1" ref="D4:D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973F0-A220-4A7F-B33C-4128E64EDBDD}">
  <dimension ref="A1:D23"/>
  <sheetViews>
    <sheetView workbookViewId="0">
      <selection activeCell="F12" sqref="F12"/>
    </sheetView>
  </sheetViews>
  <sheetFormatPr defaultRowHeight="15.75"/>
  <cols>
    <col min="1" max="1" width="12" style="58" customWidth="1"/>
    <col min="2" max="2" width="9.140625" style="56"/>
    <col min="3" max="3" width="21.85546875" style="58" customWidth="1"/>
    <col min="4" max="4" width="9.140625" style="62"/>
    <col min="5" max="16384" width="9.140625" style="58"/>
  </cols>
  <sheetData>
    <row r="1" spans="1:4" ht="17.25">
      <c r="A1" s="55" t="s">
        <v>126</v>
      </c>
    </row>
    <row r="2" spans="1:4" ht="17.25">
      <c r="A2" s="55"/>
      <c r="C2" s="63">
        <v>44432</v>
      </c>
    </row>
    <row r="3" spans="1:4" ht="34.5">
      <c r="A3" s="59" t="s">
        <v>0</v>
      </c>
      <c r="B3" s="64" t="s">
        <v>1</v>
      </c>
      <c r="C3" s="60" t="s">
        <v>2</v>
      </c>
      <c r="D3" s="65" t="s">
        <v>127</v>
      </c>
    </row>
    <row r="4" spans="1:4" ht="17.25">
      <c r="B4" s="154" t="s">
        <v>22</v>
      </c>
      <c r="C4" s="83" t="s">
        <v>23</v>
      </c>
      <c r="D4" s="155">
        <f>94+78+100+91+93</f>
        <v>456</v>
      </c>
    </row>
    <row r="5" spans="1:4" ht="17.25">
      <c r="B5" s="3">
        <v>2</v>
      </c>
      <c r="C5" s="5" t="s">
        <v>21</v>
      </c>
      <c r="D5" s="127">
        <f>63+50+65+76+65+52</f>
        <v>371</v>
      </c>
    </row>
    <row r="6" spans="1:4" ht="17.25">
      <c r="B6" s="3">
        <v>1</v>
      </c>
      <c r="C6" s="5" t="s">
        <v>20</v>
      </c>
      <c r="D6" s="127">
        <f>41+78+42+90+77+39</f>
        <v>367</v>
      </c>
    </row>
    <row r="7" spans="1:4" ht="17.25">
      <c r="B7" s="5" t="s">
        <v>24</v>
      </c>
      <c r="C7" s="5" t="s">
        <v>25</v>
      </c>
      <c r="D7" s="121">
        <f>63+77+64+55+73</f>
        <v>332</v>
      </c>
    </row>
    <row r="8" spans="1:4" ht="17.25">
      <c r="B8" s="3">
        <v>38</v>
      </c>
      <c r="C8" s="5" t="s">
        <v>29</v>
      </c>
      <c r="D8" s="127">
        <f>45+49+54+31+62</f>
        <v>241</v>
      </c>
    </row>
    <row r="9" spans="1:4" ht="17.25">
      <c r="B9" s="3">
        <v>4</v>
      </c>
      <c r="C9" s="5" t="s">
        <v>26</v>
      </c>
      <c r="D9" s="127">
        <f>41+31+45+64+24+25</f>
        <v>230</v>
      </c>
    </row>
    <row r="10" spans="1:4" ht="17.25">
      <c r="B10" s="4">
        <v>284</v>
      </c>
      <c r="C10" s="4" t="s">
        <v>32</v>
      </c>
      <c r="D10" s="127">
        <f>30+13+12+44+12+33</f>
        <v>144</v>
      </c>
    </row>
    <row r="11" spans="1:4" ht="17.25">
      <c r="B11" s="3">
        <v>82</v>
      </c>
      <c r="C11" s="5" t="s">
        <v>39</v>
      </c>
      <c r="D11" s="127">
        <f>18+15+21+34+18+20</f>
        <v>126</v>
      </c>
    </row>
    <row r="12" spans="1:4" ht="17.25">
      <c r="B12" s="3">
        <v>29</v>
      </c>
      <c r="C12" s="5" t="s">
        <v>52</v>
      </c>
      <c r="D12" s="127">
        <f>38+74</f>
        <v>112</v>
      </c>
    </row>
    <row r="13" spans="1:4" ht="17.25">
      <c r="B13" s="3">
        <v>121</v>
      </c>
      <c r="C13" s="5" t="s">
        <v>56</v>
      </c>
      <c r="D13" s="127">
        <f>48+1+45</f>
        <v>94</v>
      </c>
    </row>
    <row r="14" spans="1:4" ht="17.25">
      <c r="B14" s="3">
        <v>73</v>
      </c>
      <c r="C14" s="5" t="s">
        <v>36</v>
      </c>
      <c r="D14" s="127">
        <f>18+24+19</f>
        <v>61</v>
      </c>
    </row>
    <row r="15" spans="1:4" ht="17.25">
      <c r="B15" s="3">
        <v>97</v>
      </c>
      <c r="C15" s="5" t="s">
        <v>45</v>
      </c>
      <c r="D15" s="127">
        <f>12+5+26+16</f>
        <v>59</v>
      </c>
    </row>
    <row r="16" spans="1:4" ht="17.25">
      <c r="B16" s="5">
        <v>340</v>
      </c>
      <c r="C16" s="5" t="s">
        <v>53</v>
      </c>
      <c r="D16" s="5">
        <f>6+20+4+17</f>
        <v>47</v>
      </c>
    </row>
    <row r="17" spans="2:4" ht="17.25">
      <c r="B17" s="3">
        <v>314</v>
      </c>
      <c r="C17" s="122" t="s">
        <v>86</v>
      </c>
      <c r="D17" s="126">
        <f>10+7+8+3</f>
        <v>28</v>
      </c>
    </row>
    <row r="18" spans="2:4" ht="17.25">
      <c r="B18" s="5">
        <v>78</v>
      </c>
      <c r="C18" s="5" t="s">
        <v>42</v>
      </c>
      <c r="D18" s="5">
        <f>9+7</f>
        <v>16</v>
      </c>
    </row>
    <row r="19" spans="2:4" ht="17.25">
      <c r="B19" s="5">
        <v>66</v>
      </c>
      <c r="C19" s="122" t="s">
        <v>47</v>
      </c>
      <c r="D19" s="5">
        <f>15</f>
        <v>15</v>
      </c>
    </row>
    <row r="20" spans="2:4" ht="17.25">
      <c r="B20" s="5">
        <v>343</v>
      </c>
      <c r="C20" s="153" t="s">
        <v>34</v>
      </c>
      <c r="D20" s="5">
        <v>14</v>
      </c>
    </row>
    <row r="21" spans="2:4" ht="17.25">
      <c r="B21" s="5">
        <v>41</v>
      </c>
      <c r="C21" s="122" t="s">
        <v>100</v>
      </c>
      <c r="D21" s="5">
        <f>14</f>
        <v>14</v>
      </c>
    </row>
    <row r="22" spans="2:4" ht="17.25">
      <c r="B22" s="3">
        <v>56</v>
      </c>
      <c r="C22" s="122" t="s">
        <v>123</v>
      </c>
      <c r="D22" s="126">
        <f>1</f>
        <v>1</v>
      </c>
    </row>
    <row r="23" spans="2:4" ht="17.25"/>
  </sheetData>
  <sortState xmlns:xlrd2="http://schemas.microsoft.com/office/spreadsheetml/2017/richdata2" ref="B4:D22">
    <sortCondition descending="1" ref="D4:D22"/>
  </sortState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58478-63B6-49E9-B67F-0EF69F9956AE}">
  <sheetPr>
    <tabColor rgb="FF00B0F0"/>
  </sheetPr>
  <dimension ref="A1:D14"/>
  <sheetViews>
    <sheetView workbookViewId="0">
      <selection activeCell="E10" sqref="E10"/>
    </sheetView>
  </sheetViews>
  <sheetFormatPr defaultRowHeight="15.75"/>
  <cols>
    <col min="1" max="1" width="14.7109375" style="73" customWidth="1"/>
    <col min="2" max="2" width="9.140625" style="70"/>
    <col min="3" max="3" width="22.5703125" style="70" bestFit="1" customWidth="1"/>
    <col min="4" max="4" width="9.140625" style="70"/>
    <col min="5" max="16384" width="9.140625" style="73"/>
  </cols>
  <sheetData>
    <row r="1" spans="1:4" ht="17.25">
      <c r="A1" s="72" t="s">
        <v>171</v>
      </c>
      <c r="C1" s="57"/>
    </row>
    <row r="2" spans="1:4" ht="17.25">
      <c r="C2" s="57">
        <v>44432</v>
      </c>
    </row>
    <row r="3" spans="1:4" ht="34.5">
      <c r="A3" s="75" t="s">
        <v>0</v>
      </c>
      <c r="B3" s="76" t="s">
        <v>1</v>
      </c>
      <c r="C3" s="69" t="s">
        <v>2</v>
      </c>
      <c r="D3" s="82" t="s">
        <v>127</v>
      </c>
    </row>
    <row r="4" spans="1:4" ht="17.25">
      <c r="B4" s="71">
        <v>24</v>
      </c>
      <c r="C4" s="83" t="s">
        <v>77</v>
      </c>
      <c r="D4" s="68">
        <f>33+41+31</f>
        <v>105</v>
      </c>
    </row>
    <row r="5" spans="1:4" ht="17.25">
      <c r="B5" s="5">
        <v>314</v>
      </c>
      <c r="C5" s="5" t="s">
        <v>86</v>
      </c>
      <c r="D5" s="22">
        <f>27+28+26</f>
        <v>81</v>
      </c>
    </row>
    <row r="6" spans="1:4" ht="17.25">
      <c r="B6" s="22">
        <v>97</v>
      </c>
      <c r="C6" s="3" t="s">
        <v>45</v>
      </c>
      <c r="D6" s="22">
        <f>34+44</f>
        <v>78</v>
      </c>
    </row>
    <row r="7" spans="1:4" ht="17.25">
      <c r="B7" s="22">
        <v>78</v>
      </c>
      <c r="C7" s="4" t="s">
        <v>42</v>
      </c>
      <c r="D7" s="22">
        <f>37</f>
        <v>37</v>
      </c>
    </row>
    <row r="8" spans="1:4" ht="17.25">
      <c r="B8" s="22">
        <v>61</v>
      </c>
      <c r="C8" s="3" t="s">
        <v>94</v>
      </c>
      <c r="D8" s="22">
        <f>23</f>
        <v>23</v>
      </c>
    </row>
    <row r="9" spans="1:4" ht="17.25">
      <c r="B9" s="5">
        <v>397</v>
      </c>
      <c r="C9" s="5" t="s">
        <v>95</v>
      </c>
      <c r="D9" s="22">
        <f>22</f>
        <v>22</v>
      </c>
    </row>
    <row r="10" spans="1:4" ht="17.25">
      <c r="B10" s="22">
        <v>52</v>
      </c>
      <c r="C10" s="4" t="s">
        <v>90</v>
      </c>
      <c r="D10" s="22">
        <f>21</f>
        <v>21</v>
      </c>
    </row>
    <row r="11" spans="1:4" ht="17.25">
      <c r="B11" s="5">
        <v>432</v>
      </c>
      <c r="C11" s="5" t="s">
        <v>112</v>
      </c>
      <c r="D11" s="22">
        <f>17+1</f>
        <v>18</v>
      </c>
    </row>
    <row r="12" spans="1:4" ht="17.25">
      <c r="B12" s="22">
        <v>800</v>
      </c>
      <c r="C12" s="4" t="s">
        <v>147</v>
      </c>
      <c r="D12" s="22">
        <f>12</f>
        <v>12</v>
      </c>
    </row>
    <row r="13" spans="1:4" ht="17.25">
      <c r="B13" s="22"/>
      <c r="C13" s="3" t="s">
        <v>119</v>
      </c>
      <c r="D13" s="22">
        <f>1</f>
        <v>1</v>
      </c>
    </row>
    <row r="14" spans="1:4" ht="17.25"/>
  </sheetData>
  <sortState xmlns:xlrd2="http://schemas.microsoft.com/office/spreadsheetml/2017/richdata2" ref="B5:D13">
    <sortCondition descending="1" ref="D5:D13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341FC-3E31-43C3-B8EC-F76F33EFE322}">
  <sheetPr>
    <tabColor rgb="FF00B0F0"/>
  </sheetPr>
  <dimension ref="A1:D9"/>
  <sheetViews>
    <sheetView workbookViewId="0">
      <selection activeCell="C5" sqref="C5"/>
    </sheetView>
  </sheetViews>
  <sheetFormatPr defaultRowHeight="15.75"/>
  <cols>
    <col min="1" max="1" width="14.7109375" style="73" customWidth="1"/>
    <col min="2" max="2" width="9.140625" style="70"/>
    <col min="3" max="3" width="19.28515625" style="70" bestFit="1" customWidth="1"/>
    <col min="4" max="4" width="9.140625" style="70"/>
    <col min="5" max="16384" width="9.140625" style="73"/>
  </cols>
  <sheetData>
    <row r="1" spans="1:4" ht="17.25">
      <c r="A1" s="72" t="s">
        <v>172</v>
      </c>
    </row>
    <row r="2" spans="1:4" ht="17.25">
      <c r="C2" s="81">
        <v>44432</v>
      </c>
      <c r="D2" s="73"/>
    </row>
    <row r="3" spans="1:4" ht="34.5">
      <c r="A3" s="75" t="s">
        <v>0</v>
      </c>
      <c r="B3" s="117" t="s">
        <v>1</v>
      </c>
      <c r="C3" s="118" t="s">
        <v>2</v>
      </c>
      <c r="D3" s="82" t="s">
        <v>127</v>
      </c>
    </row>
    <row r="4" spans="1:4" ht="17.25">
      <c r="B4" s="22">
        <v>339</v>
      </c>
      <c r="C4" s="41" t="s">
        <v>83</v>
      </c>
      <c r="D4" s="22">
        <f>36+31+26+30+30</f>
        <v>153</v>
      </c>
    </row>
    <row r="5" spans="1:4" ht="17.25">
      <c r="B5" s="22">
        <v>45</v>
      </c>
      <c r="C5" s="5" t="s">
        <v>105</v>
      </c>
      <c r="D5" s="22">
        <f>38+39+37</f>
        <v>114</v>
      </c>
    </row>
    <row r="6" spans="1:4" ht="17.25">
      <c r="B6" s="22">
        <v>126</v>
      </c>
      <c r="C6" s="119" t="s">
        <v>59</v>
      </c>
      <c r="D6" s="22">
        <f>37</f>
        <v>37</v>
      </c>
    </row>
    <row r="7" spans="1:4" ht="17.25">
      <c r="B7" s="22">
        <v>289</v>
      </c>
      <c r="C7" s="3" t="s">
        <v>173</v>
      </c>
      <c r="D7" s="22">
        <f>32</f>
        <v>32</v>
      </c>
    </row>
    <row r="8" spans="1:4" ht="17.25">
      <c r="B8" s="22">
        <v>131</v>
      </c>
      <c r="C8" s="5" t="s">
        <v>174</v>
      </c>
      <c r="D8" s="22">
        <f>25</f>
        <v>25</v>
      </c>
    </row>
    <row r="9" spans="1:4" ht="17.25"/>
  </sheetData>
  <sortState xmlns:xlrd2="http://schemas.microsoft.com/office/spreadsheetml/2017/richdata2" ref="B4:D8">
    <sortCondition descending="1" ref="D4:D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AF67F-9130-4F75-9F18-9A28E1648B8B}">
  <dimension ref="A1:D42"/>
  <sheetViews>
    <sheetView workbookViewId="0">
      <selection activeCell="E13" sqref="E13"/>
    </sheetView>
  </sheetViews>
  <sheetFormatPr defaultRowHeight="15.75"/>
  <cols>
    <col min="1" max="1" width="12.5703125" style="58" customWidth="1"/>
    <col min="2" max="2" width="9.140625" style="56"/>
    <col min="3" max="3" width="22.85546875" style="56" customWidth="1"/>
    <col min="4" max="4" width="9.140625" style="56"/>
    <col min="5" max="16384" width="9.140625" style="58"/>
  </cols>
  <sheetData>
    <row r="1" spans="1:4" ht="17.25">
      <c r="A1" s="55" t="s">
        <v>128</v>
      </c>
      <c r="C1" s="57"/>
    </row>
    <row r="2" spans="1:4" ht="17.25">
      <c r="A2" s="55"/>
      <c r="C2" s="57">
        <v>44432</v>
      </c>
    </row>
    <row r="3" spans="1:4" ht="34.5">
      <c r="A3" s="59" t="s">
        <v>0</v>
      </c>
      <c r="B3" s="124" t="s">
        <v>1</v>
      </c>
      <c r="C3" s="125" t="s">
        <v>2</v>
      </c>
      <c r="D3" s="66" t="s">
        <v>127</v>
      </c>
    </row>
    <row r="4" spans="1:4" ht="17.25">
      <c r="B4" s="49">
        <v>1</v>
      </c>
      <c r="C4" s="50" t="s">
        <v>20</v>
      </c>
      <c r="D4" s="156">
        <f>55+43+60+53+51+55</f>
        <v>317</v>
      </c>
    </row>
    <row r="5" spans="1:4" ht="17.25">
      <c r="B5" s="3">
        <v>4</v>
      </c>
      <c r="C5" s="5" t="s">
        <v>26</v>
      </c>
      <c r="D5" s="126">
        <f>37+47+35+44+42</f>
        <v>205</v>
      </c>
    </row>
    <row r="6" spans="1:4" ht="17.25">
      <c r="B6" s="4">
        <v>284</v>
      </c>
      <c r="C6" s="4" t="s">
        <v>32</v>
      </c>
      <c r="D6" s="126">
        <f>27+20+25+30+28+27</f>
        <v>157</v>
      </c>
    </row>
    <row r="7" spans="1:4" ht="17.25">
      <c r="B7" s="3">
        <v>2</v>
      </c>
      <c r="C7" s="5" t="s">
        <v>21</v>
      </c>
      <c r="D7" s="126">
        <f>1+1+53+40+38</f>
        <v>133</v>
      </c>
    </row>
    <row r="8" spans="1:4" ht="17.25">
      <c r="B8" s="5">
        <v>340</v>
      </c>
      <c r="C8" s="5" t="s">
        <v>53</v>
      </c>
      <c r="D8" s="5">
        <f>32+21+23+37</f>
        <v>113</v>
      </c>
    </row>
    <row r="9" spans="1:4" ht="17.25">
      <c r="B9" s="3">
        <v>73</v>
      </c>
      <c r="C9" s="5" t="s">
        <v>36</v>
      </c>
      <c r="D9" s="126">
        <f>32+36+42</f>
        <v>110</v>
      </c>
    </row>
    <row r="10" spans="1:4" ht="17.25">
      <c r="B10" s="3">
        <v>84</v>
      </c>
      <c r="C10" s="5" t="s">
        <v>37</v>
      </c>
      <c r="D10" s="126">
        <f>14+30+22+8+13+17</f>
        <v>104</v>
      </c>
    </row>
    <row r="11" spans="1:4" ht="17.25">
      <c r="B11" s="5">
        <v>66</v>
      </c>
      <c r="C11" s="5" t="s">
        <v>47</v>
      </c>
      <c r="D11" s="5">
        <f>28+25+32</f>
        <v>85</v>
      </c>
    </row>
    <row r="12" spans="1:4" ht="17.25">
      <c r="B12" s="5">
        <v>90</v>
      </c>
      <c r="C12" s="5" t="s">
        <v>54</v>
      </c>
      <c r="D12" s="5">
        <f>37+46+1</f>
        <v>84</v>
      </c>
    </row>
    <row r="13" spans="1:4" ht="17.25">
      <c r="B13" s="5">
        <v>62</v>
      </c>
      <c r="C13" s="5" t="s">
        <v>23</v>
      </c>
      <c r="D13" s="5">
        <f>33+48</f>
        <v>81</v>
      </c>
    </row>
    <row r="14" spans="1:4" ht="17.25">
      <c r="B14" s="3">
        <v>6</v>
      </c>
      <c r="C14" s="5" t="s">
        <v>41</v>
      </c>
      <c r="D14" s="126">
        <f>20+11+15+15+19</f>
        <v>80</v>
      </c>
    </row>
    <row r="15" spans="1:4" ht="17.25">
      <c r="B15" s="5">
        <v>126</v>
      </c>
      <c r="C15" s="5" t="s">
        <v>59</v>
      </c>
      <c r="D15" s="126">
        <f>12+25+12+10+16</f>
        <v>75</v>
      </c>
    </row>
    <row r="16" spans="1:4" ht="17.25">
      <c r="B16" s="3">
        <v>29</v>
      </c>
      <c r="C16" s="5" t="s">
        <v>52</v>
      </c>
      <c r="D16" s="126">
        <f>48</f>
        <v>48</v>
      </c>
    </row>
    <row r="17" spans="2:4" ht="17.25">
      <c r="B17" s="3">
        <v>78</v>
      </c>
      <c r="C17" s="5" t="s">
        <v>42</v>
      </c>
      <c r="D17" s="126">
        <f>23+23</f>
        <v>46</v>
      </c>
    </row>
    <row r="18" spans="2:4" ht="17.25">
      <c r="B18" s="3">
        <v>77</v>
      </c>
      <c r="C18" s="5" t="s">
        <v>70</v>
      </c>
      <c r="D18" s="126">
        <f>42</f>
        <v>42</v>
      </c>
    </row>
    <row r="19" spans="2:4" ht="17.25">
      <c r="B19" s="3">
        <v>343</v>
      </c>
      <c r="C19" s="5" t="s">
        <v>34</v>
      </c>
      <c r="D19" s="126">
        <f>10+19+12+1</f>
        <v>42</v>
      </c>
    </row>
    <row r="20" spans="2:4" ht="17.25">
      <c r="B20" s="3">
        <v>253</v>
      </c>
      <c r="C20" s="5" t="s">
        <v>76</v>
      </c>
      <c r="D20" s="126">
        <f>5+13+14</f>
        <v>32</v>
      </c>
    </row>
    <row r="21" spans="2:4" ht="17.25">
      <c r="B21" s="5">
        <v>181</v>
      </c>
      <c r="C21" s="5" t="s">
        <v>64</v>
      </c>
      <c r="D21" s="5">
        <f>10+7+1+10</f>
        <v>28</v>
      </c>
    </row>
    <row r="22" spans="2:4" ht="17.25">
      <c r="B22" s="5">
        <v>47</v>
      </c>
      <c r="C22" s="5" t="s">
        <v>66</v>
      </c>
      <c r="D22" s="5">
        <f>11+6+10</f>
        <v>27</v>
      </c>
    </row>
    <row r="23" spans="2:4" ht="17.25">
      <c r="B23" s="5">
        <v>31</v>
      </c>
      <c r="C23" s="5" t="s">
        <v>51</v>
      </c>
      <c r="D23" s="126">
        <f>17+8</f>
        <v>25</v>
      </c>
    </row>
    <row r="24" spans="2:4" ht="17.25">
      <c r="B24" s="5">
        <v>92</v>
      </c>
      <c r="C24" s="4" t="s">
        <v>75</v>
      </c>
      <c r="D24" s="127">
        <f>8+15+1</f>
        <v>24</v>
      </c>
    </row>
    <row r="25" spans="2:4" ht="17.25">
      <c r="B25" s="3">
        <v>351</v>
      </c>
      <c r="C25" s="122" t="s">
        <v>69</v>
      </c>
      <c r="D25" s="126">
        <f>6+7+7</f>
        <v>20</v>
      </c>
    </row>
    <row r="26" spans="2:4" ht="17.25">
      <c r="B26" s="5">
        <v>43</v>
      </c>
      <c r="C26" s="4" t="s">
        <v>93</v>
      </c>
      <c r="D26" s="5">
        <f>20</f>
        <v>20</v>
      </c>
    </row>
    <row r="27" spans="2:4" ht="17.25">
      <c r="B27" s="5">
        <v>97</v>
      </c>
      <c r="C27" s="5" t="s">
        <v>45</v>
      </c>
      <c r="D27" s="5">
        <f>18+1</f>
        <v>19</v>
      </c>
    </row>
    <row r="28" spans="2:4" ht="17.25">
      <c r="B28" s="5">
        <v>32</v>
      </c>
      <c r="C28" s="5" t="s">
        <v>63</v>
      </c>
      <c r="D28" s="5">
        <f>17</f>
        <v>17</v>
      </c>
    </row>
    <row r="29" spans="2:4" ht="17.25">
      <c r="B29" s="3">
        <v>397</v>
      </c>
      <c r="C29" s="122" t="s">
        <v>95</v>
      </c>
      <c r="D29" s="126">
        <f>7+9+1</f>
        <v>17</v>
      </c>
    </row>
    <row r="30" spans="2:4" ht="17.25">
      <c r="B30" s="5">
        <v>58</v>
      </c>
      <c r="C30" s="3" t="s">
        <v>73</v>
      </c>
      <c r="D30" s="5">
        <f>3+1+12</f>
        <v>16</v>
      </c>
    </row>
    <row r="31" spans="2:4" ht="17.25">
      <c r="B31" s="3">
        <v>247</v>
      </c>
      <c r="C31" s="122" t="s">
        <v>80</v>
      </c>
      <c r="D31" s="126">
        <f>9+1+5</f>
        <v>15</v>
      </c>
    </row>
    <row r="32" spans="2:4" ht="17.25">
      <c r="B32" s="5">
        <v>53</v>
      </c>
      <c r="C32" s="5" t="s">
        <v>91</v>
      </c>
      <c r="D32" s="5">
        <f>14</f>
        <v>14</v>
      </c>
    </row>
    <row r="33" spans="2:4" ht="17.25">
      <c r="B33" s="5">
        <v>33</v>
      </c>
      <c r="C33" s="5" t="s">
        <v>104</v>
      </c>
      <c r="D33" s="5">
        <f>8+4</f>
        <v>12</v>
      </c>
    </row>
    <row r="34" spans="2:4" ht="17.25">
      <c r="B34" s="5">
        <v>124</v>
      </c>
      <c r="C34" s="4" t="s">
        <v>107</v>
      </c>
      <c r="D34" s="5">
        <f>9</f>
        <v>9</v>
      </c>
    </row>
    <row r="35" spans="2:4" ht="17.25">
      <c r="B35" s="5">
        <v>85</v>
      </c>
      <c r="C35" s="5" t="s">
        <v>110</v>
      </c>
      <c r="D35" s="5">
        <f>6</f>
        <v>6</v>
      </c>
    </row>
    <row r="36" spans="2:4" ht="17.25">
      <c r="B36" s="5">
        <v>87</v>
      </c>
      <c r="C36" s="4" t="s">
        <v>113</v>
      </c>
      <c r="D36" s="5">
        <f>6</f>
        <v>6</v>
      </c>
    </row>
    <row r="37" spans="2:4" ht="17.25">
      <c r="B37" s="5">
        <v>339</v>
      </c>
      <c r="C37" s="5" t="s">
        <v>83</v>
      </c>
      <c r="D37" s="5">
        <f>5</f>
        <v>5</v>
      </c>
    </row>
    <row r="38" spans="2:4" ht="17.25">
      <c r="B38" s="5">
        <v>49</v>
      </c>
      <c r="C38" s="4" t="s">
        <v>87</v>
      </c>
      <c r="D38" s="5">
        <f>5</f>
        <v>5</v>
      </c>
    </row>
    <row r="39" spans="2:4" ht="17.25">
      <c r="B39" s="3">
        <v>313</v>
      </c>
      <c r="C39" s="5" t="s">
        <v>111</v>
      </c>
      <c r="D39" s="126">
        <f>4</f>
        <v>4</v>
      </c>
    </row>
    <row r="40" spans="2:4" ht="17.25">
      <c r="B40" s="3">
        <v>61</v>
      </c>
      <c r="C40" s="5" t="s">
        <v>94</v>
      </c>
      <c r="D40" s="126">
        <f>3</f>
        <v>3</v>
      </c>
    </row>
    <row r="41" spans="2:4" ht="17.25">
      <c r="B41" s="5">
        <v>182</v>
      </c>
      <c r="C41" s="3" t="s">
        <v>106</v>
      </c>
      <c r="D41" s="5">
        <f>2</f>
        <v>2</v>
      </c>
    </row>
    <row r="42" spans="2:4" ht="17.25">
      <c r="B42" s="5">
        <v>104</v>
      </c>
      <c r="C42" s="122" t="s">
        <v>102</v>
      </c>
      <c r="D42" s="5">
        <f>1+1</f>
        <v>2</v>
      </c>
    </row>
  </sheetData>
  <sortState xmlns:xlrd2="http://schemas.microsoft.com/office/spreadsheetml/2017/richdata2" ref="B4:D43">
    <sortCondition descending="1" ref="D4:D4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1BB7C-E575-4B1B-B00C-7B5AD612FF2A}">
  <dimension ref="A1:D19"/>
  <sheetViews>
    <sheetView workbookViewId="0">
      <selection activeCell="A10" sqref="A10"/>
    </sheetView>
  </sheetViews>
  <sheetFormatPr defaultRowHeight="15.75"/>
  <cols>
    <col min="1" max="1" width="14.7109375" style="58" customWidth="1"/>
    <col min="2" max="2" width="9.140625" style="56"/>
    <col min="3" max="3" width="22" style="56" customWidth="1"/>
    <col min="4" max="4" width="9.140625" style="56"/>
    <col min="5" max="16384" width="9.140625" style="58"/>
  </cols>
  <sheetData>
    <row r="1" spans="1:4" ht="17.25">
      <c r="A1" s="55" t="s">
        <v>129</v>
      </c>
      <c r="C1" s="57"/>
    </row>
    <row r="2" spans="1:4" ht="17.25">
      <c r="C2" s="57">
        <v>44431</v>
      </c>
    </row>
    <row r="3" spans="1:4" ht="34.5">
      <c r="A3" s="59" t="s">
        <v>0</v>
      </c>
      <c r="B3" s="125" t="s">
        <v>1</v>
      </c>
      <c r="C3" s="129" t="s">
        <v>2</v>
      </c>
      <c r="D3" s="61" t="s">
        <v>127</v>
      </c>
    </row>
    <row r="4" spans="1:4" ht="17.25">
      <c r="B4" s="50" t="s">
        <v>24</v>
      </c>
      <c r="C4" s="50" t="s">
        <v>25</v>
      </c>
      <c r="D4" s="151">
        <f>27+37+38+41+42</f>
        <v>185</v>
      </c>
    </row>
    <row r="5" spans="1:4" ht="17.25">
      <c r="B5" s="3" t="s">
        <v>22</v>
      </c>
      <c r="C5" s="5" t="s">
        <v>23</v>
      </c>
      <c r="D5" s="127">
        <f>45+44+45+48</f>
        <v>182</v>
      </c>
    </row>
    <row r="6" spans="1:4" ht="17.25">
      <c r="B6" s="3">
        <v>4</v>
      </c>
      <c r="C6" s="5" t="s">
        <v>26</v>
      </c>
      <c r="D6" s="127">
        <f>38+31+22+42+25</f>
        <v>158</v>
      </c>
    </row>
    <row r="7" spans="1:4" ht="17.25">
      <c r="B7" s="3">
        <v>38</v>
      </c>
      <c r="C7" s="5" t="s">
        <v>29</v>
      </c>
      <c r="D7" s="127">
        <f>21+27+35+20+35</f>
        <v>138</v>
      </c>
    </row>
    <row r="8" spans="1:4" ht="17.25">
      <c r="B8" s="4">
        <v>284</v>
      </c>
      <c r="C8" s="4" t="s">
        <v>32</v>
      </c>
      <c r="D8" s="127">
        <f>22+6+13+24+13+29</f>
        <v>107</v>
      </c>
    </row>
    <row r="9" spans="1:4" ht="17.25">
      <c r="B9" s="3">
        <v>82</v>
      </c>
      <c r="C9" s="5" t="s">
        <v>39</v>
      </c>
      <c r="D9" s="127">
        <f>13+16+10+29+16+19</f>
        <v>103</v>
      </c>
    </row>
    <row r="10" spans="1:4" ht="17.25">
      <c r="B10" s="3">
        <v>121</v>
      </c>
      <c r="C10" s="5" t="s">
        <v>56</v>
      </c>
      <c r="D10" s="127">
        <f>17+35</f>
        <v>52</v>
      </c>
    </row>
    <row r="11" spans="1:4" ht="17.25">
      <c r="B11" s="3">
        <v>24</v>
      </c>
      <c r="C11" s="4" t="s">
        <v>77</v>
      </c>
      <c r="D11" s="127">
        <f>7+7+19+14</f>
        <v>47</v>
      </c>
    </row>
    <row r="12" spans="1:4" ht="17.25">
      <c r="B12" s="3">
        <v>2</v>
      </c>
      <c r="C12" s="5" t="s">
        <v>21</v>
      </c>
      <c r="D12" s="127">
        <f>32+9</f>
        <v>41</v>
      </c>
    </row>
    <row r="13" spans="1:4" ht="17.25">
      <c r="B13" s="3">
        <v>314</v>
      </c>
      <c r="C13" s="122" t="s">
        <v>86</v>
      </c>
      <c r="D13" s="126">
        <f>10+4+14</f>
        <v>28</v>
      </c>
    </row>
    <row r="14" spans="1:4" ht="17.25">
      <c r="B14" s="5">
        <v>41</v>
      </c>
      <c r="C14" s="122" t="s">
        <v>100</v>
      </c>
      <c r="D14" s="5">
        <f>24</f>
        <v>24</v>
      </c>
    </row>
    <row r="15" spans="1:4" ht="17.25">
      <c r="B15" s="5">
        <v>432</v>
      </c>
      <c r="C15" s="128" t="s">
        <v>112</v>
      </c>
      <c r="D15" s="5">
        <f>10</f>
        <v>10</v>
      </c>
    </row>
    <row r="16" spans="1:4" ht="17.25">
      <c r="B16" s="5">
        <v>343</v>
      </c>
      <c r="C16" s="122" t="s">
        <v>34</v>
      </c>
      <c r="D16" s="5">
        <f>10</f>
        <v>10</v>
      </c>
    </row>
    <row r="17" spans="2:4" ht="17.25">
      <c r="B17" s="5">
        <v>397</v>
      </c>
      <c r="C17" s="5" t="s">
        <v>95</v>
      </c>
      <c r="D17" s="5">
        <v>3</v>
      </c>
    </row>
    <row r="18" spans="2:4" ht="17.25">
      <c r="B18" s="3">
        <v>56</v>
      </c>
      <c r="C18" s="122" t="s">
        <v>123</v>
      </c>
      <c r="D18" s="126">
        <f>1</f>
        <v>1</v>
      </c>
    </row>
    <row r="19" spans="2:4" ht="17.25"/>
  </sheetData>
  <sortState xmlns:xlrd2="http://schemas.microsoft.com/office/spreadsheetml/2017/richdata2" ref="B4:D18">
    <sortCondition descending="1" ref="D4:D1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76E4C-F5FC-4036-BF8B-5178FF715E09}">
  <dimension ref="A1:D19"/>
  <sheetViews>
    <sheetView topLeftCell="A3" workbookViewId="0">
      <selection activeCell="F14" sqref="F14"/>
    </sheetView>
  </sheetViews>
  <sheetFormatPr defaultRowHeight="15.75"/>
  <cols>
    <col min="1" max="1" width="14.7109375" style="58" customWidth="1"/>
    <col min="2" max="2" width="9.140625" style="56"/>
    <col min="3" max="3" width="21.140625" style="56" bestFit="1" customWidth="1"/>
    <col min="4" max="4" width="9.140625" style="56" bestFit="1" customWidth="1"/>
    <col min="5" max="16384" width="9.140625" style="58"/>
  </cols>
  <sheetData>
    <row r="1" spans="1:4" ht="17.25">
      <c r="A1" s="55" t="s">
        <v>130</v>
      </c>
      <c r="C1" s="57"/>
    </row>
    <row r="2" spans="1:4" ht="17.25">
      <c r="C2" s="57">
        <v>44432</v>
      </c>
    </row>
    <row r="3" spans="1:4" ht="34.5">
      <c r="A3" s="59" t="s">
        <v>0</v>
      </c>
      <c r="B3" s="64" t="s">
        <v>1</v>
      </c>
      <c r="C3" s="60" t="s">
        <v>2</v>
      </c>
      <c r="D3" s="66" t="s">
        <v>127</v>
      </c>
    </row>
    <row r="4" spans="1:4" ht="17.25">
      <c r="B4" s="12">
        <v>2</v>
      </c>
      <c r="C4" s="13" t="s">
        <v>21</v>
      </c>
      <c r="D4" s="15">
        <f>22+18+41+44+25+36</f>
        <v>186</v>
      </c>
    </row>
    <row r="5" spans="1:4" ht="17.25">
      <c r="B5" s="5" t="s">
        <v>24</v>
      </c>
      <c r="C5" s="6" t="s">
        <v>25</v>
      </c>
      <c r="D5" s="7">
        <f>33+41+30+36+30</f>
        <v>170</v>
      </c>
    </row>
    <row r="6" spans="1:4" ht="17.25">
      <c r="B6" s="3" t="s">
        <v>22</v>
      </c>
      <c r="C6" s="6" t="s">
        <v>23</v>
      </c>
      <c r="D6" s="10">
        <f>1+34+48+43+43</f>
        <v>169</v>
      </c>
    </row>
    <row r="7" spans="1:4" ht="17.25">
      <c r="B7" s="3">
        <v>4</v>
      </c>
      <c r="C7" s="6" t="s">
        <v>26</v>
      </c>
      <c r="D7" s="10">
        <f>40+28+16+31+15</f>
        <v>130</v>
      </c>
    </row>
    <row r="8" spans="1:4" ht="17.25">
      <c r="B8" s="3">
        <v>38</v>
      </c>
      <c r="C8" s="6" t="s">
        <v>29</v>
      </c>
      <c r="D8" s="7">
        <f>23+20+37+20+25</f>
        <v>125</v>
      </c>
    </row>
    <row r="9" spans="1:4" ht="17.25">
      <c r="B9" s="3">
        <v>82</v>
      </c>
      <c r="C9" s="6" t="s">
        <v>39</v>
      </c>
      <c r="D9" s="7">
        <f>13+10+21+11+15</f>
        <v>70</v>
      </c>
    </row>
    <row r="10" spans="1:4" ht="17.25">
      <c r="B10" s="5">
        <v>284</v>
      </c>
      <c r="C10" s="6" t="s">
        <v>32</v>
      </c>
      <c r="D10" s="11">
        <f>13+26+8+20</f>
        <v>67</v>
      </c>
    </row>
    <row r="11" spans="1:4" ht="17.25">
      <c r="B11" s="3">
        <v>121</v>
      </c>
      <c r="C11" s="6" t="s">
        <v>56</v>
      </c>
      <c r="D11" s="7">
        <f>27+30</f>
        <v>57</v>
      </c>
    </row>
    <row r="12" spans="1:4" ht="17.25">
      <c r="B12" s="5">
        <v>29</v>
      </c>
      <c r="C12" s="6" t="s">
        <v>52</v>
      </c>
      <c r="D12" s="11">
        <f>35</f>
        <v>35</v>
      </c>
    </row>
    <row r="13" spans="1:4" ht="17.25">
      <c r="B13" s="5">
        <v>24</v>
      </c>
      <c r="C13" s="53" t="s">
        <v>77</v>
      </c>
      <c r="D13" s="11">
        <f>16+11</f>
        <v>27</v>
      </c>
    </row>
    <row r="14" spans="1:4" ht="17.25">
      <c r="B14" s="5">
        <v>343</v>
      </c>
      <c r="C14" s="6" t="s">
        <v>34</v>
      </c>
      <c r="D14" s="11">
        <f>5+12</f>
        <v>17</v>
      </c>
    </row>
    <row r="15" spans="1:4" ht="17.25">
      <c r="B15" s="50">
        <v>314</v>
      </c>
      <c r="C15" s="54" t="s">
        <v>86</v>
      </c>
      <c r="D15" s="52">
        <f>6+8</f>
        <v>14</v>
      </c>
    </row>
    <row r="16" spans="1:4" ht="17.25">
      <c r="B16" s="5">
        <v>126</v>
      </c>
      <c r="C16" s="53" t="s">
        <v>59</v>
      </c>
      <c r="D16" s="11">
        <f>9</f>
        <v>9</v>
      </c>
    </row>
    <row r="17" spans="2:4" ht="17.25">
      <c r="B17" s="5">
        <v>66</v>
      </c>
      <c r="C17" s="6" t="s">
        <v>47</v>
      </c>
      <c r="D17" s="11">
        <f>7</f>
        <v>7</v>
      </c>
    </row>
    <row r="18" spans="2:4" ht="17.25">
      <c r="B18" s="5">
        <v>432</v>
      </c>
      <c r="C18" s="6" t="s">
        <v>112</v>
      </c>
      <c r="D18" s="14">
        <f>3</f>
        <v>3</v>
      </c>
    </row>
    <row r="19" spans="2:4" ht="17.25"/>
  </sheetData>
  <sortState xmlns:xlrd2="http://schemas.microsoft.com/office/spreadsheetml/2017/richdata2" ref="B5:D18">
    <sortCondition descending="1" ref="D5:D1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4DBD9-A570-44A7-B9ED-3EF90CCF9D57}">
  <dimension ref="A1:D40"/>
  <sheetViews>
    <sheetView workbookViewId="0">
      <selection activeCell="E6" sqref="E6"/>
    </sheetView>
  </sheetViews>
  <sheetFormatPr defaultRowHeight="15.75"/>
  <cols>
    <col min="1" max="1" width="14.7109375" style="58" customWidth="1"/>
    <col min="2" max="2" width="9.140625" style="56"/>
    <col min="3" max="3" width="22.28515625" style="56" bestFit="1" customWidth="1"/>
    <col min="4" max="4" width="9.140625" style="56" bestFit="1" customWidth="1"/>
    <col min="5" max="16384" width="9.140625" style="58"/>
  </cols>
  <sheetData>
    <row r="1" spans="1:4" ht="17.25">
      <c r="A1" s="55" t="s">
        <v>131</v>
      </c>
      <c r="C1" s="57"/>
    </row>
    <row r="2" spans="1:4" ht="17.25">
      <c r="C2" s="57">
        <v>44428</v>
      </c>
    </row>
    <row r="3" spans="1:4" ht="34.5">
      <c r="A3" s="59" t="s">
        <v>0</v>
      </c>
      <c r="B3" s="124" t="s">
        <v>1</v>
      </c>
      <c r="C3" s="125" t="s">
        <v>2</v>
      </c>
      <c r="D3" s="66" t="s">
        <v>127</v>
      </c>
    </row>
    <row r="4" spans="1:4" ht="17.25">
      <c r="B4" s="130">
        <v>2</v>
      </c>
      <c r="C4" s="131" t="s">
        <v>21</v>
      </c>
      <c r="D4" s="143">
        <f>48+40+42+47+54+65</f>
        <v>296</v>
      </c>
    </row>
    <row r="5" spans="1:4" ht="17.25">
      <c r="B5" s="132">
        <v>1</v>
      </c>
      <c r="C5" s="5" t="s">
        <v>20</v>
      </c>
      <c r="D5" s="136">
        <f>61+47+60+54+47+1</f>
        <v>270</v>
      </c>
    </row>
    <row r="6" spans="1:4" ht="17.25">
      <c r="B6" s="132">
        <v>4</v>
      </c>
      <c r="C6" s="5" t="s">
        <v>26</v>
      </c>
      <c r="D6" s="134">
        <f>54+1+53+36+41+58</f>
        <v>243</v>
      </c>
    </row>
    <row r="7" spans="1:4" ht="17.25">
      <c r="B7" s="135">
        <v>284</v>
      </c>
      <c r="C7" s="4" t="s">
        <v>32</v>
      </c>
      <c r="D7" s="136">
        <f>33+17+31+31+52</f>
        <v>164</v>
      </c>
    </row>
    <row r="8" spans="1:4" ht="17.25">
      <c r="B8" s="132">
        <v>6</v>
      </c>
      <c r="C8" s="5" t="s">
        <v>41</v>
      </c>
      <c r="D8" s="133">
        <f>23+9+22+19+22+47</f>
        <v>142</v>
      </c>
    </row>
    <row r="9" spans="1:4" ht="17.25">
      <c r="B9" s="132">
        <v>78</v>
      </c>
      <c r="C9" s="5" t="s">
        <v>42</v>
      </c>
      <c r="D9" s="134">
        <f>43+47+37</f>
        <v>127</v>
      </c>
    </row>
    <row r="10" spans="1:4" ht="17.25">
      <c r="B10" s="132">
        <v>84</v>
      </c>
      <c r="C10" s="5" t="s">
        <v>37</v>
      </c>
      <c r="D10" s="134">
        <f>16+29+32+2+16+27</f>
        <v>122</v>
      </c>
    </row>
    <row r="11" spans="1:4" ht="17.25">
      <c r="B11" s="135">
        <v>32</v>
      </c>
      <c r="C11" s="4" t="s">
        <v>63</v>
      </c>
      <c r="D11" s="136">
        <f>38+37+33</f>
        <v>108</v>
      </c>
    </row>
    <row r="12" spans="1:4" ht="17.25">
      <c r="B12" s="132">
        <v>343</v>
      </c>
      <c r="C12" s="5" t="s">
        <v>34</v>
      </c>
      <c r="D12" s="134">
        <f>26+15+26+4+30</f>
        <v>101</v>
      </c>
    </row>
    <row r="13" spans="1:4" ht="17.25">
      <c r="B13" s="132">
        <v>97</v>
      </c>
      <c r="C13" s="5" t="s">
        <v>45</v>
      </c>
      <c r="D13" s="134">
        <f>29+25+22+24</f>
        <v>100</v>
      </c>
    </row>
    <row r="14" spans="1:4" ht="17.25">
      <c r="B14" s="137">
        <v>90</v>
      </c>
      <c r="C14" s="5" t="s">
        <v>54</v>
      </c>
      <c r="D14" s="138">
        <f>28+41</f>
        <v>69</v>
      </c>
    </row>
    <row r="15" spans="1:4" ht="17.25">
      <c r="B15" s="132">
        <v>47</v>
      </c>
      <c r="C15" s="5" t="s">
        <v>66</v>
      </c>
      <c r="D15" s="134">
        <f>11+12+7+19+20</f>
        <v>69</v>
      </c>
    </row>
    <row r="16" spans="1:4" ht="17.25">
      <c r="B16" s="137">
        <v>126</v>
      </c>
      <c r="C16" s="5" t="s">
        <v>59</v>
      </c>
      <c r="D16" s="134">
        <f>1+19+16+3+22</f>
        <v>61</v>
      </c>
    </row>
    <row r="17" spans="2:4" ht="17.25">
      <c r="B17" s="132">
        <v>351</v>
      </c>
      <c r="C17" s="122" t="s">
        <v>69</v>
      </c>
      <c r="D17" s="133">
        <f>12+15+8+13</f>
        <v>48</v>
      </c>
    </row>
    <row r="18" spans="2:4" ht="17.25">
      <c r="B18" s="132">
        <v>247</v>
      </c>
      <c r="C18" s="122" t="s">
        <v>80</v>
      </c>
      <c r="D18" s="133">
        <f>15+19+11</f>
        <v>45</v>
      </c>
    </row>
    <row r="19" spans="2:4" ht="17.25">
      <c r="B19" s="132">
        <v>253</v>
      </c>
      <c r="C19" s="5" t="s">
        <v>76</v>
      </c>
      <c r="D19" s="133">
        <f>13+11+18</f>
        <v>42</v>
      </c>
    </row>
    <row r="20" spans="2:4" ht="17.25">
      <c r="B20" s="137">
        <v>73</v>
      </c>
      <c r="C20" s="122" t="s">
        <v>36</v>
      </c>
      <c r="D20" s="138">
        <f>42</f>
        <v>42</v>
      </c>
    </row>
    <row r="21" spans="2:4" ht="17.25">
      <c r="B21" s="137">
        <v>92</v>
      </c>
      <c r="C21" s="4" t="s">
        <v>75</v>
      </c>
      <c r="D21" s="134">
        <f>14+12+14</f>
        <v>40</v>
      </c>
    </row>
    <row r="22" spans="2:4" ht="17.25">
      <c r="B22" s="137">
        <v>31</v>
      </c>
      <c r="C22" s="5" t="s">
        <v>51</v>
      </c>
      <c r="D22" s="136">
        <f>20+19</f>
        <v>39</v>
      </c>
    </row>
    <row r="23" spans="2:4" ht="17.25">
      <c r="B23" s="137">
        <v>181</v>
      </c>
      <c r="C23" s="5" t="s">
        <v>64</v>
      </c>
      <c r="D23" s="138">
        <f>9+9+11+9</f>
        <v>38</v>
      </c>
    </row>
    <row r="24" spans="2:4" ht="17.25">
      <c r="B24" s="139">
        <v>58</v>
      </c>
      <c r="C24" s="128" t="s">
        <v>73</v>
      </c>
      <c r="D24" s="138">
        <f>5+13+14</f>
        <v>32</v>
      </c>
    </row>
    <row r="25" spans="2:4" ht="17.25">
      <c r="B25" s="132">
        <v>397</v>
      </c>
      <c r="C25" s="122" t="s">
        <v>95</v>
      </c>
      <c r="D25" s="133">
        <f>10+10+5</f>
        <v>25</v>
      </c>
    </row>
    <row r="26" spans="2:4" ht="17.25">
      <c r="B26" s="137">
        <v>53</v>
      </c>
      <c r="C26" s="5" t="s">
        <v>91</v>
      </c>
      <c r="D26" s="138">
        <f>13+8</f>
        <v>21</v>
      </c>
    </row>
    <row r="27" spans="2:4" ht="17.25">
      <c r="B27" s="132">
        <v>104</v>
      </c>
      <c r="C27" s="5" t="s">
        <v>102</v>
      </c>
      <c r="D27" s="133">
        <f>7+6+2+6</f>
        <v>21</v>
      </c>
    </row>
    <row r="28" spans="2:4" ht="17.25">
      <c r="B28" s="132">
        <v>61</v>
      </c>
      <c r="C28" s="5" t="s">
        <v>94</v>
      </c>
      <c r="D28" s="134">
        <f>6+4+9</f>
        <v>19</v>
      </c>
    </row>
    <row r="29" spans="2:4" ht="17.25">
      <c r="B29" s="137">
        <v>34</v>
      </c>
      <c r="C29" s="122" t="s">
        <v>85</v>
      </c>
      <c r="D29" s="138">
        <f>17</f>
        <v>17</v>
      </c>
    </row>
    <row r="30" spans="2:4" ht="17.25">
      <c r="B30" s="132">
        <v>49</v>
      </c>
      <c r="C30" s="5" t="s">
        <v>87</v>
      </c>
      <c r="D30" s="133">
        <f>4+6+6</f>
        <v>16</v>
      </c>
    </row>
    <row r="31" spans="2:4" ht="17.25">
      <c r="B31" s="139">
        <v>33</v>
      </c>
      <c r="C31" s="128" t="s">
        <v>104</v>
      </c>
      <c r="D31" s="138">
        <f>6+10</f>
        <v>16</v>
      </c>
    </row>
    <row r="32" spans="2:4" ht="17.25">
      <c r="B32" s="137">
        <v>182</v>
      </c>
      <c r="C32" s="128" t="s">
        <v>106</v>
      </c>
      <c r="D32" s="138">
        <f>13</f>
        <v>13</v>
      </c>
    </row>
    <row r="33" spans="2:4" ht="17.25">
      <c r="B33" s="137">
        <v>124</v>
      </c>
      <c r="C33" s="122" t="s">
        <v>107</v>
      </c>
      <c r="D33" s="138">
        <f>12</f>
        <v>12</v>
      </c>
    </row>
    <row r="34" spans="2:4" ht="17.25">
      <c r="B34" s="132">
        <v>313</v>
      </c>
      <c r="C34" s="5" t="s">
        <v>111</v>
      </c>
      <c r="D34" s="133">
        <f>8</f>
        <v>8</v>
      </c>
    </row>
    <row r="35" spans="2:4" ht="17.25">
      <c r="B35" s="137">
        <v>43</v>
      </c>
      <c r="C35" s="122" t="s">
        <v>93</v>
      </c>
      <c r="D35" s="138">
        <f>8</f>
        <v>8</v>
      </c>
    </row>
    <row r="36" spans="2:4" ht="17.25">
      <c r="B36" s="137">
        <v>85</v>
      </c>
      <c r="C36" s="5" t="s">
        <v>110</v>
      </c>
      <c r="D36" s="138">
        <f>7</f>
        <v>7</v>
      </c>
    </row>
    <row r="37" spans="2:4" ht="17.25">
      <c r="B37" s="137">
        <v>339</v>
      </c>
      <c r="C37" s="5" t="s">
        <v>83</v>
      </c>
      <c r="D37" s="138">
        <f>3+3</f>
        <v>6</v>
      </c>
    </row>
    <row r="38" spans="2:4" ht="17.25">
      <c r="B38" s="137">
        <v>87</v>
      </c>
      <c r="C38" s="122" t="s">
        <v>113</v>
      </c>
      <c r="D38" s="138">
        <f>5</f>
        <v>5</v>
      </c>
    </row>
    <row r="39" spans="2:4" ht="17.25">
      <c r="B39" s="141">
        <v>39</v>
      </c>
      <c r="C39" s="142" t="s">
        <v>119</v>
      </c>
      <c r="D39" s="140">
        <f>4</f>
        <v>4</v>
      </c>
    </row>
    <row r="40" spans="2:4" ht="17.25"/>
  </sheetData>
  <sortState xmlns:xlrd2="http://schemas.microsoft.com/office/spreadsheetml/2017/richdata2" ref="B4:D39">
    <sortCondition descending="1" ref="D4:D3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29173-2079-43FC-BAFD-1E41AA404740}">
  <dimension ref="A1:D38"/>
  <sheetViews>
    <sheetView workbookViewId="0">
      <selection activeCell="C38" sqref="C38"/>
    </sheetView>
  </sheetViews>
  <sheetFormatPr defaultRowHeight="15.75"/>
  <cols>
    <col min="1" max="1" width="14.7109375" style="58" customWidth="1"/>
    <col min="2" max="2" width="9.140625" style="56"/>
    <col min="3" max="3" width="22.28515625" style="56" bestFit="1" customWidth="1"/>
    <col min="4" max="4" width="9.140625" style="56"/>
    <col min="5" max="16384" width="9.140625" style="58"/>
  </cols>
  <sheetData>
    <row r="1" spans="1:4" ht="17.25">
      <c r="A1" s="55" t="s">
        <v>132</v>
      </c>
      <c r="C1" s="57"/>
    </row>
    <row r="2" spans="1:4" ht="17.25">
      <c r="C2" s="57">
        <v>44429</v>
      </c>
    </row>
    <row r="3" spans="1:4" ht="34.5">
      <c r="A3" s="59" t="s">
        <v>0</v>
      </c>
      <c r="B3" s="124" t="s">
        <v>1</v>
      </c>
      <c r="C3" s="125" t="s">
        <v>2</v>
      </c>
      <c r="D3" s="66" t="s">
        <v>127</v>
      </c>
    </row>
    <row r="4" spans="1:4" ht="17.25">
      <c r="B4" s="3">
        <v>1</v>
      </c>
      <c r="C4" s="5" t="s">
        <v>20</v>
      </c>
      <c r="D4" s="126">
        <f>57+1+56+54+50+59</f>
        <v>277</v>
      </c>
    </row>
    <row r="5" spans="1:4" ht="17.25">
      <c r="B5" s="3">
        <v>2</v>
      </c>
      <c r="C5" s="5" t="s">
        <v>21</v>
      </c>
      <c r="D5" s="121">
        <f>39+38+49+47+43+52</f>
        <v>268</v>
      </c>
    </row>
    <row r="6" spans="1:4" ht="17.25">
      <c r="B6" s="3">
        <v>73</v>
      </c>
      <c r="C6" s="5" t="s">
        <v>36</v>
      </c>
      <c r="D6" s="121">
        <f>34+22+43+36+1</f>
        <v>136</v>
      </c>
    </row>
    <row r="7" spans="1:4" ht="17.25">
      <c r="B7" s="4">
        <v>284</v>
      </c>
      <c r="C7" s="4" t="s">
        <v>32</v>
      </c>
      <c r="D7" s="126">
        <f>29+13+31+27+36</f>
        <v>136</v>
      </c>
    </row>
    <row r="8" spans="1:4" ht="17.25">
      <c r="B8" s="3">
        <v>4</v>
      </c>
      <c r="C8" s="5" t="s">
        <v>26</v>
      </c>
      <c r="D8" s="121">
        <f>44+38+1+37</f>
        <v>120</v>
      </c>
    </row>
    <row r="9" spans="1:4" ht="17.25">
      <c r="B9" s="3">
        <v>84</v>
      </c>
      <c r="C9" s="5" t="s">
        <v>37</v>
      </c>
      <c r="D9" s="121">
        <f>22+45+15+12+24</f>
        <v>118</v>
      </c>
    </row>
    <row r="10" spans="1:4" ht="17.25">
      <c r="B10" s="3">
        <v>66</v>
      </c>
      <c r="C10" s="5" t="s">
        <v>47</v>
      </c>
      <c r="D10" s="126">
        <f>12+21+26+46</f>
        <v>105</v>
      </c>
    </row>
    <row r="11" spans="1:4" ht="17.25">
      <c r="B11" s="3">
        <v>97</v>
      </c>
      <c r="C11" s="5" t="s">
        <v>45</v>
      </c>
      <c r="D11" s="121">
        <f>1+28+22+41</f>
        <v>92</v>
      </c>
    </row>
    <row r="12" spans="1:4" ht="17.25">
      <c r="B12" s="3">
        <v>78</v>
      </c>
      <c r="C12" s="5" t="s">
        <v>42</v>
      </c>
      <c r="D12" s="121">
        <f>25+24+27</f>
        <v>76</v>
      </c>
    </row>
    <row r="13" spans="1:4" ht="17.25">
      <c r="B13" s="5">
        <v>90</v>
      </c>
      <c r="C13" s="5" t="s">
        <v>54</v>
      </c>
      <c r="D13" s="5">
        <f>33+41</f>
        <v>74</v>
      </c>
    </row>
    <row r="14" spans="1:4" ht="17.25">
      <c r="B14" s="3">
        <v>343</v>
      </c>
      <c r="C14" s="5" t="s">
        <v>34</v>
      </c>
      <c r="D14" s="127">
        <f>19+11+13+31</f>
        <v>74</v>
      </c>
    </row>
    <row r="15" spans="1:4" ht="17.25">
      <c r="B15" s="3">
        <v>6</v>
      </c>
      <c r="C15" s="5" t="s">
        <v>41</v>
      </c>
      <c r="D15" s="121">
        <f>16+10+10+11+7</f>
        <v>54</v>
      </c>
    </row>
    <row r="16" spans="1:4" ht="17.25">
      <c r="B16" s="5">
        <v>126</v>
      </c>
      <c r="C16" s="5" t="s">
        <v>59</v>
      </c>
      <c r="D16" s="127">
        <f>1+13+19+18+1</f>
        <v>52</v>
      </c>
    </row>
    <row r="17" spans="2:4" ht="17.25">
      <c r="B17" s="3">
        <v>351</v>
      </c>
      <c r="C17" s="122" t="s">
        <v>69</v>
      </c>
      <c r="D17" s="126">
        <f>7+32+3+9</f>
        <v>51</v>
      </c>
    </row>
    <row r="18" spans="2:4" ht="17.25">
      <c r="B18" s="3">
        <v>29</v>
      </c>
      <c r="C18" s="5" t="s">
        <v>52</v>
      </c>
      <c r="D18" s="126">
        <f>50</f>
        <v>50</v>
      </c>
    </row>
    <row r="19" spans="2:4" ht="17.25">
      <c r="B19" s="3">
        <v>47</v>
      </c>
      <c r="C19" s="5" t="s">
        <v>66</v>
      </c>
      <c r="D19" s="121">
        <f>10+6+7+3+11</f>
        <v>37</v>
      </c>
    </row>
    <row r="20" spans="2:4" ht="17.25">
      <c r="B20" s="5">
        <v>92</v>
      </c>
      <c r="C20" s="4" t="s">
        <v>75</v>
      </c>
      <c r="D20" s="127">
        <f>9+17+9</f>
        <v>35</v>
      </c>
    </row>
    <row r="21" spans="2:4" ht="17.25">
      <c r="B21" s="5">
        <v>340</v>
      </c>
      <c r="C21" s="5" t="s">
        <v>53</v>
      </c>
      <c r="D21" s="5">
        <f>18+16</f>
        <v>34</v>
      </c>
    </row>
    <row r="22" spans="2:4" ht="17.25">
      <c r="B22" s="5">
        <v>62</v>
      </c>
      <c r="C22" s="5" t="s">
        <v>23</v>
      </c>
      <c r="D22" s="5">
        <f>32</f>
        <v>32</v>
      </c>
    </row>
    <row r="23" spans="2:4" ht="17.25">
      <c r="B23" s="3">
        <v>253</v>
      </c>
      <c r="C23" s="5" t="s">
        <v>76</v>
      </c>
      <c r="D23" s="121">
        <f>8+5+13</f>
        <v>26</v>
      </c>
    </row>
    <row r="24" spans="2:4" ht="17.25">
      <c r="B24" s="5">
        <v>181</v>
      </c>
      <c r="C24" s="5" t="s">
        <v>64</v>
      </c>
      <c r="D24" s="5">
        <f>4+6+16</f>
        <v>26</v>
      </c>
    </row>
    <row r="25" spans="2:4" ht="17.25">
      <c r="B25" s="3">
        <v>247</v>
      </c>
      <c r="C25" s="122" t="s">
        <v>80</v>
      </c>
      <c r="D25" s="126">
        <f>11+8</f>
        <v>19</v>
      </c>
    </row>
    <row r="26" spans="2:4" ht="17.25">
      <c r="B26" s="5">
        <v>43</v>
      </c>
      <c r="C26" s="122" t="s">
        <v>93</v>
      </c>
      <c r="D26" s="5">
        <f>18</f>
        <v>18</v>
      </c>
    </row>
    <row r="27" spans="2:4" ht="17.25">
      <c r="B27" s="3">
        <v>397</v>
      </c>
      <c r="C27" s="122" t="s">
        <v>95</v>
      </c>
      <c r="D27" s="126">
        <f>6+7+4</f>
        <v>17</v>
      </c>
    </row>
    <row r="28" spans="2:4" ht="17.25">
      <c r="B28" s="5">
        <v>58</v>
      </c>
      <c r="C28" s="122" t="s">
        <v>73</v>
      </c>
      <c r="D28" s="5">
        <f>10</f>
        <v>10</v>
      </c>
    </row>
    <row r="29" spans="2:4" ht="17.25">
      <c r="B29" s="5">
        <v>182</v>
      </c>
      <c r="C29" s="128" t="s">
        <v>106</v>
      </c>
      <c r="D29" s="5">
        <f>9</f>
        <v>9</v>
      </c>
    </row>
    <row r="30" spans="2:4" ht="17.25">
      <c r="B30" s="5">
        <v>53</v>
      </c>
      <c r="C30" s="5" t="s">
        <v>91</v>
      </c>
      <c r="D30" s="5">
        <f>8</f>
        <v>8</v>
      </c>
    </row>
    <row r="31" spans="2:4" ht="17.25">
      <c r="B31" s="3">
        <v>104</v>
      </c>
      <c r="C31" s="5" t="s">
        <v>102</v>
      </c>
      <c r="D31" s="126">
        <f>4+2+2</f>
        <v>8</v>
      </c>
    </row>
    <row r="32" spans="2:4" ht="17.25">
      <c r="B32" s="144">
        <v>124</v>
      </c>
      <c r="C32" s="122" t="s">
        <v>107</v>
      </c>
      <c r="D32" s="5">
        <f>8</f>
        <v>8</v>
      </c>
    </row>
    <row r="33" spans="2:4" ht="17.25">
      <c r="B33" s="144">
        <v>87</v>
      </c>
      <c r="C33" s="122" t="s">
        <v>113</v>
      </c>
      <c r="D33" s="5">
        <f>7</f>
        <v>7</v>
      </c>
    </row>
    <row r="34" spans="2:4" ht="17.25">
      <c r="B34" s="5">
        <v>33</v>
      </c>
      <c r="C34" s="128" t="s">
        <v>104</v>
      </c>
      <c r="D34" s="5">
        <f>5+1</f>
        <v>6</v>
      </c>
    </row>
    <row r="35" spans="2:4" ht="17.25">
      <c r="B35" s="144">
        <v>49</v>
      </c>
      <c r="C35" s="122" t="s">
        <v>87</v>
      </c>
      <c r="D35" s="5">
        <f>6</f>
        <v>6</v>
      </c>
    </row>
    <row r="36" spans="2:4" ht="17.25">
      <c r="B36" s="3">
        <v>313</v>
      </c>
      <c r="C36" s="5" t="s">
        <v>111</v>
      </c>
      <c r="D36" s="121">
        <f>5</f>
        <v>5</v>
      </c>
    </row>
    <row r="37" spans="2:4" ht="17.25">
      <c r="B37" s="5">
        <v>61</v>
      </c>
      <c r="C37" s="128" t="s">
        <v>94</v>
      </c>
      <c r="D37" s="5">
        <f>4</f>
        <v>4</v>
      </c>
    </row>
    <row r="38" spans="2:4" ht="17.25">
      <c r="B38" s="5">
        <v>339</v>
      </c>
      <c r="C38" s="128" t="s">
        <v>83</v>
      </c>
      <c r="D38" s="5">
        <f>3</f>
        <v>3</v>
      </c>
    </row>
  </sheetData>
  <sortState xmlns:xlrd2="http://schemas.microsoft.com/office/spreadsheetml/2017/richdata2" ref="B4:D38">
    <sortCondition descending="1" ref="D4:D3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8CC19-D656-4611-B547-1362C2850E5C}">
  <dimension ref="A1:D14"/>
  <sheetViews>
    <sheetView workbookViewId="0">
      <selection activeCell="D7" sqref="D7"/>
    </sheetView>
  </sheetViews>
  <sheetFormatPr defaultRowHeight="15.75"/>
  <cols>
    <col min="1" max="1" width="14.7109375" style="58" customWidth="1"/>
    <col min="2" max="2" width="9.140625" style="56"/>
    <col min="3" max="3" width="22.7109375" style="56" bestFit="1" customWidth="1"/>
    <col min="4" max="4" width="9.140625" style="56"/>
    <col min="5" max="16384" width="9.140625" style="58"/>
  </cols>
  <sheetData>
    <row r="1" spans="1:4" ht="17.25">
      <c r="A1" s="55" t="s">
        <v>133</v>
      </c>
      <c r="C1" s="57"/>
    </row>
    <row r="2" spans="1:4" ht="17.25">
      <c r="C2" s="57">
        <v>44429</v>
      </c>
    </row>
    <row r="3" spans="1:4" ht="34.5">
      <c r="A3" s="59" t="s">
        <v>0</v>
      </c>
      <c r="B3" s="64" t="s">
        <v>1</v>
      </c>
      <c r="C3" s="60" t="s">
        <v>2</v>
      </c>
      <c r="D3" s="66" t="s">
        <v>127</v>
      </c>
    </row>
    <row r="4" spans="1:4" ht="17.25">
      <c r="B4" s="17">
        <v>813</v>
      </c>
      <c r="C4" s="21" t="s">
        <v>48</v>
      </c>
      <c r="D4" s="19">
        <f>43+25+40+39+6+35</f>
        <v>188</v>
      </c>
    </row>
    <row r="5" spans="1:4" ht="17.25">
      <c r="B5" s="18">
        <v>204</v>
      </c>
      <c r="C5" s="8" t="s">
        <v>50</v>
      </c>
      <c r="D5" s="20">
        <f>50+34</f>
        <v>84</v>
      </c>
    </row>
    <row r="6" spans="1:4" ht="17.25">
      <c r="B6" s="3" t="s">
        <v>30</v>
      </c>
      <c r="C6" s="9" t="s">
        <v>31</v>
      </c>
      <c r="D6" s="10">
        <f>15+15+21+30</f>
        <v>81</v>
      </c>
    </row>
    <row r="7" spans="1:4" ht="17.25">
      <c r="B7" s="5">
        <v>54</v>
      </c>
      <c r="C7" s="67" t="s">
        <v>88</v>
      </c>
      <c r="D7" s="11">
        <f>32+20</f>
        <v>52</v>
      </c>
    </row>
    <row r="8" spans="1:4" ht="17.25">
      <c r="B8" s="3">
        <v>803</v>
      </c>
      <c r="C8" s="9" t="s">
        <v>84</v>
      </c>
      <c r="D8" s="10">
        <f>22+24</f>
        <v>46</v>
      </c>
    </row>
    <row r="9" spans="1:4" ht="17.25">
      <c r="B9" s="3">
        <v>999</v>
      </c>
      <c r="C9" s="9" t="s">
        <v>103</v>
      </c>
      <c r="D9" s="10">
        <f>1+6+26</f>
        <v>33</v>
      </c>
    </row>
    <row r="10" spans="1:4" ht="17.25">
      <c r="B10" s="3">
        <v>230</v>
      </c>
      <c r="C10" s="9" t="s">
        <v>58</v>
      </c>
      <c r="D10" s="7">
        <f>27</f>
        <v>27</v>
      </c>
    </row>
    <row r="11" spans="1:4" ht="17.25">
      <c r="B11" s="3">
        <v>819</v>
      </c>
      <c r="C11" s="9" t="s">
        <v>92</v>
      </c>
      <c r="D11" s="10">
        <f>7+19+1</f>
        <v>27</v>
      </c>
    </row>
    <row r="12" spans="1:4" ht="17.25">
      <c r="B12" s="5">
        <v>909</v>
      </c>
      <c r="C12" s="6" t="s">
        <v>114</v>
      </c>
      <c r="D12" s="14">
        <f>4</f>
        <v>4</v>
      </c>
    </row>
    <row r="13" spans="1:4" ht="17.25"/>
    <row r="14" spans="1:4" ht="17.25"/>
  </sheetData>
  <sortState xmlns:xlrd2="http://schemas.microsoft.com/office/spreadsheetml/2017/richdata2" ref="B4:D12">
    <sortCondition descending="1" ref="D4:D1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B4793-53F6-4456-8282-34A19E4834BA}">
  <dimension ref="A1:D14"/>
  <sheetViews>
    <sheetView workbookViewId="0">
      <selection activeCell="H9" sqref="H9"/>
    </sheetView>
  </sheetViews>
  <sheetFormatPr defaultRowHeight="15.75"/>
  <cols>
    <col min="1" max="1" width="14.7109375" style="58" customWidth="1"/>
    <col min="2" max="2" width="9.140625" style="58"/>
    <col min="3" max="3" width="21.28515625" style="58" customWidth="1"/>
    <col min="4" max="16384" width="9.140625" style="58"/>
  </cols>
  <sheetData>
    <row r="1" spans="1:4" ht="17.25">
      <c r="A1" s="55" t="s">
        <v>134</v>
      </c>
      <c r="C1" s="63"/>
    </row>
    <row r="2" spans="1:4" ht="17.25">
      <c r="C2" s="63">
        <v>44432</v>
      </c>
    </row>
    <row r="3" spans="1:4" ht="34.5">
      <c r="A3" s="59" t="s">
        <v>0</v>
      </c>
      <c r="B3" s="64" t="s">
        <v>1</v>
      </c>
      <c r="C3" s="60" t="s">
        <v>2</v>
      </c>
      <c r="D3" s="89" t="s">
        <v>127</v>
      </c>
    </row>
    <row r="4" spans="1:4" ht="17.25">
      <c r="B4" s="154" t="s">
        <v>27</v>
      </c>
      <c r="C4" s="83" t="s">
        <v>28</v>
      </c>
      <c r="D4" s="96">
        <f>32+32+26+33+46+38</f>
        <v>207</v>
      </c>
    </row>
    <row r="5" spans="1:4" ht="17.25">
      <c r="B5" s="5">
        <v>95</v>
      </c>
      <c r="C5" s="3" t="s">
        <v>38</v>
      </c>
      <c r="D5" s="5">
        <f>40+33+17</f>
        <v>90</v>
      </c>
    </row>
    <row r="6" spans="1:4" ht="17.25">
      <c r="B6" s="3" t="s">
        <v>30</v>
      </c>
      <c r="C6" s="122" t="s">
        <v>31</v>
      </c>
      <c r="D6" s="121">
        <f>39+10+17+13</f>
        <v>79</v>
      </c>
    </row>
    <row r="7" spans="1:4" ht="17.25">
      <c r="B7" s="18">
        <v>204</v>
      </c>
      <c r="C7" s="4" t="s">
        <v>50</v>
      </c>
      <c r="D7" s="127">
        <f>21+37</f>
        <v>58</v>
      </c>
    </row>
    <row r="8" spans="1:4" ht="17.25">
      <c r="B8" s="3">
        <v>88</v>
      </c>
      <c r="C8" s="122" t="s">
        <v>57</v>
      </c>
      <c r="D8" s="126">
        <f>1+21+27+1</f>
        <v>50</v>
      </c>
    </row>
    <row r="9" spans="1:4" ht="17.25">
      <c r="B9" s="5">
        <v>234</v>
      </c>
      <c r="C9" s="5" t="s">
        <v>74</v>
      </c>
      <c r="D9" s="5">
        <f>16+22</f>
        <v>38</v>
      </c>
    </row>
    <row r="10" spans="1:4" ht="17.25">
      <c r="B10" s="5">
        <v>207</v>
      </c>
      <c r="C10" s="4" t="s">
        <v>97</v>
      </c>
      <c r="D10" s="5">
        <f>22</f>
        <v>22</v>
      </c>
    </row>
    <row r="11" spans="1:4" ht="17.25">
      <c r="B11" s="5">
        <v>61</v>
      </c>
      <c r="C11" s="5" t="s">
        <v>94</v>
      </c>
      <c r="D11" s="5">
        <f>9+5</f>
        <v>14</v>
      </c>
    </row>
    <row r="12" spans="1:4" ht="17.25">
      <c r="B12" s="5">
        <v>803</v>
      </c>
      <c r="C12" s="5" t="s">
        <v>84</v>
      </c>
      <c r="D12" s="5">
        <f>12</f>
        <v>12</v>
      </c>
    </row>
    <row r="13" spans="1:4" ht="17.25">
      <c r="B13" s="5">
        <v>909</v>
      </c>
      <c r="C13" s="5" t="s">
        <v>114</v>
      </c>
      <c r="D13" s="5">
        <f>6</f>
        <v>6</v>
      </c>
    </row>
    <row r="14" spans="1:4" ht="17.25"/>
  </sheetData>
  <sortState xmlns:xlrd2="http://schemas.microsoft.com/office/spreadsheetml/2017/richdata2" ref="B5:D13">
    <sortCondition descending="1" ref="D5:D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Sexy Bitch</dc:creator>
  <cp:keywords/>
  <dc:description/>
  <cp:lastModifiedBy/>
  <cp:revision/>
  <dcterms:created xsi:type="dcterms:W3CDTF">2021-06-17T17:03:16Z</dcterms:created>
  <dcterms:modified xsi:type="dcterms:W3CDTF">2021-08-25T05:16:13Z</dcterms:modified>
  <cp:category/>
  <cp:contentStatus/>
</cp:coreProperties>
</file>