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oM\Downloads\"/>
    </mc:Choice>
  </mc:AlternateContent>
  <xr:revisionPtr revIDLastSave="0" documentId="8_{B3DAFE43-133C-4FFD-88B7-4FF60785EE7B}" xr6:coauthVersionLast="47" xr6:coauthVersionMax="47" xr10:uidLastSave="{00000000-0000-0000-0000-000000000000}"/>
  <bookViews>
    <workbookView xWindow="-120" yWindow="-120" windowWidth="20730" windowHeight="11160" firstSheet="18" xr2:uid="{58302ADD-EE14-46B2-B8AB-B8706E5B8C2C}"/>
  </bookViews>
  <sheets>
    <sheet name="2021 Championship" sheetId="1" r:id="rId1"/>
    <sheet name="Formua Ultra" sheetId="2" r:id="rId2"/>
    <sheet name="Formula 2" sheetId="3" r:id="rId3"/>
    <sheet name="Open SS" sheetId="4" r:id="rId4"/>
    <sheet name="Open SBK" sheetId="5" r:id="rId5"/>
    <sheet name="600 SS" sheetId="6" r:id="rId6"/>
    <sheet name="600 SBK" sheetId="7" r:id="rId7"/>
    <sheet name="MW SS" sheetId="8" r:id="rId8"/>
    <sheet name="MW SBK" sheetId="9" r:id="rId9"/>
    <sheet name="LW SS" sheetId="10" r:id="rId10"/>
    <sheet name="LW SBK" sheetId="11" r:id="rId11"/>
    <sheet name="ULW SS" sheetId="12" r:id="rId12"/>
    <sheet name="450 SBK" sheetId="13" r:id="rId13"/>
    <sheet name="Classic SBK" sheetId="14" r:id="rId14"/>
    <sheet name="250 Ninja Cup" sheetId="15" r:id="rId15"/>
    <sheet name="160 Vintage" sheetId="16" r:id="rId16"/>
    <sheet name="750 Vintage" sheetId="17" r:id="rId17"/>
    <sheet name="Novice 1000" sheetId="18" r:id="rId18"/>
    <sheet name="Novice 600" sheetId="19" r:id="rId19"/>
    <sheet name="Forumla 40" sheetId="20" r:id="rId20"/>
    <sheet name="Formula Female" sheetId="2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" i="1" l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T90" i="1"/>
  <c r="T62" i="1"/>
  <c r="T29" i="1"/>
  <c r="T64" i="1"/>
  <c r="T46" i="1"/>
  <c r="T45" i="1"/>
  <c r="T70" i="1"/>
  <c r="D14" i="19"/>
  <c r="D21" i="19"/>
  <c r="D18" i="19"/>
  <c r="D19" i="19"/>
  <c r="D13" i="19"/>
  <c r="D12" i="19"/>
  <c r="D11" i="19"/>
  <c r="D8" i="19"/>
  <c r="D9" i="19"/>
  <c r="D16" i="19"/>
  <c r="D5" i="19"/>
  <c r="D4" i="19"/>
  <c r="D7" i="19"/>
  <c r="D6" i="19"/>
  <c r="D5" i="18"/>
  <c r="D6" i="18"/>
  <c r="D22" i="19"/>
  <c r="D20" i="19"/>
  <c r="D10" i="19"/>
  <c r="D4" i="18"/>
  <c r="D5" i="17"/>
  <c r="D4" i="17"/>
  <c r="D4" i="16"/>
  <c r="D5" i="1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T3" i="1"/>
  <c r="T5" i="1"/>
  <c r="T6" i="1"/>
  <c r="T51" i="1"/>
  <c r="T24" i="1"/>
  <c r="T18" i="1"/>
  <c r="T17" i="1"/>
  <c r="T75" i="1"/>
  <c r="T10" i="1"/>
  <c r="T23" i="1"/>
  <c r="T19" i="1"/>
  <c r="T82" i="1"/>
  <c r="T63" i="1"/>
  <c r="T13" i="1"/>
  <c r="T54" i="1"/>
  <c r="T27" i="1"/>
  <c r="T55" i="1"/>
  <c r="T40" i="1"/>
  <c r="T50" i="1"/>
  <c r="T74" i="1"/>
  <c r="T56" i="1"/>
  <c r="T67" i="1"/>
  <c r="T72" i="1"/>
  <c r="T38" i="1"/>
  <c r="T22" i="1"/>
  <c r="T7" i="1"/>
  <c r="T14" i="1"/>
  <c r="T26" i="1"/>
  <c r="T12" i="1"/>
  <c r="T78" i="1"/>
  <c r="T42" i="1"/>
  <c r="T36" i="1"/>
  <c r="T35" i="1"/>
  <c r="T28" i="1"/>
  <c r="T31" i="1"/>
  <c r="T52" i="1"/>
  <c r="T69" i="1"/>
  <c r="T15" i="1"/>
  <c r="T33" i="1"/>
  <c r="T37" i="1"/>
  <c r="T66" i="1"/>
  <c r="T73" i="1"/>
  <c r="T68" i="1"/>
  <c r="T9" i="1"/>
  <c r="T61" i="1"/>
  <c r="T48" i="1"/>
  <c r="T49" i="1"/>
  <c r="T30" i="1"/>
  <c r="T16" i="1"/>
  <c r="T77" i="1"/>
  <c r="T65" i="1"/>
  <c r="T60" i="1"/>
  <c r="T47" i="1"/>
  <c r="T20" i="1"/>
  <c r="T32" i="1"/>
  <c r="T59" i="1"/>
  <c r="T86" i="1"/>
  <c r="T34" i="1"/>
  <c r="T43" i="1"/>
  <c r="T76" i="1"/>
  <c r="T21" i="1"/>
  <c r="T58" i="1"/>
  <c r="T87" i="1"/>
  <c r="T41" i="1"/>
  <c r="T53" i="1"/>
  <c r="T44" i="1"/>
  <c r="T79" i="1"/>
  <c r="T39" i="1"/>
  <c r="T71" i="1"/>
  <c r="T83" i="1"/>
  <c r="T4" i="1"/>
  <c r="T8" i="1"/>
  <c r="T11" i="1"/>
  <c r="T2" i="1"/>
  <c r="D15" i="15"/>
  <c r="D10" i="15"/>
  <c r="D11" i="15"/>
  <c r="D8" i="15"/>
  <c r="D12" i="15"/>
  <c r="D9" i="15"/>
  <c r="D6" i="15"/>
  <c r="D7" i="15"/>
  <c r="D5" i="15"/>
  <c r="D4" i="15"/>
  <c r="D7" i="14"/>
  <c r="D10" i="14"/>
  <c r="D9" i="14"/>
  <c r="D8" i="14"/>
  <c r="D4" i="14"/>
  <c r="D5" i="14"/>
  <c r="D6" i="14"/>
  <c r="D6" i="21"/>
  <c r="D5" i="21"/>
  <c r="D4" i="21"/>
  <c r="D11" i="13"/>
  <c r="D6" i="13"/>
  <c r="D12" i="13"/>
  <c r="D10" i="13"/>
  <c r="D9" i="13"/>
  <c r="D8" i="13"/>
  <c r="D4" i="13"/>
  <c r="D14" i="12"/>
  <c r="D12" i="12"/>
  <c r="D11" i="12"/>
  <c r="D6" i="12"/>
  <c r="D9" i="12"/>
  <c r="D8" i="12"/>
  <c r="D5" i="12"/>
  <c r="D7" i="12"/>
  <c r="D4" i="12"/>
  <c r="D10" i="11"/>
  <c r="D7" i="11"/>
  <c r="D4" i="11"/>
  <c r="D5" i="11"/>
  <c r="D6" i="11"/>
  <c r="D19" i="10"/>
  <c r="D15" i="10"/>
  <c r="D18" i="10"/>
  <c r="D17" i="10"/>
  <c r="D16" i="10"/>
  <c r="D14" i="10"/>
  <c r="D10" i="10"/>
  <c r="D9" i="10"/>
  <c r="D11" i="10"/>
  <c r="D8" i="10"/>
  <c r="D7" i="10"/>
  <c r="D12" i="10"/>
  <c r="D5" i="10"/>
  <c r="D6" i="10"/>
  <c r="D4" i="10"/>
  <c r="D7" i="20"/>
  <c r="D6" i="20"/>
  <c r="D5" i="20"/>
  <c r="D4" i="20"/>
  <c r="D11" i="9"/>
  <c r="D10" i="9"/>
  <c r="D9" i="9"/>
  <c r="D8" i="9"/>
  <c r="D7" i="9"/>
  <c r="D4" i="9"/>
  <c r="D5" i="9"/>
  <c r="D12" i="8"/>
  <c r="D11" i="8"/>
  <c r="D7" i="8"/>
  <c r="D10" i="8"/>
  <c r="D6" i="8"/>
  <c r="D8" i="8"/>
  <c r="D9" i="8"/>
  <c r="D5" i="8"/>
  <c r="D4" i="8"/>
  <c r="D26" i="7"/>
  <c r="D11" i="7"/>
  <c r="D28" i="7"/>
  <c r="D22" i="7"/>
  <c r="D20" i="7"/>
  <c r="D23" i="7"/>
  <c r="D25" i="7"/>
  <c r="D14" i="7"/>
  <c r="D13" i="7"/>
  <c r="D17" i="7"/>
  <c r="D12" i="7"/>
  <c r="D7" i="7"/>
  <c r="D19" i="7"/>
  <c r="D9" i="7"/>
  <c r="D10" i="7"/>
  <c r="D18" i="7"/>
  <c r="D27" i="7"/>
  <c r="D24" i="7"/>
  <c r="D15" i="7"/>
  <c r="D16" i="7"/>
  <c r="D8" i="7"/>
  <c r="D6" i="7"/>
  <c r="D4" i="7"/>
  <c r="D5" i="7"/>
  <c r="D24" i="6"/>
  <c r="D31" i="6"/>
  <c r="D26" i="6"/>
  <c r="D27" i="6"/>
  <c r="D30" i="6"/>
  <c r="D15" i="6"/>
  <c r="D28" i="6"/>
  <c r="D22" i="6"/>
  <c r="D18" i="6"/>
  <c r="D19" i="6"/>
  <c r="D25" i="6"/>
  <c r="D14" i="6"/>
  <c r="D13" i="6"/>
  <c r="D12" i="6"/>
  <c r="D16" i="6"/>
  <c r="D10" i="6"/>
  <c r="D11" i="6"/>
  <c r="D17" i="6"/>
  <c r="D8" i="6"/>
  <c r="D9" i="6"/>
  <c r="D29" i="6"/>
  <c r="D23" i="6"/>
  <c r="D21" i="6"/>
  <c r="D5" i="6"/>
  <c r="D7" i="6"/>
  <c r="D6" i="6"/>
  <c r="D4" i="6"/>
  <c r="D15" i="5"/>
  <c r="D14" i="5"/>
  <c r="D13" i="5"/>
  <c r="D11" i="5"/>
  <c r="D12" i="5"/>
  <c r="D5" i="5"/>
  <c r="D8" i="5"/>
  <c r="D4" i="5"/>
  <c r="D9" i="5"/>
  <c r="D7" i="5"/>
  <c r="D6" i="5"/>
  <c r="D12" i="4"/>
  <c r="D13" i="4"/>
  <c r="D10" i="4"/>
  <c r="D9" i="4"/>
  <c r="D6" i="4"/>
  <c r="D7" i="4"/>
  <c r="D5" i="4"/>
  <c r="D4" i="4"/>
  <c r="D27" i="3"/>
  <c r="D18" i="3"/>
  <c r="D31" i="3"/>
  <c r="D30" i="3"/>
  <c r="D25" i="3"/>
  <c r="D29" i="3"/>
  <c r="D23" i="3"/>
  <c r="D28" i="3"/>
  <c r="D26" i="3"/>
  <c r="D10" i="3"/>
  <c r="D20" i="3"/>
  <c r="D24" i="3"/>
  <c r="D12" i="3"/>
  <c r="D22" i="3"/>
  <c r="D16" i="3"/>
  <c r="D8" i="3"/>
  <c r="D7" i="3"/>
  <c r="D17" i="3"/>
  <c r="D15" i="3"/>
  <c r="D14" i="3"/>
  <c r="D5" i="3"/>
  <c r="D6" i="3"/>
  <c r="D9" i="3"/>
  <c r="D4" i="3"/>
  <c r="D14" i="2"/>
  <c r="D15" i="2"/>
  <c r="D18" i="2"/>
  <c r="D16" i="2"/>
  <c r="D17" i="2"/>
  <c r="D12" i="2"/>
  <c r="D11" i="2"/>
  <c r="D13" i="2"/>
  <c r="D7" i="2"/>
  <c r="D8" i="2"/>
  <c r="D10" i="2"/>
  <c r="D5" i="2"/>
  <c r="D6" i="2"/>
  <c r="D9" i="2"/>
  <c r="D4" i="2"/>
  <c r="T80" i="1"/>
  <c r="T81" i="1"/>
  <c r="T84" i="1"/>
  <c r="T85" i="1"/>
  <c r="T89" i="1"/>
  <c r="T57" i="1"/>
  <c r="T25" i="1"/>
  <c r="T88" i="1"/>
  <c r="D24" i="19"/>
  <c r="D23" i="19"/>
  <c r="D25" i="19"/>
  <c r="D17" i="19"/>
  <c r="D15" i="19"/>
  <c r="D7" i="18"/>
  <c r="D6" i="16"/>
  <c r="D16" i="15"/>
  <c r="D14" i="15"/>
  <c r="D13" i="15"/>
  <c r="D14" i="13"/>
  <c r="D13" i="13"/>
  <c r="D7" i="13"/>
  <c r="D5" i="13"/>
  <c r="D16" i="12"/>
  <c r="D15" i="12"/>
  <c r="D13" i="12"/>
  <c r="D10" i="12"/>
  <c r="D14" i="11"/>
  <c r="D13" i="11"/>
  <c r="D12" i="11"/>
  <c r="D11" i="11"/>
  <c r="D9" i="11"/>
  <c r="D8" i="11"/>
  <c r="D13" i="10"/>
  <c r="D6" i="9"/>
  <c r="D21" i="7"/>
  <c r="D20" i="6"/>
  <c r="D10" i="5"/>
  <c r="D14" i="4"/>
  <c r="D11" i="4"/>
  <c r="D8" i="4"/>
  <c r="D33" i="3"/>
  <c r="D32" i="3"/>
  <c r="D21" i="3"/>
  <c r="D19" i="3"/>
  <c r="D13" i="3"/>
  <c r="D11" i="3"/>
  <c r="D19" i="2"/>
  <c r="K8" i="1"/>
  <c r="M44" i="1"/>
  <c r="M80" i="1"/>
  <c r="O84" i="1"/>
  <c r="Q89" i="1"/>
  <c r="E77" i="1"/>
  <c r="M73" i="1"/>
  <c r="R57" i="1"/>
  <c r="I37" i="1"/>
  <c r="H37" i="1"/>
  <c r="G33" i="1"/>
  <c r="F33" i="1"/>
  <c r="M52" i="1"/>
  <c r="O25" i="1"/>
  <c r="E25" i="1"/>
  <c r="E72" i="1"/>
  <c r="F88" i="1"/>
  <c r="D88" i="1"/>
  <c r="M27" i="1"/>
  <c r="L27" i="1"/>
  <c r="M23" i="1"/>
  <c r="E23" i="1"/>
  <c r="F5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</calcChain>
</file>

<file path=xl/sharedStrings.xml><?xml version="1.0" encoding="utf-8"?>
<sst xmlns="http://schemas.openxmlformats.org/spreadsheetml/2006/main" count="482" uniqueCount="171">
  <si>
    <t>Overall Position</t>
  </si>
  <si>
    <t>No</t>
  </si>
  <si>
    <t>Name</t>
  </si>
  <si>
    <t>Formula Ultra</t>
  </si>
  <si>
    <t>Formula 2</t>
  </si>
  <si>
    <t>Open SS</t>
  </si>
  <si>
    <t>Open SBK</t>
  </si>
  <si>
    <t>600 SS</t>
  </si>
  <si>
    <t>600 SBK</t>
  </si>
  <si>
    <t>MW SS</t>
  </si>
  <si>
    <t>MW SBK</t>
  </si>
  <si>
    <t>LW SS</t>
  </si>
  <si>
    <t>LW SBK</t>
  </si>
  <si>
    <t>ULW SS</t>
  </si>
  <si>
    <t>450 SBK</t>
  </si>
  <si>
    <t>Classic SBK</t>
  </si>
  <si>
    <t>250 Ninja</t>
  </si>
  <si>
    <t>160 Vintage</t>
  </si>
  <si>
    <t>750 Vintage</t>
  </si>
  <si>
    <t>Top 2 Classes</t>
  </si>
  <si>
    <t>62X</t>
  </si>
  <si>
    <t>Andy DiBrino</t>
  </si>
  <si>
    <t>Adam Robarts</t>
  </si>
  <si>
    <t>21X</t>
  </si>
  <si>
    <t>Kevin Pinkstaff</t>
  </si>
  <si>
    <t>Chris Sarbora</t>
  </si>
  <si>
    <t>Steven Campbell</t>
  </si>
  <si>
    <t>Philip Melnyk</t>
  </si>
  <si>
    <t>24X</t>
  </si>
  <si>
    <t>Todd Eugene</t>
  </si>
  <si>
    <t>Adam Fausett</t>
  </si>
  <si>
    <t>David Kohlstaedt</t>
  </si>
  <si>
    <t>58X</t>
  </si>
  <si>
    <t>Drat Diestler</t>
  </si>
  <si>
    <t>Micah Kudo</t>
  </si>
  <si>
    <t>Volga Mermut</t>
  </si>
  <si>
    <t>Sean Cresap</t>
  </si>
  <si>
    <t>Andy Halbert</t>
  </si>
  <si>
    <t>Garret Visser</t>
  </si>
  <si>
    <t>Darrin Griffin</t>
  </si>
  <si>
    <t>David Pearce</t>
  </si>
  <si>
    <t>Jay Brown</t>
  </si>
  <si>
    <t>Miles McElhany</t>
  </si>
  <si>
    <t>Andrew Kapaldo</t>
  </si>
  <si>
    <t>Jonathan Hudak</t>
  </si>
  <si>
    <t>Ryan Cresap</t>
  </si>
  <si>
    <t>Paul McComsey</t>
  </si>
  <si>
    <t>Dustin Walbon</t>
  </si>
  <si>
    <t>Kevin Nanthrup</t>
  </si>
  <si>
    <t>Kumpy Kump</t>
  </si>
  <si>
    <t>Ron Rudy</t>
  </si>
  <si>
    <t>Paul Gienau</t>
  </si>
  <si>
    <t>Donald Williams</t>
  </si>
  <si>
    <t>Jeff Lane</t>
  </si>
  <si>
    <t>Matthew White</t>
  </si>
  <si>
    <t>Brian Pinkstaff</t>
  </si>
  <si>
    <t>Zach Halbert</t>
  </si>
  <si>
    <t>Joel Ohman</t>
  </si>
  <si>
    <t>Ryan Doherty</t>
  </si>
  <si>
    <t>Mallory Dobbs</t>
  </si>
  <si>
    <t>Cliff Griffin</t>
  </si>
  <si>
    <t>Loren DeShon</t>
  </si>
  <si>
    <t>Brian Burchill</t>
  </si>
  <si>
    <t>Dave Oster</t>
  </si>
  <si>
    <t>Cedric Smith</t>
  </si>
  <si>
    <t>Luke O'Brien</t>
  </si>
  <si>
    <t>Charles Pittman</t>
  </si>
  <si>
    <t>Tico Sandoval</t>
  </si>
  <si>
    <t>Matthew Winter</t>
  </si>
  <si>
    <t>Jacob Brown</t>
  </si>
  <si>
    <t>Sergio Gingerich</t>
  </si>
  <si>
    <t>Jeremy Goddard</t>
  </si>
  <si>
    <t>Keith Stone</t>
  </si>
  <si>
    <t>Dave Heinricks</t>
  </si>
  <si>
    <t>David Bostashvili</t>
  </si>
  <si>
    <t>Joe Pittman</t>
  </si>
  <si>
    <t>Robert Stine</t>
  </si>
  <si>
    <t>Chris Wilcox</t>
  </si>
  <si>
    <t>Kent Swendseid</t>
  </si>
  <si>
    <t>Howard Nusbaum</t>
  </si>
  <si>
    <t>Jennifer Chancellor</t>
  </si>
  <si>
    <t>Joseph Palmeri</t>
  </si>
  <si>
    <t>Jolene Janacek</t>
  </si>
  <si>
    <t>Simon Smith</t>
  </si>
  <si>
    <t>Gary Ryder</t>
  </si>
  <si>
    <t>Nick Hawson</t>
  </si>
  <si>
    <t>Arash Nadershahi</t>
  </si>
  <si>
    <t>Garrick Fulbright</t>
  </si>
  <si>
    <t>Scott Harris</t>
  </si>
  <si>
    <t>Andy Moore</t>
  </si>
  <si>
    <t>Matthew Wichgers</t>
  </si>
  <si>
    <t>Chris Burgess</t>
  </si>
  <si>
    <t>Perry Lund</t>
  </si>
  <si>
    <t>Christopher Ritnoppakun</t>
  </si>
  <si>
    <t>Dion LaBlue</t>
  </si>
  <si>
    <t>Matt Taylor</t>
  </si>
  <si>
    <t>Micah Smith</t>
  </si>
  <si>
    <t>Charles Hobbs</t>
  </si>
  <si>
    <t>Seppi Hutter</t>
  </si>
  <si>
    <t>Matthew Kitchell</t>
  </si>
  <si>
    <t>Ryan Parlin</t>
  </si>
  <si>
    <t>Patrick Ball</t>
  </si>
  <si>
    <t>Lucas Brown</t>
  </si>
  <si>
    <t>Pete Markey</t>
  </si>
  <si>
    <t>Joe Van Patten</t>
  </si>
  <si>
    <t>Kevin O'Neil</t>
  </si>
  <si>
    <t>Joseph Wright</t>
  </si>
  <si>
    <t>Brett Andrist</t>
  </si>
  <si>
    <t>Brent Dwyer Love</t>
  </si>
  <si>
    <t>Stephanie Dinescu</t>
  </si>
  <si>
    <t>Jeffrey Seehorn</t>
  </si>
  <si>
    <t>Stacey Andrist</t>
  </si>
  <si>
    <t>Duncan Craick</t>
  </si>
  <si>
    <t>2021 Formula Ultra</t>
  </si>
  <si>
    <t>Points</t>
  </si>
  <si>
    <t>2021 Formula 2</t>
  </si>
  <si>
    <t>2021 Open SS</t>
  </si>
  <si>
    <t>2021 Open SBK</t>
  </si>
  <si>
    <t>21R</t>
  </si>
  <si>
    <t>62R</t>
  </si>
  <si>
    <t>2021 600 SS</t>
  </si>
  <si>
    <t>82R</t>
  </si>
  <si>
    <t>Kinzer Naylor</t>
  </si>
  <si>
    <t>2021 600 SBK</t>
  </si>
  <si>
    <t>2021 MW SS</t>
  </si>
  <si>
    <t>2021 MW SBK</t>
  </si>
  <si>
    <t>2021 LW SS</t>
  </si>
  <si>
    <t>24R</t>
  </si>
  <si>
    <t>2021 LW SBK</t>
  </si>
  <si>
    <t>2021 ULW SS</t>
  </si>
  <si>
    <t>404R</t>
  </si>
  <si>
    <t>Alexander Clarke</t>
  </si>
  <si>
    <t>236R</t>
  </si>
  <si>
    <t>Justin Carr</t>
  </si>
  <si>
    <t>703R</t>
  </si>
  <si>
    <t>Jeff Ceccacci</t>
  </si>
  <si>
    <t>2021 450 SBK</t>
  </si>
  <si>
    <t>2021 Classic SBK</t>
  </si>
  <si>
    <t>2021 250 Ninja Cup</t>
  </si>
  <si>
    <t>2021 160 Vintage</t>
  </si>
  <si>
    <t>Arash Nadershahi M.D.</t>
  </si>
  <si>
    <t>2021 750 Vintage</t>
  </si>
  <si>
    <t>2021 Novice 1000</t>
  </si>
  <si>
    <t>Cory Desouza</t>
  </si>
  <si>
    <t>Jonathan Kirkland</t>
  </si>
  <si>
    <t>Chance Terrell</t>
  </si>
  <si>
    <t>2021 Novice 600</t>
  </si>
  <si>
    <t>Trevor Petersen</t>
  </si>
  <si>
    <t>Logan Oster</t>
  </si>
  <si>
    <t>Chris Eaker</t>
  </si>
  <si>
    <t>Cory Balma</t>
  </si>
  <si>
    <t>John Vento</t>
  </si>
  <si>
    <t>Dawson Hart</t>
  </si>
  <si>
    <t>Drew Lenihan</t>
  </si>
  <si>
    <t>Colin Carrihill</t>
  </si>
  <si>
    <t>Ken Dawson</t>
  </si>
  <si>
    <t>Keith Radcliff</t>
  </si>
  <si>
    <t>Aleksandr Kibis</t>
  </si>
  <si>
    <t>Seppi "T-Rex" Hutter</t>
  </si>
  <si>
    <t>Salman Khan</t>
  </si>
  <si>
    <t>Lou Bragg</t>
  </si>
  <si>
    <t>Robert Prindle</t>
  </si>
  <si>
    <t>Sam Crawford</t>
  </si>
  <si>
    <t>Tyler Brown</t>
  </si>
  <si>
    <t>Kevin O'Neill</t>
  </si>
  <si>
    <t>Hunter Fitch</t>
  </si>
  <si>
    <t>Thomas Arnesen</t>
  </si>
  <si>
    <t>Becky Smith</t>
  </si>
  <si>
    <t>2021 Formula 40</t>
  </si>
  <si>
    <t>2021 Formula Female</t>
  </si>
  <si>
    <t>Emily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</si>
</sst>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0"/>
      <name val="Arial"/>
      <family val="2"/>
    </font>
    <font>
      <sz val="13"/>
      <color theme="1"/>
      <name val="Book Antiqua"/>
    </font>
    <font>
      <sz val="13"/>
      <name val="Book Antiqua"/>
    </font>
    <font>
      <sz val="13"/>
      <color rgb="FF000000"/>
      <name val="Book Antiqu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0" xfId="0" applyFont="1" applyFill="1"/>
    <xf numFmtId="0" fontId="1" fillId="0" borderId="0" xfId="0" applyFont="1" applyFill="1"/>
    <xf numFmtId="0" fontId="2" fillId="0" borderId="8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0" fontId="6" fillId="0" borderId="1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6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2" fillId="0" borderId="21" xfId="0" applyFont="1" applyBorder="1" applyAlignment="1">
      <alignment horizontal="left"/>
    </xf>
    <xf numFmtId="0" fontId="6" fillId="0" borderId="24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2" fillId="0" borderId="25" xfId="0" applyFont="1" applyBorder="1" applyAlignment="1">
      <alignment horizontal="center" wrapText="1"/>
    </xf>
    <xf numFmtId="0" fontId="7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6" fillId="2" borderId="18" xfId="0" applyFont="1" applyFill="1" applyBorder="1" applyAlignment="1">
      <alignment horizontal="center" vertical="center"/>
    </xf>
    <xf numFmtId="0" fontId="2" fillId="0" borderId="21" xfId="0" applyFont="1" applyBorder="1"/>
    <xf numFmtId="14" fontId="1" fillId="0" borderId="0" xfId="0" applyNumberFormat="1" applyFont="1"/>
    <xf numFmtId="0" fontId="6" fillId="0" borderId="2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wrapText="1"/>
    </xf>
    <xf numFmtId="0" fontId="7" fillId="2" borderId="12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1" xfId="0" applyFont="1" applyFill="1" applyBorder="1"/>
    <xf numFmtId="0" fontId="6" fillId="0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/>
    </xf>
    <xf numFmtId="0" fontId="6" fillId="0" borderId="29" xfId="0" applyFont="1" applyBorder="1" applyAlignment="1">
      <alignment horizontal="center" wrapText="1"/>
    </xf>
    <xf numFmtId="0" fontId="7" fillId="0" borderId="30" xfId="0" applyFont="1" applyBorder="1" applyAlignment="1">
      <alignment horizontal="center"/>
    </xf>
    <xf numFmtId="0" fontId="7" fillId="2" borderId="2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31" xfId="0" applyFont="1" applyBorder="1" applyAlignment="1">
      <alignment horizontal="right"/>
    </xf>
    <xf numFmtId="0" fontId="1" fillId="0" borderId="34" xfId="0" applyFont="1" applyBorder="1" applyAlignment="1">
      <alignment horizontal="right"/>
    </xf>
    <xf numFmtId="0" fontId="1" fillId="0" borderId="35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0" borderId="31" xfId="0" applyFont="1" applyBorder="1"/>
    <xf numFmtId="0" fontId="7" fillId="2" borderId="18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15" xfId="0" applyFont="1" applyFill="1" applyBorder="1"/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 vertical="justify" wrapText="1"/>
    </xf>
    <xf numFmtId="0" fontId="2" fillId="0" borderId="31" xfId="0" applyFont="1" applyFill="1" applyBorder="1"/>
    <xf numFmtId="0" fontId="8" fillId="0" borderId="26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</cellXfs>
  <cellStyles count="2">
    <cellStyle name="Normal" xfId="0" builtinId="0"/>
    <cellStyle name="Normal 2" xfId="1" xr:uid="{44F08D4A-9A5E-48C7-8F8B-8FECCE0CD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F948-6651-44D9-8ECD-8443283C1AB8}">
  <sheetPr>
    <tabColor rgb="FF00B050"/>
  </sheetPr>
  <dimension ref="A1:U90"/>
  <sheetViews>
    <sheetView tabSelected="1" zoomScaleNormal="100" workbookViewId="0">
      <pane xSplit="3" ySplit="1" topLeftCell="R2" activePane="bottomRight" state="frozen"/>
      <selection pane="bottomRight" activeCell="U1" sqref="U1"/>
      <selection pane="bottomLeft" activeCell="A2" sqref="A2"/>
      <selection pane="topRight" activeCell="C1" sqref="C1"/>
    </sheetView>
  </sheetViews>
  <sheetFormatPr defaultRowHeight="15.75"/>
  <cols>
    <col min="1" max="1" width="12" style="9" customWidth="1"/>
    <col min="2" max="2" width="6.7109375" style="9" customWidth="1"/>
    <col min="3" max="3" width="31" style="113" bestFit="1" customWidth="1"/>
    <col min="4" max="4" width="11.28515625" style="9" customWidth="1"/>
    <col min="5" max="5" width="11.85546875" style="9" customWidth="1"/>
    <col min="6" max="6" width="8.7109375" style="9" bestFit="1" customWidth="1"/>
    <col min="7" max="7" width="10.28515625" style="9" bestFit="1" customWidth="1"/>
    <col min="8" max="8" width="6.85546875" style="9" bestFit="1" customWidth="1"/>
    <col min="9" max="9" width="8.42578125" style="9" bestFit="1" customWidth="1"/>
    <col min="10" max="10" width="7.7109375" style="9" bestFit="1" customWidth="1"/>
    <col min="11" max="11" width="9.28515625" style="9" bestFit="1" customWidth="1"/>
    <col min="12" max="12" width="8.42578125" style="9" bestFit="1" customWidth="1"/>
    <col min="13" max="13" width="8.5703125" style="9" bestFit="1" customWidth="1"/>
    <col min="14" max="14" width="9.28515625" style="6" bestFit="1" customWidth="1"/>
    <col min="15" max="15" width="8.42578125" style="9" bestFit="1" customWidth="1"/>
    <col min="16" max="16" width="11.42578125" style="9" bestFit="1" customWidth="1"/>
    <col min="17" max="17" width="9.42578125" style="9" bestFit="1" customWidth="1"/>
    <col min="18" max="19" width="11.28515625" style="9" bestFit="1" customWidth="1"/>
    <col min="20" max="20" width="11.28515625" style="13" customWidth="1"/>
    <col min="21" max="21" width="12.85546875" style="6" bestFit="1" customWidth="1"/>
    <col min="22" max="16384" width="9.140625" style="6"/>
  </cols>
  <sheetData>
    <row r="1" spans="1:21" s="4" customFormat="1" ht="31.5">
      <c r="A1" s="2" t="s">
        <v>0</v>
      </c>
      <c r="B1" s="2" t="s">
        <v>1</v>
      </c>
      <c r="C1" s="2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12</v>
      </c>
      <c r="N1" s="103" t="s">
        <v>13</v>
      </c>
      <c r="O1" s="103" t="s">
        <v>14</v>
      </c>
      <c r="P1" s="103" t="s">
        <v>15</v>
      </c>
      <c r="Q1" s="103" t="s">
        <v>16</v>
      </c>
      <c r="R1" s="103" t="s">
        <v>17</v>
      </c>
      <c r="S1" s="140" t="s">
        <v>18</v>
      </c>
      <c r="T1" s="103" t="s">
        <v>19</v>
      </c>
      <c r="U1" s="70">
        <v>44384</v>
      </c>
    </row>
    <row r="2" spans="1:21" s="7" customFormat="1">
      <c r="A2" s="116">
        <v>1</v>
      </c>
      <c r="B2" s="5" t="s">
        <v>20</v>
      </c>
      <c r="C2" s="113" t="s">
        <v>21</v>
      </c>
      <c r="D2" s="106">
        <v>272</v>
      </c>
      <c r="E2" s="107"/>
      <c r="F2" s="106">
        <v>134</v>
      </c>
      <c r="G2" s="107">
        <v>83</v>
      </c>
      <c r="H2" s="106"/>
      <c r="I2" s="108"/>
      <c r="J2" s="108"/>
      <c r="K2" s="109"/>
      <c r="L2" s="109"/>
      <c r="M2" s="109"/>
      <c r="N2" s="98"/>
      <c r="O2" s="109"/>
      <c r="P2" s="109"/>
      <c r="Q2" s="109"/>
      <c r="R2" s="109"/>
      <c r="S2" s="112"/>
      <c r="T2" s="99">
        <f>272+134</f>
        <v>406</v>
      </c>
      <c r="U2" s="6"/>
    </row>
    <row r="3" spans="1:21">
      <c r="A3" s="116">
        <f>A2+1</f>
        <v>2</v>
      </c>
      <c r="B3" s="5">
        <v>1</v>
      </c>
      <c r="C3" s="113" t="s">
        <v>22</v>
      </c>
      <c r="D3" s="106">
        <v>161</v>
      </c>
      <c r="E3" s="107">
        <v>158</v>
      </c>
      <c r="F3" s="106"/>
      <c r="G3" s="108"/>
      <c r="H3" s="107">
        <v>168</v>
      </c>
      <c r="I3" s="107">
        <v>114</v>
      </c>
      <c r="J3" s="107"/>
      <c r="K3" s="107"/>
      <c r="L3" s="107"/>
      <c r="M3" s="107"/>
      <c r="N3" s="138"/>
      <c r="O3" s="107"/>
      <c r="P3" s="107"/>
      <c r="Q3" s="107"/>
      <c r="R3" s="107"/>
      <c r="S3" s="137"/>
      <c r="T3" s="100">
        <f>168+161</f>
        <v>329</v>
      </c>
    </row>
    <row r="4" spans="1:21">
      <c r="A4" s="116">
        <f>A3+1</f>
        <v>3</v>
      </c>
      <c r="B4" s="9" t="s">
        <v>23</v>
      </c>
      <c r="C4" s="113" t="s">
        <v>24</v>
      </c>
      <c r="D4" s="108">
        <v>204</v>
      </c>
      <c r="E4" s="107"/>
      <c r="F4" s="108">
        <v>102</v>
      </c>
      <c r="G4" s="108">
        <v>104</v>
      </c>
      <c r="H4" s="107"/>
      <c r="I4" s="107"/>
      <c r="J4" s="107"/>
      <c r="K4" s="107"/>
      <c r="L4" s="107"/>
      <c r="M4" s="107"/>
      <c r="N4" s="98"/>
      <c r="O4" s="107"/>
      <c r="P4" s="107"/>
      <c r="Q4" s="107"/>
      <c r="R4" s="107"/>
      <c r="S4" s="137"/>
      <c r="T4" s="100">
        <f>104+204</f>
        <v>308</v>
      </c>
    </row>
    <row r="5" spans="1:21">
      <c r="A5" s="116">
        <f>A4+1</f>
        <v>4</v>
      </c>
      <c r="B5" s="5">
        <v>2</v>
      </c>
      <c r="C5" s="113" t="s">
        <v>25</v>
      </c>
      <c r="D5" s="106">
        <v>178</v>
      </c>
      <c r="E5" s="107">
        <v>55</v>
      </c>
      <c r="F5" s="106">
        <f>32+9</f>
        <v>41</v>
      </c>
      <c r="G5" s="108">
        <v>81</v>
      </c>
      <c r="H5" s="108">
        <v>130</v>
      </c>
      <c r="I5" s="108">
        <v>126</v>
      </c>
      <c r="J5" s="108"/>
      <c r="K5" s="108"/>
      <c r="L5" s="108"/>
      <c r="M5" s="108"/>
      <c r="N5" s="98"/>
      <c r="O5" s="108"/>
      <c r="P5" s="108"/>
      <c r="Q5" s="108"/>
      <c r="R5" s="108"/>
      <c r="S5" s="111"/>
      <c r="T5" s="100">
        <f>178+130</f>
        <v>308</v>
      </c>
    </row>
    <row r="6" spans="1:21">
      <c r="A6" s="116">
        <f>A5+1</f>
        <v>5</v>
      </c>
      <c r="B6" s="5">
        <v>4</v>
      </c>
      <c r="C6" s="113" t="s">
        <v>26</v>
      </c>
      <c r="D6" s="106">
        <v>117</v>
      </c>
      <c r="E6" s="107">
        <v>84</v>
      </c>
      <c r="F6" s="106">
        <v>91</v>
      </c>
      <c r="G6" s="107">
        <v>84</v>
      </c>
      <c r="H6" s="106">
        <v>108</v>
      </c>
      <c r="I6" s="108">
        <v>82</v>
      </c>
      <c r="J6" s="108"/>
      <c r="K6" s="109"/>
      <c r="L6" s="109"/>
      <c r="M6" s="109"/>
      <c r="N6" s="98"/>
      <c r="O6" s="109"/>
      <c r="P6" s="109"/>
      <c r="Q6" s="109"/>
      <c r="R6" s="109"/>
      <c r="S6" s="112"/>
      <c r="T6" s="100">
        <f>117+108</f>
        <v>225</v>
      </c>
    </row>
    <row r="7" spans="1:21">
      <c r="A7" s="116">
        <f>A6+1</f>
        <v>6</v>
      </c>
      <c r="B7" s="5">
        <v>73</v>
      </c>
      <c r="C7" s="113" t="s">
        <v>27</v>
      </c>
      <c r="D7" s="106">
        <v>61</v>
      </c>
      <c r="E7" s="107">
        <v>110</v>
      </c>
      <c r="F7" s="107"/>
      <c r="G7" s="107"/>
      <c r="H7" s="107"/>
      <c r="I7" s="108">
        <v>99</v>
      </c>
      <c r="J7" s="108"/>
      <c r="K7" s="108"/>
      <c r="L7" s="108"/>
      <c r="M7" s="108"/>
      <c r="N7" s="98"/>
      <c r="O7" s="108"/>
      <c r="P7" s="108"/>
      <c r="Q7" s="108"/>
      <c r="R7" s="108"/>
      <c r="S7" s="111"/>
      <c r="T7" s="100">
        <f>110+99</f>
        <v>209</v>
      </c>
    </row>
    <row r="8" spans="1:21">
      <c r="A8" s="116">
        <f>A7+1</f>
        <v>7</v>
      </c>
      <c r="B8" s="5" t="s">
        <v>28</v>
      </c>
      <c r="C8" s="11" t="s">
        <v>29</v>
      </c>
      <c r="D8" s="106"/>
      <c r="E8" s="107"/>
      <c r="F8" s="107"/>
      <c r="G8" s="108"/>
      <c r="H8" s="108"/>
      <c r="I8" s="107"/>
      <c r="J8" s="107">
        <v>30</v>
      </c>
      <c r="K8" s="108">
        <f>39+10</f>
        <v>49</v>
      </c>
      <c r="L8" s="108">
        <v>83.5</v>
      </c>
      <c r="M8" s="109">
        <v>89.5</v>
      </c>
      <c r="N8" s="98"/>
      <c r="O8" s="108">
        <v>13</v>
      </c>
      <c r="P8" s="109"/>
      <c r="Q8" s="109"/>
      <c r="R8" s="107"/>
      <c r="S8" s="112"/>
      <c r="T8" s="100">
        <f>89.5+83.5</f>
        <v>173</v>
      </c>
    </row>
    <row r="9" spans="1:21">
      <c r="A9" s="116">
        <f>A8+1</f>
        <v>8</v>
      </c>
      <c r="B9" s="12">
        <v>204</v>
      </c>
      <c r="C9" s="114" t="s">
        <v>30</v>
      </c>
      <c r="D9" s="139"/>
      <c r="E9" s="139"/>
      <c r="F9" s="139"/>
      <c r="G9" s="139"/>
      <c r="H9" s="139"/>
      <c r="I9" s="139"/>
      <c r="J9" s="109">
        <v>84</v>
      </c>
      <c r="K9" s="106">
        <v>58</v>
      </c>
      <c r="L9" s="106">
        <v>87</v>
      </c>
      <c r="M9" s="106">
        <v>67</v>
      </c>
      <c r="N9" s="98"/>
      <c r="O9" s="106"/>
      <c r="P9" s="139"/>
      <c r="Q9" s="106"/>
      <c r="R9" s="106"/>
      <c r="S9" s="110"/>
      <c r="T9" s="100">
        <f>87+84</f>
        <v>171</v>
      </c>
    </row>
    <row r="10" spans="1:21">
      <c r="A10" s="116">
        <f>A9+1</f>
        <v>9</v>
      </c>
      <c r="B10" s="5">
        <v>29</v>
      </c>
      <c r="C10" s="113" t="s">
        <v>31</v>
      </c>
      <c r="D10" s="106">
        <v>112</v>
      </c>
      <c r="E10" s="107">
        <v>48</v>
      </c>
      <c r="F10" s="107"/>
      <c r="G10" s="107">
        <v>35</v>
      </c>
      <c r="H10" s="107"/>
      <c r="I10" s="107">
        <v>50</v>
      </c>
      <c r="J10" s="107"/>
      <c r="K10" s="106"/>
      <c r="L10" s="106"/>
      <c r="M10" s="106"/>
      <c r="N10" s="98"/>
      <c r="O10" s="106"/>
      <c r="P10" s="107"/>
      <c r="Q10" s="106"/>
      <c r="R10" s="106"/>
      <c r="S10" s="110"/>
      <c r="T10" s="100">
        <f>112+50</f>
        <v>162</v>
      </c>
    </row>
    <row r="11" spans="1:21">
      <c r="A11" s="116">
        <f>A10+1</f>
        <v>10</v>
      </c>
      <c r="B11" s="5" t="s">
        <v>32</v>
      </c>
      <c r="C11" s="113" t="s">
        <v>33</v>
      </c>
      <c r="D11" s="106"/>
      <c r="E11" s="107"/>
      <c r="F11" s="107"/>
      <c r="G11" s="108"/>
      <c r="H11" s="108"/>
      <c r="I11" s="107"/>
      <c r="J11" s="107"/>
      <c r="K11" s="108">
        <v>90</v>
      </c>
      <c r="L11" s="108"/>
      <c r="M11" s="109"/>
      <c r="N11" s="98"/>
      <c r="O11" s="108">
        <v>69</v>
      </c>
      <c r="P11" s="109"/>
      <c r="Q11" s="109"/>
      <c r="R11" s="107"/>
      <c r="S11" s="112"/>
      <c r="T11" s="100">
        <f>69+90</f>
        <v>159</v>
      </c>
    </row>
    <row r="12" spans="1:21">
      <c r="A12" s="116">
        <f>A11+1</f>
        <v>11</v>
      </c>
      <c r="B12" s="5">
        <v>84</v>
      </c>
      <c r="C12" s="113" t="s">
        <v>34</v>
      </c>
      <c r="D12" s="107"/>
      <c r="E12" s="107">
        <v>66</v>
      </c>
      <c r="F12" s="107"/>
      <c r="G12" s="107"/>
      <c r="H12" s="106">
        <v>77</v>
      </c>
      <c r="I12" s="108">
        <v>82</v>
      </c>
      <c r="J12" s="108"/>
      <c r="K12" s="108"/>
      <c r="L12" s="108"/>
      <c r="M12" s="108"/>
      <c r="N12" s="98"/>
      <c r="O12" s="108"/>
      <c r="P12" s="108"/>
      <c r="Q12" s="108"/>
      <c r="R12" s="108"/>
      <c r="S12" s="111"/>
      <c r="T12" s="100">
        <f>82+77</f>
        <v>159</v>
      </c>
    </row>
    <row r="13" spans="1:21">
      <c r="A13" s="116">
        <f>A12+1</f>
        <v>12</v>
      </c>
      <c r="B13" s="5">
        <v>38</v>
      </c>
      <c r="C13" s="113" t="s">
        <v>35</v>
      </c>
      <c r="D13" s="106">
        <v>94</v>
      </c>
      <c r="E13" s="107"/>
      <c r="F13" s="106">
        <v>48</v>
      </c>
      <c r="G13" s="108">
        <v>43</v>
      </c>
      <c r="H13" s="107"/>
      <c r="I13" s="107"/>
      <c r="J13" s="107"/>
      <c r="K13" s="107"/>
      <c r="L13" s="107"/>
      <c r="M13" s="107"/>
      <c r="N13" s="98"/>
      <c r="O13" s="107"/>
      <c r="P13" s="107"/>
      <c r="Q13" s="107"/>
      <c r="R13" s="107"/>
      <c r="S13" s="137"/>
      <c r="T13" s="100">
        <f>94+48</f>
        <v>142</v>
      </c>
    </row>
    <row r="14" spans="1:21">
      <c r="A14" s="116">
        <f>A13+1</f>
        <v>13</v>
      </c>
      <c r="B14" s="5">
        <v>78</v>
      </c>
      <c r="C14" s="113" t="s">
        <v>36</v>
      </c>
      <c r="D14" s="106">
        <v>9</v>
      </c>
      <c r="E14" s="107">
        <v>23</v>
      </c>
      <c r="F14" s="106"/>
      <c r="G14" s="108"/>
      <c r="H14" s="106">
        <v>90</v>
      </c>
      <c r="I14" s="108">
        <v>49</v>
      </c>
      <c r="J14" s="108"/>
      <c r="K14" s="108"/>
      <c r="L14" s="108"/>
      <c r="M14" s="108"/>
      <c r="N14" s="98"/>
      <c r="O14" s="108"/>
      <c r="P14" s="108"/>
      <c r="Q14" s="108"/>
      <c r="R14" s="108"/>
      <c r="S14" s="111"/>
      <c r="T14" s="100">
        <f>90+49</f>
        <v>139</v>
      </c>
    </row>
    <row r="15" spans="1:21">
      <c r="A15" s="116">
        <f>A14+1</f>
        <v>14</v>
      </c>
      <c r="B15" s="5">
        <v>107</v>
      </c>
      <c r="C15" s="113" t="s">
        <v>37</v>
      </c>
      <c r="D15" s="107"/>
      <c r="E15" s="107"/>
      <c r="F15" s="107"/>
      <c r="G15" s="107"/>
      <c r="H15" s="107"/>
      <c r="I15" s="108"/>
      <c r="J15" s="108"/>
      <c r="K15" s="108"/>
      <c r="L15" s="108">
        <v>48</v>
      </c>
      <c r="M15" s="108"/>
      <c r="N15" s="98">
        <v>86</v>
      </c>
      <c r="O15" s="108"/>
      <c r="P15" s="108"/>
      <c r="Q15" s="108"/>
      <c r="R15" s="108"/>
      <c r="S15" s="111"/>
      <c r="T15" s="100">
        <f>86+48</f>
        <v>134</v>
      </c>
    </row>
    <row r="16" spans="1:21">
      <c r="A16" s="116">
        <f>A15+1</f>
        <v>15</v>
      </c>
      <c r="B16" s="8">
        <v>284</v>
      </c>
      <c r="C16" s="114" t="s">
        <v>38</v>
      </c>
      <c r="D16" s="106">
        <v>55</v>
      </c>
      <c r="E16" s="107">
        <v>72</v>
      </c>
      <c r="F16" s="106">
        <v>41</v>
      </c>
      <c r="G16" s="106">
        <v>13</v>
      </c>
      <c r="H16" s="107">
        <v>50</v>
      </c>
      <c r="I16" s="107">
        <v>2</v>
      </c>
      <c r="J16" s="107"/>
      <c r="K16" s="107"/>
      <c r="L16" s="107"/>
      <c r="M16" s="107"/>
      <c r="N16" s="98"/>
      <c r="O16" s="107"/>
      <c r="P16" s="107"/>
      <c r="Q16" s="107"/>
      <c r="R16" s="107"/>
      <c r="S16" s="137"/>
      <c r="T16" s="100">
        <f>72+55</f>
        <v>127</v>
      </c>
    </row>
    <row r="17" spans="1:21">
      <c r="A17" s="116">
        <f>A16+1</f>
        <v>16</v>
      </c>
      <c r="B17" s="5">
        <v>23</v>
      </c>
      <c r="C17" s="113" t="s">
        <v>39</v>
      </c>
      <c r="D17" s="106"/>
      <c r="E17" s="107"/>
      <c r="F17" s="106"/>
      <c r="G17" s="108"/>
      <c r="H17" s="107"/>
      <c r="I17" s="107"/>
      <c r="J17" s="107"/>
      <c r="K17" s="107"/>
      <c r="L17" s="107"/>
      <c r="M17" s="107"/>
      <c r="N17" s="98"/>
      <c r="O17" s="107"/>
      <c r="P17" s="107"/>
      <c r="Q17" s="108">
        <v>113</v>
      </c>
      <c r="R17" s="107"/>
      <c r="S17" s="137"/>
      <c r="T17" s="100">
        <f>113</f>
        <v>113</v>
      </c>
    </row>
    <row r="18" spans="1:21">
      <c r="A18" s="116">
        <f>A17+1</f>
        <v>17</v>
      </c>
      <c r="B18" s="5">
        <v>17</v>
      </c>
      <c r="C18" s="114" t="s">
        <v>40</v>
      </c>
      <c r="D18" s="106"/>
      <c r="E18" s="107"/>
      <c r="F18" s="107"/>
      <c r="G18" s="107"/>
      <c r="H18" s="107"/>
      <c r="I18" s="107"/>
      <c r="J18" s="107"/>
      <c r="K18" s="109"/>
      <c r="L18" s="108">
        <v>27.5</v>
      </c>
      <c r="M18" s="109"/>
      <c r="N18" s="98">
        <v>85.5</v>
      </c>
      <c r="O18" s="109"/>
      <c r="P18" s="109"/>
      <c r="Q18" s="109"/>
      <c r="R18" s="109"/>
      <c r="S18" s="112"/>
      <c r="T18" s="100">
        <f>85.5+27.5</f>
        <v>113</v>
      </c>
    </row>
    <row r="19" spans="1:21">
      <c r="A19" s="116">
        <f>A18+1</f>
        <v>18</v>
      </c>
      <c r="B19" s="8">
        <v>32</v>
      </c>
      <c r="C19" s="114" t="s">
        <v>41</v>
      </c>
      <c r="D19" s="106"/>
      <c r="E19" s="107">
        <v>17</v>
      </c>
      <c r="F19" s="106"/>
      <c r="G19" s="108"/>
      <c r="H19" s="107">
        <v>75</v>
      </c>
      <c r="I19" s="107"/>
      <c r="J19" s="107"/>
      <c r="K19" s="108"/>
      <c r="L19" s="109"/>
      <c r="M19" s="109"/>
      <c r="N19" s="98"/>
      <c r="O19" s="107"/>
      <c r="P19" s="109">
        <v>36</v>
      </c>
      <c r="Q19" s="109"/>
      <c r="R19" s="107"/>
      <c r="S19" s="112"/>
      <c r="T19" s="100">
        <f>75+36</f>
        <v>111</v>
      </c>
    </row>
    <row r="20" spans="1:21">
      <c r="A20" s="116">
        <f>A19+1</f>
        <v>19</v>
      </c>
      <c r="B20" s="5">
        <v>343</v>
      </c>
      <c r="C20" s="113" t="s">
        <v>42</v>
      </c>
      <c r="D20" s="107"/>
      <c r="E20" s="107">
        <v>29</v>
      </c>
      <c r="F20" s="107"/>
      <c r="G20" s="107">
        <v>5</v>
      </c>
      <c r="H20" s="106">
        <v>41</v>
      </c>
      <c r="I20" s="106">
        <v>30</v>
      </c>
      <c r="J20" s="106"/>
      <c r="K20" s="109"/>
      <c r="L20" s="109"/>
      <c r="M20" s="109"/>
      <c r="N20" s="98"/>
      <c r="O20" s="109"/>
      <c r="P20" s="109">
        <v>69</v>
      </c>
      <c r="Q20" s="109"/>
      <c r="R20" s="109"/>
      <c r="S20" s="112"/>
      <c r="T20" s="100">
        <f>69+41</f>
        <v>110</v>
      </c>
    </row>
    <row r="21" spans="1:21">
      <c r="A21" s="116">
        <f>A20+1</f>
        <v>20</v>
      </c>
      <c r="B21" s="5">
        <v>813</v>
      </c>
      <c r="C21" s="11" t="s">
        <v>43</v>
      </c>
      <c r="D21" s="106"/>
      <c r="E21" s="107"/>
      <c r="F21" s="107"/>
      <c r="G21" s="108"/>
      <c r="H21" s="108"/>
      <c r="I21" s="107"/>
      <c r="J21" s="107">
        <v>108</v>
      </c>
      <c r="K21" s="108"/>
      <c r="L21" s="108"/>
      <c r="M21" s="109"/>
      <c r="N21" s="98"/>
      <c r="O21" s="108"/>
      <c r="P21" s="109"/>
      <c r="Q21" s="109"/>
      <c r="R21" s="107"/>
      <c r="S21" s="112"/>
      <c r="T21" s="100">
        <f>108</f>
        <v>108</v>
      </c>
    </row>
    <row r="22" spans="1:21">
      <c r="A22" s="116">
        <f>A21+1</f>
        <v>21</v>
      </c>
      <c r="B22" s="5">
        <v>66</v>
      </c>
      <c r="C22" s="113" t="s">
        <v>44</v>
      </c>
      <c r="D22" s="107"/>
      <c r="E22" s="107">
        <v>28</v>
      </c>
      <c r="F22" s="107"/>
      <c r="G22" s="106">
        <v>7</v>
      </c>
      <c r="H22" s="107"/>
      <c r="I22" s="107">
        <v>33</v>
      </c>
      <c r="J22" s="107"/>
      <c r="K22" s="107"/>
      <c r="L22" s="107"/>
      <c r="M22" s="107"/>
      <c r="N22" s="98"/>
      <c r="O22" s="107"/>
      <c r="P22" s="107">
        <v>75</v>
      </c>
      <c r="Q22" s="107"/>
      <c r="R22" s="107"/>
      <c r="S22" s="137"/>
      <c r="T22" s="100">
        <f>75+33</f>
        <v>108</v>
      </c>
    </row>
    <row r="23" spans="1:21">
      <c r="A23" s="116">
        <f>A22+1</f>
        <v>22</v>
      </c>
      <c r="B23" s="9">
        <v>31</v>
      </c>
      <c r="C23" s="113" t="s">
        <v>45</v>
      </c>
      <c r="D23" s="107"/>
      <c r="E23" s="107">
        <f>17</f>
        <v>17</v>
      </c>
      <c r="F23" s="107"/>
      <c r="G23" s="107"/>
      <c r="H23" s="107">
        <v>20</v>
      </c>
      <c r="I23" s="108"/>
      <c r="J23" s="108"/>
      <c r="K23" s="106"/>
      <c r="L23" s="106">
        <v>81</v>
      </c>
      <c r="M23" s="106">
        <f>18</f>
        <v>18</v>
      </c>
      <c r="N23" s="98"/>
      <c r="O23" s="106"/>
      <c r="P23" s="108"/>
      <c r="Q23" s="106"/>
      <c r="R23" s="106"/>
      <c r="S23" s="110"/>
      <c r="T23" s="100">
        <f>81+20</f>
        <v>101</v>
      </c>
    </row>
    <row r="24" spans="1:21">
      <c r="A24" s="116">
        <f>A23+1</f>
        <v>23</v>
      </c>
      <c r="B24" s="5">
        <v>6</v>
      </c>
      <c r="C24" s="113" t="s">
        <v>46</v>
      </c>
      <c r="D24" s="107"/>
      <c r="E24" s="107">
        <v>46</v>
      </c>
      <c r="F24" s="107"/>
      <c r="G24" s="107"/>
      <c r="H24" s="108">
        <v>54</v>
      </c>
      <c r="I24" s="108">
        <v>36</v>
      </c>
      <c r="J24" s="108"/>
      <c r="K24" s="108"/>
      <c r="L24" s="108"/>
      <c r="M24" s="108"/>
      <c r="N24" s="98"/>
      <c r="O24" s="108"/>
      <c r="P24" s="108"/>
      <c r="Q24" s="108"/>
      <c r="R24" s="108"/>
      <c r="S24" s="111"/>
      <c r="T24" s="100">
        <f>54+46</f>
        <v>100</v>
      </c>
    </row>
    <row r="25" spans="1:21">
      <c r="A25" s="116">
        <f>A24+1</f>
        <v>24</v>
      </c>
      <c r="B25" s="5">
        <v>77</v>
      </c>
      <c r="C25" s="113" t="s">
        <v>47</v>
      </c>
      <c r="D25" s="106"/>
      <c r="E25" s="107">
        <f>42</f>
        <v>42</v>
      </c>
      <c r="F25" s="106"/>
      <c r="G25" s="107"/>
      <c r="H25" s="106"/>
      <c r="I25" s="108"/>
      <c r="J25" s="109"/>
      <c r="K25" s="108"/>
      <c r="L25" s="108"/>
      <c r="M25" s="108"/>
      <c r="N25" s="98"/>
      <c r="O25" s="108">
        <f>53</f>
        <v>53</v>
      </c>
      <c r="P25" s="108"/>
      <c r="Q25" s="108"/>
      <c r="R25" s="107"/>
      <c r="S25" s="111"/>
      <c r="T25" s="100">
        <f>53+42</f>
        <v>95</v>
      </c>
    </row>
    <row r="26" spans="1:21">
      <c r="A26" s="116">
        <f>A25+1</f>
        <v>25</v>
      </c>
      <c r="B26" s="5">
        <v>82</v>
      </c>
      <c r="C26" s="113" t="s">
        <v>48</v>
      </c>
      <c r="D26" s="106">
        <v>54</v>
      </c>
      <c r="E26" s="107"/>
      <c r="F26" s="106">
        <v>39</v>
      </c>
      <c r="G26" s="108">
        <v>23</v>
      </c>
      <c r="H26" s="107"/>
      <c r="I26" s="107"/>
      <c r="J26" s="107"/>
      <c r="K26" s="107"/>
      <c r="L26" s="107"/>
      <c r="M26" s="107"/>
      <c r="N26" s="98"/>
      <c r="O26" s="107"/>
      <c r="P26" s="107"/>
      <c r="Q26" s="107"/>
      <c r="R26" s="107"/>
      <c r="S26" s="137"/>
      <c r="T26" s="100">
        <f>54+39</f>
        <v>93</v>
      </c>
    </row>
    <row r="27" spans="1:21">
      <c r="A27" s="116">
        <f>A26+1</f>
        <v>26</v>
      </c>
      <c r="B27" s="8">
        <v>46</v>
      </c>
      <c r="C27" s="113" t="s">
        <v>49</v>
      </c>
      <c r="D27" s="107"/>
      <c r="E27" s="107"/>
      <c r="F27" s="106"/>
      <c r="G27" s="108"/>
      <c r="H27" s="107"/>
      <c r="I27" s="107"/>
      <c r="J27" s="107"/>
      <c r="K27" s="107"/>
      <c r="L27" s="107">
        <f>15</f>
        <v>15</v>
      </c>
      <c r="M27" s="107">
        <f>12.5</f>
        <v>12.5</v>
      </c>
      <c r="N27" s="98"/>
      <c r="O27" s="107"/>
      <c r="P27" s="107"/>
      <c r="Q27" s="108">
        <v>76</v>
      </c>
      <c r="R27" s="107"/>
      <c r="S27" s="137"/>
      <c r="T27" s="100">
        <f>76+15</f>
        <v>91</v>
      </c>
    </row>
    <row r="28" spans="1:21">
      <c r="A28" s="116">
        <f>A27+1</f>
        <v>27</v>
      </c>
      <c r="B28" s="5">
        <v>93</v>
      </c>
      <c r="C28" s="10" t="s">
        <v>50</v>
      </c>
      <c r="D28" s="107"/>
      <c r="E28" s="107"/>
      <c r="F28" s="107"/>
      <c r="G28" s="107"/>
      <c r="H28" s="107"/>
      <c r="I28" s="108"/>
      <c r="J28" s="108"/>
      <c r="K28" s="106"/>
      <c r="L28" s="106">
        <v>53</v>
      </c>
      <c r="M28" s="106">
        <v>37</v>
      </c>
      <c r="N28" s="98"/>
      <c r="O28" s="106"/>
      <c r="P28" s="109"/>
      <c r="Q28" s="106"/>
      <c r="R28" s="106"/>
      <c r="S28" s="110"/>
      <c r="T28" s="100">
        <f>53+37</f>
        <v>90</v>
      </c>
    </row>
    <row r="29" spans="1:21">
      <c r="A29" s="116">
        <f>A28+1</f>
        <v>28</v>
      </c>
      <c r="B29" s="5">
        <v>230</v>
      </c>
      <c r="C29" s="11" t="s">
        <v>51</v>
      </c>
      <c r="D29" s="106"/>
      <c r="E29" s="107"/>
      <c r="F29" s="106"/>
      <c r="G29" s="107"/>
      <c r="H29" s="106"/>
      <c r="I29" s="108"/>
      <c r="J29" s="108">
        <v>27</v>
      </c>
      <c r="K29" s="109"/>
      <c r="L29" s="109"/>
      <c r="M29" s="109"/>
      <c r="N29" s="98"/>
      <c r="O29" s="109"/>
      <c r="P29" s="109"/>
      <c r="Q29" s="109"/>
      <c r="R29" s="106"/>
      <c r="S29" s="112">
        <v>57.5</v>
      </c>
      <c r="T29" s="100">
        <f>27+57.5</f>
        <v>84.5</v>
      </c>
      <c r="U29" s="7"/>
    </row>
    <row r="30" spans="1:21">
      <c r="A30" s="116">
        <f>A29+1</f>
        <v>29</v>
      </c>
      <c r="B30" s="5">
        <v>272</v>
      </c>
      <c r="C30" s="113" t="s">
        <v>52</v>
      </c>
      <c r="D30" s="107"/>
      <c r="E30" s="107"/>
      <c r="F30" s="107"/>
      <c r="G30" s="107"/>
      <c r="H30" s="106"/>
      <c r="I30" s="108"/>
      <c r="J30" s="108"/>
      <c r="K30" s="108"/>
      <c r="L30" s="108"/>
      <c r="M30" s="108"/>
      <c r="N30" s="98"/>
      <c r="O30" s="108"/>
      <c r="P30" s="108"/>
      <c r="Q30" s="108">
        <v>83</v>
      </c>
      <c r="R30" s="108"/>
      <c r="S30" s="111"/>
      <c r="T30" s="100">
        <f>83</f>
        <v>83</v>
      </c>
    </row>
    <row r="31" spans="1:21">
      <c r="A31" s="116">
        <f>A30+1</f>
        <v>30</v>
      </c>
      <c r="B31" s="5">
        <v>97</v>
      </c>
      <c r="C31" s="113" t="s">
        <v>53</v>
      </c>
      <c r="D31" s="106">
        <v>17</v>
      </c>
      <c r="E31" s="107"/>
      <c r="F31" s="107"/>
      <c r="G31" s="108"/>
      <c r="H31" s="106">
        <v>54</v>
      </c>
      <c r="I31" s="108">
        <v>29</v>
      </c>
      <c r="J31" s="108"/>
      <c r="K31" s="108"/>
      <c r="L31" s="108"/>
      <c r="M31" s="108"/>
      <c r="N31" s="98"/>
      <c r="O31" s="108"/>
      <c r="P31" s="108"/>
      <c r="Q31" s="108"/>
      <c r="R31" s="108"/>
      <c r="S31" s="111"/>
      <c r="T31" s="100">
        <f>54+29</f>
        <v>83</v>
      </c>
    </row>
    <row r="32" spans="1:21">
      <c r="A32" s="116">
        <f>A31+1</f>
        <v>31</v>
      </c>
      <c r="B32" s="5">
        <v>351</v>
      </c>
      <c r="C32" s="11" t="s">
        <v>54</v>
      </c>
      <c r="D32" s="106"/>
      <c r="E32" s="107">
        <v>13</v>
      </c>
      <c r="F32" s="107"/>
      <c r="G32" s="108"/>
      <c r="H32" s="108">
        <v>35</v>
      </c>
      <c r="I32" s="107">
        <v>42</v>
      </c>
      <c r="J32" s="107"/>
      <c r="K32" s="108"/>
      <c r="L32" s="108"/>
      <c r="M32" s="109"/>
      <c r="N32" s="98"/>
      <c r="O32" s="108"/>
      <c r="P32" s="109"/>
      <c r="Q32" s="109"/>
      <c r="R32" s="107"/>
      <c r="S32" s="112"/>
      <c r="T32" s="100">
        <f>42+35</f>
        <v>77</v>
      </c>
    </row>
    <row r="33" spans="1:20">
      <c r="A33" s="116">
        <f>A32+1</f>
        <v>32</v>
      </c>
      <c r="B33" s="5">
        <v>121</v>
      </c>
      <c r="C33" s="113" t="s">
        <v>55</v>
      </c>
      <c r="D33" s="106">
        <v>49</v>
      </c>
      <c r="E33" s="107"/>
      <c r="F33" s="106">
        <f>17</f>
        <v>17</v>
      </c>
      <c r="G33" s="108">
        <f>27</f>
        <v>27</v>
      </c>
      <c r="H33" s="107"/>
      <c r="I33" s="107"/>
      <c r="J33" s="107"/>
      <c r="K33" s="107"/>
      <c r="L33" s="107"/>
      <c r="M33" s="107"/>
      <c r="N33" s="98"/>
      <c r="O33" s="107"/>
      <c r="P33" s="107"/>
      <c r="Q33" s="107"/>
      <c r="R33" s="107"/>
      <c r="S33" s="137"/>
      <c r="T33" s="100">
        <f>49+27</f>
        <v>76</v>
      </c>
    </row>
    <row r="34" spans="1:20">
      <c r="A34" s="116">
        <f>A33+1</f>
        <v>33</v>
      </c>
      <c r="B34" s="5">
        <v>769</v>
      </c>
      <c r="C34" s="11" t="s">
        <v>56</v>
      </c>
      <c r="D34" s="106"/>
      <c r="E34" s="107"/>
      <c r="F34" s="107"/>
      <c r="G34" s="108"/>
      <c r="H34" s="108"/>
      <c r="I34" s="107"/>
      <c r="J34" s="107"/>
      <c r="K34" s="108"/>
      <c r="L34" s="108">
        <v>24.5</v>
      </c>
      <c r="M34" s="109"/>
      <c r="N34" s="98">
        <v>50.5</v>
      </c>
      <c r="O34" s="108"/>
      <c r="P34" s="109"/>
      <c r="Q34" s="109"/>
      <c r="R34" s="107"/>
      <c r="S34" s="112"/>
      <c r="T34" s="100">
        <f>24.5+50.5</f>
        <v>75</v>
      </c>
    </row>
    <row r="35" spans="1:20">
      <c r="A35" s="116">
        <f>A34+1</f>
        <v>34</v>
      </c>
      <c r="B35" s="9">
        <v>92</v>
      </c>
      <c r="C35" s="114" t="s">
        <v>57</v>
      </c>
      <c r="D35" s="107"/>
      <c r="E35" s="106">
        <v>24</v>
      </c>
      <c r="F35" s="107"/>
      <c r="G35" s="107"/>
      <c r="H35" s="106">
        <v>40</v>
      </c>
      <c r="I35" s="106">
        <v>35</v>
      </c>
      <c r="J35" s="106"/>
      <c r="K35" s="109"/>
      <c r="L35" s="109"/>
      <c r="M35" s="109"/>
      <c r="N35" s="98"/>
      <c r="O35" s="109"/>
      <c r="P35" s="109"/>
      <c r="Q35" s="109"/>
      <c r="R35" s="109"/>
      <c r="S35" s="112"/>
      <c r="T35" s="100">
        <f>40+35</f>
        <v>75</v>
      </c>
    </row>
    <row r="36" spans="1:20" ht="17.25">
      <c r="A36" s="116">
        <f>A35+1</f>
        <v>35</v>
      </c>
      <c r="B36" s="105">
        <v>90</v>
      </c>
      <c r="C36" s="104" t="s">
        <v>58</v>
      </c>
      <c r="D36" s="97"/>
      <c r="E36" s="97">
        <v>37</v>
      </c>
      <c r="F36" s="97"/>
      <c r="G36" s="97"/>
      <c r="H36" s="97">
        <v>28</v>
      </c>
      <c r="I36" s="97">
        <v>33</v>
      </c>
      <c r="J36" s="97"/>
      <c r="K36" s="97"/>
      <c r="L36" s="97"/>
      <c r="M36" s="97"/>
      <c r="N36" s="98"/>
      <c r="O36" s="97"/>
      <c r="P36" s="97"/>
      <c r="Q36" s="97"/>
      <c r="R36" s="97"/>
      <c r="S36" s="102"/>
      <c r="T36" s="100">
        <f>37+33</f>
        <v>70</v>
      </c>
    </row>
    <row r="37" spans="1:20">
      <c r="A37" s="116">
        <f>A36+1</f>
        <v>36</v>
      </c>
      <c r="B37" s="9">
        <v>126</v>
      </c>
      <c r="C37" s="113" t="s">
        <v>59</v>
      </c>
      <c r="D37" s="107"/>
      <c r="E37" s="107">
        <v>49</v>
      </c>
      <c r="F37" s="107"/>
      <c r="G37" s="107"/>
      <c r="H37" s="106">
        <f>1+19</f>
        <v>20</v>
      </c>
      <c r="I37" s="106">
        <f>1+13</f>
        <v>14</v>
      </c>
      <c r="J37" s="106"/>
      <c r="K37" s="109"/>
      <c r="L37" s="109"/>
      <c r="M37" s="109"/>
      <c r="N37" s="98"/>
      <c r="O37" s="109"/>
      <c r="P37" s="109"/>
      <c r="Q37" s="109"/>
      <c r="R37" s="109"/>
      <c r="S37" s="112"/>
      <c r="T37" s="100">
        <f>49+20</f>
        <v>69</v>
      </c>
    </row>
    <row r="38" spans="1:20">
      <c r="A38" s="116">
        <f>A37+1</f>
        <v>37</v>
      </c>
      <c r="B38" s="5">
        <v>64</v>
      </c>
      <c r="C38" s="114" t="s">
        <v>60</v>
      </c>
      <c r="D38" s="107"/>
      <c r="E38" s="107"/>
      <c r="F38" s="107"/>
      <c r="G38" s="107"/>
      <c r="H38" s="106"/>
      <c r="I38" s="108"/>
      <c r="J38" s="109"/>
      <c r="K38" s="108"/>
      <c r="L38" s="108">
        <v>5</v>
      </c>
      <c r="M38" s="108"/>
      <c r="N38" s="98">
        <v>62.5</v>
      </c>
      <c r="O38" s="108"/>
      <c r="P38" s="108"/>
      <c r="Q38" s="108"/>
      <c r="R38" s="107"/>
      <c r="S38" s="111"/>
      <c r="T38" s="100">
        <f>62.5+5</f>
        <v>67.5</v>
      </c>
    </row>
    <row r="39" spans="1:20">
      <c r="A39" s="116">
        <f>A38+1</f>
        <v>38</v>
      </c>
      <c r="B39" s="5">
        <v>914</v>
      </c>
      <c r="C39" s="11" t="s">
        <v>61</v>
      </c>
      <c r="D39" s="106"/>
      <c r="E39" s="107"/>
      <c r="F39" s="107"/>
      <c r="G39" s="108"/>
      <c r="H39" s="108"/>
      <c r="I39" s="107"/>
      <c r="J39" s="107"/>
      <c r="K39" s="108"/>
      <c r="L39" s="108"/>
      <c r="M39" s="109"/>
      <c r="N39" s="98">
        <v>8.5</v>
      </c>
      <c r="O39" s="108"/>
      <c r="P39" s="109"/>
      <c r="Q39" s="109">
        <v>58.5</v>
      </c>
      <c r="R39" s="107"/>
      <c r="S39" s="112"/>
      <c r="T39" s="100">
        <f>58.5+8.5</f>
        <v>67</v>
      </c>
    </row>
    <row r="40" spans="1:20">
      <c r="A40" s="116">
        <f>A39+1</f>
        <v>39</v>
      </c>
      <c r="B40" s="5">
        <v>48</v>
      </c>
      <c r="C40" s="113" t="s">
        <v>62</v>
      </c>
      <c r="D40" s="107"/>
      <c r="E40" s="107"/>
      <c r="F40" s="107"/>
      <c r="G40" s="107"/>
      <c r="H40" s="106"/>
      <c r="I40" s="108"/>
      <c r="J40" s="108"/>
      <c r="K40" s="109"/>
      <c r="L40" s="109"/>
      <c r="M40" s="109"/>
      <c r="N40" s="98"/>
      <c r="O40" s="109"/>
      <c r="P40" s="109"/>
      <c r="Q40" s="108">
        <v>65</v>
      </c>
      <c r="R40" s="109"/>
      <c r="S40" s="112"/>
      <c r="T40" s="100">
        <f>65</f>
        <v>65</v>
      </c>
    </row>
    <row r="41" spans="1:20">
      <c r="A41" s="116">
        <f>A40+1</f>
        <v>40</v>
      </c>
      <c r="B41" s="5">
        <v>901</v>
      </c>
      <c r="C41" s="11" t="s">
        <v>63</v>
      </c>
      <c r="D41" s="106"/>
      <c r="E41" s="107"/>
      <c r="F41" s="107"/>
      <c r="G41" s="108"/>
      <c r="H41" s="108"/>
      <c r="I41" s="107"/>
      <c r="J41" s="107"/>
      <c r="K41" s="108"/>
      <c r="L41" s="108"/>
      <c r="M41" s="109"/>
      <c r="N41" s="98">
        <v>12</v>
      </c>
      <c r="O41" s="108"/>
      <c r="P41" s="109"/>
      <c r="Q41" s="109">
        <v>52.5</v>
      </c>
      <c r="R41" s="107"/>
      <c r="S41" s="112"/>
      <c r="T41" s="100">
        <f>52.5+12</f>
        <v>64.5</v>
      </c>
    </row>
    <row r="42" spans="1:20">
      <c r="A42" s="116">
        <f>A41+1</f>
        <v>41</v>
      </c>
      <c r="B42" s="5">
        <v>88</v>
      </c>
      <c r="C42" s="11" t="s">
        <v>64</v>
      </c>
      <c r="D42" s="107"/>
      <c r="E42" s="107"/>
      <c r="F42" s="107"/>
      <c r="G42" s="107"/>
      <c r="H42" s="108"/>
      <c r="I42" s="107"/>
      <c r="J42" s="107"/>
      <c r="K42" s="107">
        <v>22</v>
      </c>
      <c r="L42" s="107"/>
      <c r="M42" s="107"/>
      <c r="N42" s="98"/>
      <c r="O42" s="107">
        <v>40</v>
      </c>
      <c r="P42" s="107"/>
      <c r="Q42" s="107"/>
      <c r="R42" s="107"/>
      <c r="S42" s="137"/>
      <c r="T42" s="100">
        <f>40+22</f>
        <v>62</v>
      </c>
    </row>
    <row r="43" spans="1:20">
      <c r="A43" s="116">
        <f>A42+1</f>
        <v>42</v>
      </c>
      <c r="B43" s="5">
        <v>803</v>
      </c>
      <c r="C43" s="11" t="s">
        <v>65</v>
      </c>
      <c r="D43" s="107"/>
      <c r="E43" s="107"/>
      <c r="F43" s="107"/>
      <c r="G43" s="106"/>
      <c r="H43" s="107"/>
      <c r="I43" s="107"/>
      <c r="J43" s="107">
        <v>46</v>
      </c>
      <c r="K43" s="107">
        <v>12</v>
      </c>
      <c r="L43" s="107"/>
      <c r="M43" s="107"/>
      <c r="N43" s="98"/>
      <c r="O43" s="108"/>
      <c r="P43" s="107"/>
      <c r="Q43" s="107"/>
      <c r="R43" s="107"/>
      <c r="S43" s="110"/>
      <c r="T43" s="100">
        <f>46+12</f>
        <v>58</v>
      </c>
    </row>
    <row r="44" spans="1:20">
      <c r="A44" s="116">
        <f>A43+1</f>
        <v>43</v>
      </c>
      <c r="B44" s="5">
        <v>902</v>
      </c>
      <c r="C44" s="11" t="s">
        <v>66</v>
      </c>
      <c r="D44" s="106"/>
      <c r="E44" s="107"/>
      <c r="F44" s="107"/>
      <c r="G44" s="108"/>
      <c r="H44" s="108"/>
      <c r="I44" s="107"/>
      <c r="J44" s="107"/>
      <c r="K44" s="108"/>
      <c r="L44" s="108"/>
      <c r="M44" s="109">
        <f>30.5</f>
        <v>30.5</v>
      </c>
      <c r="N44" s="98"/>
      <c r="O44" s="108">
        <v>27</v>
      </c>
      <c r="P44" s="109"/>
      <c r="Q44" s="109"/>
      <c r="R44" s="107"/>
      <c r="S44" s="112"/>
      <c r="T44" s="100">
        <f>30.5+27</f>
        <v>57.5</v>
      </c>
    </row>
    <row r="45" spans="1:20">
      <c r="A45" s="116">
        <f>A44+1</f>
        <v>44</v>
      </c>
      <c r="B45" s="5">
        <v>213</v>
      </c>
      <c r="C45" s="114" t="s">
        <v>67</v>
      </c>
      <c r="D45" s="106"/>
      <c r="E45" s="107"/>
      <c r="F45" s="106"/>
      <c r="G45" s="107"/>
      <c r="H45" s="106"/>
      <c r="I45" s="108"/>
      <c r="J45" s="108"/>
      <c r="K45" s="109"/>
      <c r="L45" s="109"/>
      <c r="M45" s="109"/>
      <c r="N45" s="98"/>
      <c r="O45" s="109"/>
      <c r="P45" s="109"/>
      <c r="Q45" s="109">
        <v>14</v>
      </c>
      <c r="R45" s="106">
        <v>41</v>
      </c>
      <c r="S45" s="112"/>
      <c r="T45" s="100">
        <f>41+14</f>
        <v>55</v>
      </c>
    </row>
    <row r="46" spans="1:20">
      <c r="A46" s="116">
        <f>A45+1</f>
        <v>45</v>
      </c>
      <c r="B46" s="5">
        <v>676</v>
      </c>
      <c r="C46" s="113" t="s">
        <v>68</v>
      </c>
      <c r="D46" s="107"/>
      <c r="E46" s="107"/>
      <c r="F46" s="107"/>
      <c r="G46" s="107"/>
      <c r="H46" s="106"/>
      <c r="I46" s="108"/>
      <c r="J46" s="108"/>
      <c r="K46" s="107"/>
      <c r="L46" s="108">
        <v>15</v>
      </c>
      <c r="M46" s="107"/>
      <c r="N46" s="98"/>
      <c r="O46" s="107"/>
      <c r="P46" s="107"/>
      <c r="Q46" s="107"/>
      <c r="R46" s="108">
        <v>38.5</v>
      </c>
      <c r="S46" s="137"/>
      <c r="T46" s="100">
        <f>15+38.5</f>
        <v>53.5</v>
      </c>
    </row>
    <row r="47" spans="1:20" ht="17.25">
      <c r="A47" s="116">
        <f>A46+1</f>
        <v>46</v>
      </c>
      <c r="B47" s="9">
        <v>340</v>
      </c>
      <c r="C47" s="104" t="s">
        <v>69</v>
      </c>
      <c r="D47" s="97">
        <v>6</v>
      </c>
      <c r="E47" s="97">
        <v>32</v>
      </c>
      <c r="F47" s="97"/>
      <c r="G47" s="97"/>
      <c r="H47" s="97"/>
      <c r="I47" s="97">
        <v>18</v>
      </c>
      <c r="J47" s="97"/>
      <c r="K47" s="97"/>
      <c r="L47" s="97"/>
      <c r="M47" s="97"/>
      <c r="N47" s="98"/>
      <c r="O47" s="97"/>
      <c r="P47" s="97"/>
      <c r="Q47" s="97"/>
      <c r="R47" s="97"/>
      <c r="S47" s="102"/>
      <c r="T47" s="100">
        <f>18+32</f>
        <v>50</v>
      </c>
    </row>
    <row r="48" spans="1:20">
      <c r="A48" s="116">
        <f>A47+1</f>
        <v>47</v>
      </c>
      <c r="B48" s="5">
        <v>247</v>
      </c>
      <c r="C48" s="11" t="s">
        <v>70</v>
      </c>
      <c r="D48" s="106"/>
      <c r="E48" s="107">
        <v>10</v>
      </c>
      <c r="F48" s="107"/>
      <c r="G48" s="108"/>
      <c r="H48" s="108">
        <v>34</v>
      </c>
      <c r="I48" s="107">
        <v>11</v>
      </c>
      <c r="J48" s="107"/>
      <c r="K48" s="108"/>
      <c r="L48" s="108"/>
      <c r="M48" s="109"/>
      <c r="N48" s="98"/>
      <c r="O48" s="108"/>
      <c r="P48" s="109"/>
      <c r="Q48" s="109"/>
      <c r="R48" s="107"/>
      <c r="S48" s="112"/>
      <c r="T48" s="100">
        <f>34+11</f>
        <v>45</v>
      </c>
    </row>
    <row r="49" spans="1:20">
      <c r="A49" s="116">
        <f>A48+1</f>
        <v>48</v>
      </c>
      <c r="B49" s="5">
        <v>253</v>
      </c>
      <c r="C49" s="113" t="s">
        <v>71</v>
      </c>
      <c r="D49" s="107"/>
      <c r="E49" s="107">
        <v>18</v>
      </c>
      <c r="F49" s="107"/>
      <c r="G49" s="107"/>
      <c r="H49" s="108">
        <v>24</v>
      </c>
      <c r="I49" s="108">
        <v>13</v>
      </c>
      <c r="J49" s="108"/>
      <c r="K49" s="108"/>
      <c r="L49" s="108"/>
      <c r="M49" s="108"/>
      <c r="N49" s="98"/>
      <c r="O49" s="108"/>
      <c r="P49" s="108"/>
      <c r="Q49" s="108"/>
      <c r="R49" s="108"/>
      <c r="S49" s="111"/>
      <c r="T49" s="100">
        <f>24+18</f>
        <v>42</v>
      </c>
    </row>
    <row r="50" spans="1:20">
      <c r="A50" s="116">
        <f>A49+1</f>
        <v>49</v>
      </c>
      <c r="B50" s="5">
        <v>49</v>
      </c>
      <c r="C50" s="113" t="s">
        <v>72</v>
      </c>
      <c r="D50" s="107"/>
      <c r="E50" s="107"/>
      <c r="F50" s="107"/>
      <c r="G50" s="107"/>
      <c r="H50" s="108">
        <v>10</v>
      </c>
      <c r="I50" s="107"/>
      <c r="J50" s="107"/>
      <c r="K50" s="107"/>
      <c r="L50" s="107"/>
      <c r="M50" s="107"/>
      <c r="N50" s="98"/>
      <c r="O50" s="107"/>
      <c r="P50" s="107">
        <v>32</v>
      </c>
      <c r="Q50" s="107"/>
      <c r="R50" s="107"/>
      <c r="S50" s="137"/>
      <c r="T50" s="100">
        <f>32+10</f>
        <v>42</v>
      </c>
    </row>
    <row r="51" spans="1:20">
      <c r="A51" s="116">
        <f>A50+1</f>
        <v>50</v>
      </c>
      <c r="B51" s="5">
        <v>5</v>
      </c>
      <c r="C51" s="113" t="s">
        <v>73</v>
      </c>
      <c r="D51" s="106"/>
      <c r="E51" s="107"/>
      <c r="F51" s="106"/>
      <c r="G51" s="108"/>
      <c r="H51" s="107"/>
      <c r="I51" s="107"/>
      <c r="J51" s="107"/>
      <c r="K51" s="108"/>
      <c r="L51" s="107"/>
      <c r="M51" s="107"/>
      <c r="N51" s="98"/>
      <c r="O51" s="107">
        <v>42</v>
      </c>
      <c r="P51" s="107"/>
      <c r="Q51" s="107"/>
      <c r="R51" s="107"/>
      <c r="S51" s="137"/>
      <c r="T51" s="100">
        <f>42</f>
        <v>42</v>
      </c>
    </row>
    <row r="52" spans="1:20">
      <c r="A52" s="116">
        <f>A51+1</f>
        <v>51</v>
      </c>
      <c r="B52" s="5">
        <v>99</v>
      </c>
      <c r="C52" s="11" t="s">
        <v>74</v>
      </c>
      <c r="D52" s="106"/>
      <c r="E52" s="107"/>
      <c r="F52" s="107"/>
      <c r="G52" s="108"/>
      <c r="H52" s="108"/>
      <c r="I52" s="107"/>
      <c r="J52" s="107"/>
      <c r="K52" s="108"/>
      <c r="L52" s="108">
        <v>35.5</v>
      </c>
      <c r="M52" s="109">
        <f>5.5</f>
        <v>5.5</v>
      </c>
      <c r="N52" s="98"/>
      <c r="O52" s="108"/>
      <c r="P52" s="109"/>
      <c r="Q52" s="109"/>
      <c r="R52" s="107"/>
      <c r="S52" s="112"/>
      <c r="T52" s="100">
        <f>35.5+5.5</f>
        <v>41</v>
      </c>
    </row>
    <row r="53" spans="1:20" ht="17.25">
      <c r="A53" s="116">
        <f>A52+1</f>
        <v>52</v>
      </c>
      <c r="B53" s="105">
        <v>902</v>
      </c>
      <c r="C53" s="104" t="s">
        <v>75</v>
      </c>
      <c r="D53" s="97"/>
      <c r="E53" s="97"/>
      <c r="F53" s="97"/>
      <c r="G53" s="97"/>
      <c r="H53" s="97"/>
      <c r="I53" s="97"/>
      <c r="J53" s="97"/>
      <c r="K53" s="97"/>
      <c r="L53" s="97"/>
      <c r="M53" s="97">
        <v>40</v>
      </c>
      <c r="N53" s="98"/>
      <c r="O53" s="97"/>
      <c r="P53" s="97"/>
      <c r="Q53" s="97"/>
      <c r="R53" s="97"/>
      <c r="S53" s="102"/>
      <c r="T53" s="100">
        <f>40</f>
        <v>40</v>
      </c>
    </row>
    <row r="54" spans="1:20" ht="17.25">
      <c r="A54" s="116">
        <f>A53+1</f>
        <v>53</v>
      </c>
      <c r="B54" s="105">
        <v>40</v>
      </c>
      <c r="C54" s="115" t="s">
        <v>76</v>
      </c>
      <c r="D54" s="97"/>
      <c r="E54" s="97"/>
      <c r="F54" s="97"/>
      <c r="G54" s="97"/>
      <c r="H54" s="97"/>
      <c r="I54" s="97"/>
      <c r="J54" s="97"/>
      <c r="K54" s="97"/>
      <c r="L54" s="97">
        <v>23</v>
      </c>
      <c r="M54" s="97">
        <v>17</v>
      </c>
      <c r="N54" s="98"/>
      <c r="O54" s="97"/>
      <c r="P54" s="97"/>
      <c r="Q54" s="97"/>
      <c r="R54" s="97"/>
      <c r="S54" s="102"/>
      <c r="T54" s="100">
        <f>23+17</f>
        <v>40</v>
      </c>
    </row>
    <row r="55" spans="1:20">
      <c r="A55" s="116">
        <f>A54+1</f>
        <v>54</v>
      </c>
      <c r="B55" s="5">
        <v>47</v>
      </c>
      <c r="C55" s="113" t="s">
        <v>77</v>
      </c>
      <c r="D55" s="107"/>
      <c r="E55" s="107">
        <v>11</v>
      </c>
      <c r="F55" s="107"/>
      <c r="G55" s="107"/>
      <c r="H55" s="106">
        <v>23</v>
      </c>
      <c r="I55" s="108">
        <v>16</v>
      </c>
      <c r="J55" s="108"/>
      <c r="K55" s="109"/>
      <c r="L55" s="109"/>
      <c r="M55" s="109"/>
      <c r="N55" s="98"/>
      <c r="O55" s="109"/>
      <c r="P55" s="109"/>
      <c r="Q55" s="109"/>
      <c r="R55" s="109"/>
      <c r="S55" s="112"/>
      <c r="T55" s="100">
        <f>23+16</f>
        <v>39</v>
      </c>
    </row>
    <row r="56" spans="1:20" ht="17.25">
      <c r="A56" s="116">
        <f>A55+1</f>
        <v>55</v>
      </c>
      <c r="B56" s="105">
        <v>53</v>
      </c>
      <c r="C56" s="104" t="s">
        <v>78</v>
      </c>
      <c r="D56" s="97"/>
      <c r="E56" s="97">
        <v>14</v>
      </c>
      <c r="F56" s="97"/>
      <c r="G56" s="97"/>
      <c r="H56" s="97">
        <v>13</v>
      </c>
      <c r="I56" s="97">
        <v>8</v>
      </c>
      <c r="J56" s="97"/>
      <c r="K56" s="97"/>
      <c r="L56" s="97"/>
      <c r="M56" s="97"/>
      <c r="N56" s="98"/>
      <c r="O56" s="97"/>
      <c r="P56" s="97">
        <v>24</v>
      </c>
      <c r="Q56" s="97"/>
      <c r="R56" s="97"/>
      <c r="S56" s="102"/>
      <c r="T56" s="100">
        <f>24+14</f>
        <v>38</v>
      </c>
    </row>
    <row r="57" spans="1:20">
      <c r="A57" s="116">
        <f>A56+1</f>
        <v>56</v>
      </c>
      <c r="B57" s="9">
        <v>149</v>
      </c>
      <c r="C57" s="11" t="s">
        <v>79</v>
      </c>
      <c r="D57" s="107"/>
      <c r="E57" s="107"/>
      <c r="F57" s="107"/>
      <c r="G57" s="107"/>
      <c r="H57" s="106"/>
      <c r="I57" s="106"/>
      <c r="J57" s="106"/>
      <c r="K57" s="109"/>
      <c r="L57" s="109"/>
      <c r="M57" s="109"/>
      <c r="N57" s="98"/>
      <c r="O57" s="109"/>
      <c r="P57" s="109"/>
      <c r="Q57" s="109"/>
      <c r="R57" s="109">
        <f>37.5</f>
        <v>37.5</v>
      </c>
      <c r="S57" s="112"/>
      <c r="T57" s="100">
        <f>37.5</f>
        <v>37.5</v>
      </c>
    </row>
    <row r="58" spans="1:20">
      <c r="A58" s="116">
        <f>A57+1</f>
        <v>57</v>
      </c>
      <c r="B58" s="5">
        <v>819</v>
      </c>
      <c r="C58" s="11" t="s">
        <v>80</v>
      </c>
      <c r="D58" s="106"/>
      <c r="E58" s="107"/>
      <c r="F58" s="107"/>
      <c r="G58" s="108"/>
      <c r="H58" s="108"/>
      <c r="I58" s="107"/>
      <c r="J58" s="107">
        <v>26</v>
      </c>
      <c r="K58" s="108"/>
      <c r="L58" s="108"/>
      <c r="M58" s="109"/>
      <c r="N58" s="98"/>
      <c r="O58" s="108">
        <v>10</v>
      </c>
      <c r="P58" s="109"/>
      <c r="Q58" s="109"/>
      <c r="R58" s="107"/>
      <c r="S58" s="112"/>
      <c r="T58" s="100">
        <f>26+10</f>
        <v>36</v>
      </c>
    </row>
    <row r="59" spans="1:20">
      <c r="A59" s="116">
        <f>A58+1</f>
        <v>58</v>
      </c>
      <c r="B59" s="5">
        <v>397</v>
      </c>
      <c r="C59" s="11" t="s">
        <v>81</v>
      </c>
      <c r="D59" s="106"/>
      <c r="E59" s="107">
        <v>16</v>
      </c>
      <c r="F59" s="107"/>
      <c r="G59" s="108"/>
      <c r="H59" s="108">
        <v>20</v>
      </c>
      <c r="I59" s="107">
        <v>13</v>
      </c>
      <c r="J59" s="107"/>
      <c r="K59" s="108"/>
      <c r="L59" s="108"/>
      <c r="M59" s="109"/>
      <c r="N59" s="98"/>
      <c r="O59" s="108"/>
      <c r="P59" s="109"/>
      <c r="Q59" s="109"/>
      <c r="R59" s="107"/>
      <c r="S59" s="112"/>
      <c r="T59" s="100">
        <f>20+16</f>
        <v>36</v>
      </c>
    </row>
    <row r="60" spans="1:20">
      <c r="A60" s="116">
        <f>A59+1</f>
        <v>59</v>
      </c>
      <c r="B60" s="9">
        <v>339</v>
      </c>
      <c r="C60" s="114" t="s">
        <v>82</v>
      </c>
      <c r="D60" s="107"/>
      <c r="E60" s="106">
        <v>5</v>
      </c>
      <c r="F60" s="107"/>
      <c r="G60" s="107"/>
      <c r="H60" s="106">
        <v>3</v>
      </c>
      <c r="I60" s="106"/>
      <c r="J60" s="106"/>
      <c r="K60" s="106"/>
      <c r="L60" s="108"/>
      <c r="M60" s="106"/>
      <c r="N60" s="98">
        <v>19</v>
      </c>
      <c r="O60" s="106"/>
      <c r="P60" s="109"/>
      <c r="Q60" s="108">
        <v>14</v>
      </c>
      <c r="R60" s="106"/>
      <c r="S60" s="110"/>
      <c r="T60" s="100">
        <f>14+19</f>
        <v>33</v>
      </c>
    </row>
    <row r="61" spans="1:20" ht="17.25">
      <c r="A61" s="116">
        <f>A60+1</f>
        <v>60</v>
      </c>
      <c r="B61" s="105">
        <v>234</v>
      </c>
      <c r="C61" s="104" t="s">
        <v>83</v>
      </c>
      <c r="D61" s="97"/>
      <c r="E61" s="97"/>
      <c r="F61" s="97"/>
      <c r="G61" s="97"/>
      <c r="H61" s="97"/>
      <c r="I61" s="97"/>
      <c r="J61" s="97"/>
      <c r="K61" s="97">
        <v>16</v>
      </c>
      <c r="L61" s="97"/>
      <c r="M61" s="97"/>
      <c r="N61" s="98"/>
      <c r="O61" s="97">
        <v>17</v>
      </c>
      <c r="P61" s="97"/>
      <c r="Q61" s="97"/>
      <c r="R61" s="97"/>
      <c r="S61" s="102"/>
      <c r="T61" s="100">
        <f>16+17</f>
        <v>33</v>
      </c>
    </row>
    <row r="62" spans="1:20">
      <c r="A62" s="116">
        <f>A61+1</f>
        <v>61</v>
      </c>
      <c r="B62" s="8">
        <v>81</v>
      </c>
      <c r="C62" s="114" t="s">
        <v>84</v>
      </c>
      <c r="D62" s="106"/>
      <c r="E62" s="107"/>
      <c r="F62" s="106"/>
      <c r="G62" s="106"/>
      <c r="H62" s="107"/>
      <c r="I62" s="107"/>
      <c r="J62" s="107"/>
      <c r="K62" s="107"/>
      <c r="L62" s="107"/>
      <c r="M62" s="107"/>
      <c r="N62" s="98"/>
      <c r="O62" s="107"/>
      <c r="P62" s="107"/>
      <c r="Q62" s="107"/>
      <c r="R62" s="107"/>
      <c r="S62" s="110">
        <v>32</v>
      </c>
      <c r="T62" s="100">
        <f>32</f>
        <v>32</v>
      </c>
    </row>
    <row r="63" spans="1:20">
      <c r="A63" s="116">
        <f>A62+1</f>
        <v>62</v>
      </c>
      <c r="B63" s="5">
        <v>36</v>
      </c>
      <c r="C63" s="113" t="s">
        <v>85</v>
      </c>
      <c r="D63" s="107"/>
      <c r="E63" s="107"/>
      <c r="F63" s="107"/>
      <c r="G63" s="107"/>
      <c r="H63" s="106"/>
      <c r="I63" s="106"/>
      <c r="J63" s="106"/>
      <c r="K63" s="109"/>
      <c r="L63" s="108">
        <v>10</v>
      </c>
      <c r="M63" s="109"/>
      <c r="N63" s="98">
        <v>22</v>
      </c>
      <c r="O63" s="109"/>
      <c r="P63" s="109"/>
      <c r="Q63" s="109"/>
      <c r="R63" s="109"/>
      <c r="S63" s="112"/>
      <c r="T63" s="100">
        <f>10+22</f>
        <v>32</v>
      </c>
    </row>
    <row r="64" spans="1:20">
      <c r="A64" s="116">
        <f>A63+1</f>
        <v>63</v>
      </c>
      <c r="B64" s="5">
        <v>393</v>
      </c>
      <c r="C64" s="113" t="s">
        <v>86</v>
      </c>
      <c r="D64" s="107"/>
      <c r="E64" s="107"/>
      <c r="F64" s="107"/>
      <c r="G64" s="107"/>
      <c r="H64" s="107"/>
      <c r="I64" s="108"/>
      <c r="J64" s="109"/>
      <c r="K64" s="108"/>
      <c r="L64" s="108"/>
      <c r="M64" s="108"/>
      <c r="N64" s="98"/>
      <c r="O64" s="108"/>
      <c r="P64" s="108"/>
      <c r="Q64" s="108"/>
      <c r="R64" s="108">
        <v>31.5</v>
      </c>
      <c r="S64" s="111"/>
      <c r="T64" s="100">
        <f>31.5</f>
        <v>31.5</v>
      </c>
    </row>
    <row r="65" spans="1:20">
      <c r="A65" s="116">
        <f>A64+1</f>
        <v>64</v>
      </c>
      <c r="B65" s="5">
        <v>314</v>
      </c>
      <c r="C65" s="11" t="s">
        <v>87</v>
      </c>
      <c r="D65" s="107">
        <v>17</v>
      </c>
      <c r="E65" s="107"/>
      <c r="F65" s="107">
        <v>14</v>
      </c>
      <c r="G65" s="107"/>
      <c r="H65" s="106"/>
      <c r="I65" s="106"/>
      <c r="J65" s="106"/>
      <c r="K65" s="109"/>
      <c r="L65" s="109"/>
      <c r="M65" s="109"/>
      <c r="N65" s="98"/>
      <c r="O65" s="109"/>
      <c r="P65" s="109"/>
      <c r="Q65" s="109"/>
      <c r="R65" s="109"/>
      <c r="S65" s="112"/>
      <c r="T65" s="100">
        <f>17+14</f>
        <v>31</v>
      </c>
    </row>
    <row r="66" spans="1:20" ht="17.25">
      <c r="A66" s="116">
        <f>A65+1</f>
        <v>65</v>
      </c>
      <c r="B66" s="105">
        <v>152</v>
      </c>
      <c r="C66" s="115" t="s">
        <v>88</v>
      </c>
      <c r="D66" s="97"/>
      <c r="E66" s="97"/>
      <c r="F66" s="97"/>
      <c r="G66" s="97"/>
      <c r="H66" s="97"/>
      <c r="I66" s="97"/>
      <c r="J66" s="97"/>
      <c r="K66" s="97"/>
      <c r="L66" s="97">
        <v>3.5</v>
      </c>
      <c r="M66" s="97"/>
      <c r="N66" s="98">
        <v>27</v>
      </c>
      <c r="O66" s="97"/>
      <c r="P66" s="97"/>
      <c r="Q66" s="97"/>
      <c r="R66" s="97"/>
      <c r="S66" s="102"/>
      <c r="T66" s="100">
        <f>27+3.5</f>
        <v>30.5</v>
      </c>
    </row>
    <row r="67" spans="1:20">
      <c r="A67" s="116">
        <f>A66+1</f>
        <v>66</v>
      </c>
      <c r="B67" s="5">
        <v>54</v>
      </c>
      <c r="C67" s="114" t="s">
        <v>89</v>
      </c>
      <c r="D67" s="107"/>
      <c r="E67" s="107"/>
      <c r="F67" s="107"/>
      <c r="G67" s="107"/>
      <c r="H67" s="107"/>
      <c r="I67" s="108"/>
      <c r="J67" s="109">
        <v>30</v>
      </c>
      <c r="K67" s="108"/>
      <c r="L67" s="108"/>
      <c r="M67" s="108"/>
      <c r="N67" s="98"/>
      <c r="O67" s="108"/>
      <c r="P67" s="108"/>
      <c r="Q67" s="108"/>
      <c r="R67" s="107"/>
      <c r="S67" s="111"/>
      <c r="T67" s="100">
        <f>30</f>
        <v>30</v>
      </c>
    </row>
    <row r="68" spans="1:20" ht="17.25">
      <c r="A68" s="116">
        <f>A67+1</f>
        <v>67</v>
      </c>
      <c r="B68" s="105">
        <v>181</v>
      </c>
      <c r="C68" s="104" t="s">
        <v>90</v>
      </c>
      <c r="D68" s="97"/>
      <c r="E68" s="97">
        <v>10</v>
      </c>
      <c r="F68" s="97"/>
      <c r="G68" s="97"/>
      <c r="H68" s="97">
        <v>9</v>
      </c>
      <c r="I68" s="97">
        <v>4</v>
      </c>
      <c r="J68" s="97"/>
      <c r="K68" s="97"/>
      <c r="L68" s="97"/>
      <c r="M68" s="97"/>
      <c r="N68" s="98"/>
      <c r="O68" s="97"/>
      <c r="P68" s="97">
        <v>19</v>
      </c>
      <c r="Q68" s="97"/>
      <c r="R68" s="97"/>
      <c r="S68" s="102"/>
      <c r="T68" s="100">
        <f>19+10</f>
        <v>29</v>
      </c>
    </row>
    <row r="69" spans="1:20">
      <c r="A69" s="116">
        <f t="shared" ref="A69:A90" si="0">A68+1</f>
        <v>68</v>
      </c>
      <c r="B69" s="5">
        <v>104</v>
      </c>
      <c r="C69" s="113" t="s">
        <v>91</v>
      </c>
      <c r="D69" s="107"/>
      <c r="E69" s="107">
        <v>1</v>
      </c>
      <c r="F69" s="106"/>
      <c r="G69" s="108"/>
      <c r="H69" s="108">
        <v>15</v>
      </c>
      <c r="I69" s="107">
        <v>6</v>
      </c>
      <c r="J69" s="107"/>
      <c r="K69" s="107"/>
      <c r="L69" s="107"/>
      <c r="M69" s="107"/>
      <c r="N69" s="98"/>
      <c r="O69" s="107">
        <v>11</v>
      </c>
      <c r="P69" s="107"/>
      <c r="Q69" s="107"/>
      <c r="R69" s="107"/>
      <c r="S69" s="137"/>
      <c r="T69" s="100">
        <f>15+11</f>
        <v>26</v>
      </c>
    </row>
    <row r="70" spans="1:20" ht="17.25">
      <c r="A70" s="116">
        <f t="shared" si="0"/>
        <v>69</v>
      </c>
      <c r="B70" s="136">
        <v>826</v>
      </c>
      <c r="C70" s="104" t="s">
        <v>92</v>
      </c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8"/>
      <c r="O70" s="97"/>
      <c r="P70" s="97"/>
      <c r="Q70" s="97"/>
      <c r="R70" s="97"/>
      <c r="S70" s="102">
        <v>25.5</v>
      </c>
      <c r="T70" s="100">
        <f>25.5</f>
        <v>25.5</v>
      </c>
    </row>
    <row r="71" spans="1:20">
      <c r="A71" s="116">
        <f t="shared" si="0"/>
        <v>70</v>
      </c>
      <c r="B71" s="5">
        <v>965</v>
      </c>
      <c r="C71" s="11" t="s">
        <v>93</v>
      </c>
      <c r="D71" s="106"/>
      <c r="E71" s="107"/>
      <c r="F71" s="107"/>
      <c r="G71" s="108"/>
      <c r="H71" s="108"/>
      <c r="I71" s="107"/>
      <c r="J71" s="107"/>
      <c r="K71" s="108"/>
      <c r="L71" s="108">
        <v>10.5</v>
      </c>
      <c r="M71" s="109"/>
      <c r="N71" s="98">
        <v>13</v>
      </c>
      <c r="O71" s="108"/>
      <c r="P71" s="109"/>
      <c r="Q71" s="109"/>
      <c r="R71" s="107"/>
      <c r="S71" s="112"/>
      <c r="T71" s="100">
        <f>13+10.5</f>
        <v>23.5</v>
      </c>
    </row>
    <row r="72" spans="1:20">
      <c r="A72" s="116">
        <f t="shared" si="0"/>
        <v>71</v>
      </c>
      <c r="B72" s="5">
        <v>61</v>
      </c>
      <c r="C72" s="113" t="s">
        <v>94</v>
      </c>
      <c r="D72" s="107"/>
      <c r="E72" s="107">
        <f>3</f>
        <v>3</v>
      </c>
      <c r="F72" s="107"/>
      <c r="G72" s="107"/>
      <c r="H72" s="106">
        <v>10</v>
      </c>
      <c r="I72" s="108"/>
      <c r="J72" s="108"/>
      <c r="K72" s="108">
        <v>9</v>
      </c>
      <c r="L72" s="108"/>
      <c r="M72" s="108"/>
      <c r="N72" s="98"/>
      <c r="O72" s="108">
        <v>8</v>
      </c>
      <c r="P72" s="108"/>
      <c r="Q72" s="108"/>
      <c r="R72" s="108"/>
      <c r="S72" s="111"/>
      <c r="T72" s="100">
        <f>10+9</f>
        <v>19</v>
      </c>
    </row>
    <row r="73" spans="1:20">
      <c r="A73" s="116">
        <f t="shared" si="0"/>
        <v>72</v>
      </c>
      <c r="B73" s="9">
        <v>166</v>
      </c>
      <c r="C73" s="11" t="s">
        <v>95</v>
      </c>
      <c r="D73" s="107"/>
      <c r="E73" s="107"/>
      <c r="F73" s="107"/>
      <c r="G73" s="107"/>
      <c r="H73" s="106"/>
      <c r="I73" s="106"/>
      <c r="J73" s="106"/>
      <c r="K73" s="109"/>
      <c r="L73" s="109">
        <v>10.5</v>
      </c>
      <c r="M73" s="109">
        <f>4</f>
        <v>4</v>
      </c>
      <c r="N73" s="98"/>
      <c r="O73" s="109"/>
      <c r="P73" s="109"/>
      <c r="Q73" s="109"/>
      <c r="R73" s="109"/>
      <c r="S73" s="112"/>
      <c r="T73" s="100">
        <f>10.5+4</f>
        <v>14.5</v>
      </c>
    </row>
    <row r="74" spans="1:20" ht="17.25">
      <c r="A74" s="116">
        <f t="shared" si="0"/>
        <v>73</v>
      </c>
      <c r="B74" s="105">
        <v>52</v>
      </c>
      <c r="C74" s="104" t="s">
        <v>96</v>
      </c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8"/>
      <c r="O74" s="97"/>
      <c r="P74" s="97">
        <v>14</v>
      </c>
      <c r="Q74" s="97"/>
      <c r="R74" s="97"/>
      <c r="S74" s="102"/>
      <c r="T74" s="100">
        <f>14</f>
        <v>14</v>
      </c>
    </row>
    <row r="75" spans="1:20">
      <c r="A75" s="116">
        <f t="shared" si="0"/>
        <v>74</v>
      </c>
      <c r="B75" s="5">
        <v>24</v>
      </c>
      <c r="C75" s="114" t="s">
        <v>97</v>
      </c>
      <c r="D75" s="107"/>
      <c r="E75" s="107"/>
      <c r="F75" s="106">
        <v>14</v>
      </c>
      <c r="G75" s="108"/>
      <c r="H75" s="107"/>
      <c r="I75" s="107"/>
      <c r="J75" s="107"/>
      <c r="K75" s="107"/>
      <c r="L75" s="107"/>
      <c r="M75" s="107"/>
      <c r="N75" s="98"/>
      <c r="O75" s="107"/>
      <c r="P75" s="107"/>
      <c r="Q75" s="107"/>
      <c r="R75" s="107"/>
      <c r="S75" s="137"/>
      <c r="T75" s="100">
        <f>14</f>
        <v>14</v>
      </c>
    </row>
    <row r="76" spans="1:20" ht="17.25">
      <c r="A76" s="116">
        <f t="shared" si="0"/>
        <v>75</v>
      </c>
      <c r="B76" s="105">
        <v>810</v>
      </c>
      <c r="C76" s="104" t="s">
        <v>98</v>
      </c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8"/>
      <c r="O76" s="97"/>
      <c r="P76" s="97"/>
      <c r="Q76" s="97">
        <v>13.5</v>
      </c>
      <c r="R76" s="97"/>
      <c r="S76" s="102"/>
      <c r="T76" s="100">
        <f>13.5</f>
        <v>13.5</v>
      </c>
    </row>
    <row r="77" spans="1:20">
      <c r="A77" s="116">
        <f t="shared" si="0"/>
        <v>76</v>
      </c>
      <c r="B77" s="5">
        <v>313</v>
      </c>
      <c r="C77" s="113" t="s">
        <v>99</v>
      </c>
      <c r="D77" s="106"/>
      <c r="E77" s="107">
        <f>4</f>
        <v>4</v>
      </c>
      <c r="F77" s="108"/>
      <c r="G77" s="108"/>
      <c r="H77" s="108">
        <v>8</v>
      </c>
      <c r="I77" s="108">
        <v>5</v>
      </c>
      <c r="J77" s="108"/>
      <c r="K77" s="108"/>
      <c r="L77" s="108"/>
      <c r="M77" s="108"/>
      <c r="N77" s="98"/>
      <c r="O77" s="108"/>
      <c r="P77" s="108"/>
      <c r="Q77" s="108"/>
      <c r="R77" s="108"/>
      <c r="S77" s="111"/>
      <c r="T77" s="100">
        <f>8+5</f>
        <v>13</v>
      </c>
    </row>
    <row r="78" spans="1:20" ht="17.25">
      <c r="A78" s="116">
        <f t="shared" si="0"/>
        <v>77</v>
      </c>
      <c r="B78" s="105">
        <v>85</v>
      </c>
      <c r="C78" s="104" t="s">
        <v>100</v>
      </c>
      <c r="D78" s="97"/>
      <c r="E78" s="97">
        <v>6</v>
      </c>
      <c r="F78" s="97"/>
      <c r="G78" s="97"/>
      <c r="H78" s="97">
        <v>7</v>
      </c>
      <c r="I78" s="97"/>
      <c r="J78" s="97"/>
      <c r="K78" s="97"/>
      <c r="L78" s="97"/>
      <c r="M78" s="97"/>
      <c r="N78" s="98"/>
      <c r="O78" s="97"/>
      <c r="P78" s="97"/>
      <c r="Q78" s="97"/>
      <c r="R78" s="97"/>
      <c r="S78" s="102"/>
      <c r="T78" s="100">
        <f>7+6</f>
        <v>13</v>
      </c>
    </row>
    <row r="79" spans="1:20" ht="17.25">
      <c r="A79" s="116">
        <f t="shared" si="0"/>
        <v>78</v>
      </c>
      <c r="B79" s="105">
        <v>909</v>
      </c>
      <c r="C79" s="104" t="s">
        <v>101</v>
      </c>
      <c r="D79" s="97"/>
      <c r="E79" s="97"/>
      <c r="F79" s="97"/>
      <c r="G79" s="97"/>
      <c r="H79" s="97"/>
      <c r="I79" s="97"/>
      <c r="J79" s="97">
        <v>4</v>
      </c>
      <c r="K79" s="97">
        <v>6</v>
      </c>
      <c r="L79" s="97"/>
      <c r="M79" s="97"/>
      <c r="N79" s="98"/>
      <c r="O79" s="97"/>
      <c r="P79" s="97"/>
      <c r="Q79" s="97"/>
      <c r="R79" s="97"/>
      <c r="S79" s="102"/>
      <c r="T79" s="100">
        <f>6+4</f>
        <v>10</v>
      </c>
    </row>
    <row r="80" spans="1:20">
      <c r="A80" s="116">
        <f t="shared" si="0"/>
        <v>79</v>
      </c>
      <c r="B80" s="5">
        <v>844</v>
      </c>
      <c r="C80" s="11" t="s">
        <v>102</v>
      </c>
      <c r="D80" s="106"/>
      <c r="E80" s="107"/>
      <c r="F80" s="107"/>
      <c r="G80" s="108"/>
      <c r="H80" s="108"/>
      <c r="I80" s="107"/>
      <c r="J80" s="107"/>
      <c r="K80" s="108"/>
      <c r="L80" s="108"/>
      <c r="M80" s="109">
        <f>10</f>
        <v>10</v>
      </c>
      <c r="N80" s="98"/>
      <c r="O80" s="108"/>
      <c r="P80" s="109"/>
      <c r="Q80" s="109"/>
      <c r="R80" s="107"/>
      <c r="S80" s="112"/>
      <c r="T80" s="100">
        <f>10</f>
        <v>10</v>
      </c>
    </row>
    <row r="81" spans="1:20">
      <c r="A81" s="116">
        <f t="shared" si="0"/>
        <v>80</v>
      </c>
      <c r="B81" s="5">
        <v>806</v>
      </c>
      <c r="C81" s="11" t="s">
        <v>103</v>
      </c>
      <c r="D81" s="106"/>
      <c r="E81" s="107"/>
      <c r="F81" s="107"/>
      <c r="G81" s="108"/>
      <c r="H81" s="108"/>
      <c r="I81" s="107"/>
      <c r="J81" s="107"/>
      <c r="K81" s="108"/>
      <c r="L81" s="108"/>
      <c r="M81" s="109"/>
      <c r="N81" s="98"/>
      <c r="O81" s="108"/>
      <c r="P81" s="109"/>
      <c r="Q81" s="109">
        <v>8.5</v>
      </c>
      <c r="R81" s="107"/>
      <c r="S81" s="112"/>
      <c r="T81" s="100">
        <f>8.5</f>
        <v>8.5</v>
      </c>
    </row>
    <row r="82" spans="1:20" ht="17.25">
      <c r="A82" s="116">
        <f t="shared" si="0"/>
        <v>81</v>
      </c>
      <c r="B82" s="105">
        <v>33</v>
      </c>
      <c r="C82" s="104" t="s">
        <v>104</v>
      </c>
      <c r="D82" s="97"/>
      <c r="E82" s="97">
        <v>8</v>
      </c>
      <c r="F82" s="97"/>
      <c r="G82" s="97"/>
      <c r="H82" s="97"/>
      <c r="I82" s="97"/>
      <c r="J82" s="97"/>
      <c r="K82" s="97"/>
      <c r="L82" s="97"/>
      <c r="M82" s="97"/>
      <c r="N82" s="98"/>
      <c r="O82" s="97"/>
      <c r="P82" s="97"/>
      <c r="Q82" s="97"/>
      <c r="R82" s="97"/>
      <c r="S82" s="102"/>
      <c r="T82" s="100">
        <f>8</f>
        <v>8</v>
      </c>
    </row>
    <row r="83" spans="1:20">
      <c r="A83" s="116">
        <f t="shared" si="0"/>
        <v>82</v>
      </c>
      <c r="B83" s="5">
        <v>999</v>
      </c>
      <c r="C83" s="11" t="s">
        <v>105</v>
      </c>
      <c r="D83" s="106"/>
      <c r="E83" s="107"/>
      <c r="F83" s="107"/>
      <c r="G83" s="108"/>
      <c r="H83" s="108"/>
      <c r="I83" s="107"/>
      <c r="J83" s="107">
        <v>7</v>
      </c>
      <c r="K83" s="108"/>
      <c r="L83" s="108"/>
      <c r="M83" s="109"/>
      <c r="N83" s="98"/>
      <c r="O83" s="108"/>
      <c r="P83" s="109"/>
      <c r="Q83" s="109"/>
      <c r="R83" s="107"/>
      <c r="S83" s="112"/>
      <c r="T83" s="100">
        <f>7</f>
        <v>7</v>
      </c>
    </row>
    <row r="84" spans="1:20">
      <c r="A84" s="116">
        <f t="shared" si="0"/>
        <v>83</v>
      </c>
      <c r="B84" s="5">
        <v>777</v>
      </c>
      <c r="C84" s="113" t="s">
        <v>106</v>
      </c>
      <c r="D84" s="107"/>
      <c r="E84" s="107"/>
      <c r="F84" s="107"/>
      <c r="G84" s="106"/>
      <c r="H84" s="107"/>
      <c r="I84" s="107"/>
      <c r="J84" s="107"/>
      <c r="K84" s="107"/>
      <c r="L84" s="107"/>
      <c r="M84" s="107"/>
      <c r="N84" s="98"/>
      <c r="O84" s="108">
        <f>6</f>
        <v>6</v>
      </c>
      <c r="P84" s="107"/>
      <c r="Q84" s="107"/>
      <c r="R84" s="107"/>
      <c r="S84" s="110"/>
      <c r="T84" s="100">
        <f>6</f>
        <v>6</v>
      </c>
    </row>
    <row r="85" spans="1:20">
      <c r="A85" s="116">
        <f t="shared" si="0"/>
        <v>84</v>
      </c>
      <c r="B85" s="5">
        <v>479</v>
      </c>
      <c r="C85" s="113" t="s">
        <v>107</v>
      </c>
      <c r="D85" s="107"/>
      <c r="E85" s="107"/>
      <c r="F85" s="107"/>
      <c r="G85" s="107"/>
      <c r="H85" s="106"/>
      <c r="I85" s="108"/>
      <c r="J85" s="108"/>
      <c r="K85" s="109"/>
      <c r="L85" s="109"/>
      <c r="M85" s="109"/>
      <c r="N85" s="98"/>
      <c r="O85" s="109"/>
      <c r="P85" s="109"/>
      <c r="Q85" s="108">
        <v>3</v>
      </c>
      <c r="R85" s="109"/>
      <c r="S85" s="112"/>
      <c r="T85" s="100">
        <f>3</f>
        <v>3</v>
      </c>
    </row>
    <row r="86" spans="1:20" ht="17.25">
      <c r="A86" s="116">
        <f t="shared" si="0"/>
        <v>85</v>
      </c>
      <c r="B86" s="105">
        <v>432</v>
      </c>
      <c r="C86" s="104" t="s">
        <v>108</v>
      </c>
      <c r="D86" s="97"/>
      <c r="E86" s="97"/>
      <c r="F86" s="97"/>
      <c r="G86" s="97">
        <v>3</v>
      </c>
      <c r="H86" s="97"/>
      <c r="I86" s="97"/>
      <c r="J86" s="97"/>
      <c r="K86" s="97"/>
      <c r="L86" s="97"/>
      <c r="M86" s="97"/>
      <c r="N86" s="98"/>
      <c r="O86" s="97"/>
      <c r="P86" s="97"/>
      <c r="Q86" s="97"/>
      <c r="R86" s="97"/>
      <c r="S86" s="102"/>
      <c r="T86" s="100">
        <f>3</f>
        <v>3</v>
      </c>
    </row>
    <row r="87" spans="1:20" ht="17.25">
      <c r="A87" s="116">
        <f t="shared" si="0"/>
        <v>86</v>
      </c>
      <c r="B87" s="105">
        <v>868</v>
      </c>
      <c r="C87" s="104" t="s">
        <v>109</v>
      </c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8"/>
      <c r="O87" s="97"/>
      <c r="P87" s="97"/>
      <c r="Q87" s="97">
        <v>2.5</v>
      </c>
      <c r="R87" s="97"/>
      <c r="S87" s="102"/>
      <c r="T87" s="100">
        <f>2.5</f>
        <v>2.5</v>
      </c>
    </row>
    <row r="88" spans="1:20">
      <c r="A88" s="116">
        <f t="shared" si="0"/>
        <v>87</v>
      </c>
      <c r="B88" s="5">
        <v>56</v>
      </c>
      <c r="C88" s="11" t="s">
        <v>110</v>
      </c>
      <c r="D88" s="107">
        <f>1</f>
        <v>1</v>
      </c>
      <c r="E88" s="107"/>
      <c r="F88" s="107">
        <f>1</f>
        <v>1</v>
      </c>
      <c r="G88" s="107"/>
      <c r="H88" s="106"/>
      <c r="I88" s="106"/>
      <c r="J88" s="106"/>
      <c r="K88" s="109"/>
      <c r="L88" s="109"/>
      <c r="M88" s="109"/>
      <c r="N88" s="98"/>
      <c r="O88" s="109"/>
      <c r="P88" s="109"/>
      <c r="Q88" s="109"/>
      <c r="R88" s="109"/>
      <c r="S88" s="112"/>
      <c r="T88" s="100">
        <f>1+1</f>
        <v>2</v>
      </c>
    </row>
    <row r="89" spans="1:20">
      <c r="A89" s="116">
        <f t="shared" si="0"/>
        <v>88</v>
      </c>
      <c r="B89" s="5">
        <v>412</v>
      </c>
      <c r="C89" s="113" t="s">
        <v>111</v>
      </c>
      <c r="D89" s="106"/>
      <c r="E89" s="107"/>
      <c r="F89" s="106"/>
      <c r="G89" s="108"/>
      <c r="H89" s="106"/>
      <c r="I89" s="108"/>
      <c r="J89" s="108"/>
      <c r="K89" s="108"/>
      <c r="L89" s="108"/>
      <c r="M89" s="108"/>
      <c r="N89" s="98"/>
      <c r="O89" s="108"/>
      <c r="P89" s="108"/>
      <c r="Q89" s="108">
        <f>1.5</f>
        <v>1.5</v>
      </c>
      <c r="R89" s="108"/>
      <c r="S89" s="111"/>
      <c r="T89" s="100">
        <f>1.5</f>
        <v>1.5</v>
      </c>
    </row>
    <row r="90" spans="1:20" ht="17.25">
      <c r="A90" s="116">
        <f t="shared" si="0"/>
        <v>89</v>
      </c>
      <c r="B90" s="105">
        <v>71</v>
      </c>
      <c r="C90" s="104" t="s">
        <v>112</v>
      </c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8"/>
      <c r="O90" s="97"/>
      <c r="P90" s="97"/>
      <c r="Q90" s="97"/>
      <c r="R90" s="97"/>
      <c r="S90" s="102">
        <v>0.5</v>
      </c>
      <c r="T90" s="101">
        <f>0.5</f>
        <v>0.5</v>
      </c>
    </row>
  </sheetData>
  <sortState xmlns:xlrd2="http://schemas.microsoft.com/office/spreadsheetml/2017/richdata2" ref="A2:U91">
    <sortCondition descending="1" ref="T2:T91"/>
  </sortState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D2F-2BDD-4752-8018-19A4116385BA}">
  <dimension ref="A1:D19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31.140625" style="1" bestFit="1" customWidth="1"/>
    <col min="4" max="16384" width="9.140625" style="1"/>
  </cols>
  <sheetData>
    <row r="1" spans="1:4">
      <c r="A1" s="14" t="s">
        <v>126</v>
      </c>
      <c r="C1" s="70">
        <v>44384</v>
      </c>
    </row>
    <row r="2" spans="1:4" ht="16.5" thickBot="1"/>
    <row r="3" spans="1:4" ht="32.25" thickBot="1">
      <c r="A3" s="16" t="s">
        <v>0</v>
      </c>
      <c r="B3" s="17" t="s">
        <v>1</v>
      </c>
      <c r="C3" s="18" t="s">
        <v>2</v>
      </c>
      <c r="D3" s="15" t="s">
        <v>114</v>
      </c>
    </row>
    <row r="4" spans="1:4" ht="17.25">
      <c r="B4" s="86">
        <v>204</v>
      </c>
      <c r="C4" s="87" t="s">
        <v>30</v>
      </c>
      <c r="D4" s="88">
        <f>43+44</f>
        <v>87</v>
      </c>
    </row>
    <row r="5" spans="1:4" ht="17.25">
      <c r="B5" s="29" t="s">
        <v>127</v>
      </c>
      <c r="C5" s="35" t="s">
        <v>29</v>
      </c>
      <c r="D5" s="31">
        <f>21+36.5+26</f>
        <v>83.5</v>
      </c>
    </row>
    <row r="6" spans="1:4" ht="17.25">
      <c r="B6" s="34">
        <v>31</v>
      </c>
      <c r="C6" s="34" t="s">
        <v>45</v>
      </c>
      <c r="D6" s="32">
        <f>43+38</f>
        <v>81</v>
      </c>
    </row>
    <row r="7" spans="1:4" ht="17.25">
      <c r="B7" s="29">
        <v>93</v>
      </c>
      <c r="C7" s="84" t="s">
        <v>50</v>
      </c>
      <c r="D7" s="32">
        <f>31+22</f>
        <v>53</v>
      </c>
    </row>
    <row r="8" spans="1:4" ht="17.25">
      <c r="B8" s="29">
        <v>107</v>
      </c>
      <c r="C8" s="34" t="s">
        <v>37</v>
      </c>
      <c r="D8" s="31">
        <f>31+17</f>
        <v>48</v>
      </c>
    </row>
    <row r="9" spans="1:4" ht="17.25">
      <c r="B9" s="29">
        <v>99</v>
      </c>
      <c r="C9" s="35" t="s">
        <v>74</v>
      </c>
      <c r="D9" s="31">
        <f>21+14.5</f>
        <v>35.5</v>
      </c>
    </row>
    <row r="10" spans="1:4" ht="17.25">
      <c r="B10" s="29">
        <v>17</v>
      </c>
      <c r="C10" s="33" t="s">
        <v>40</v>
      </c>
      <c r="D10" s="31">
        <f>14.5+13</f>
        <v>27.5</v>
      </c>
    </row>
    <row r="11" spans="1:4" ht="17.25">
      <c r="B11" s="29">
        <v>769</v>
      </c>
      <c r="C11" s="35" t="s">
        <v>56</v>
      </c>
      <c r="D11" s="31">
        <f>8.5+16</f>
        <v>24.5</v>
      </c>
    </row>
    <row r="12" spans="1:4" ht="17.25">
      <c r="B12" s="34">
        <v>40</v>
      </c>
      <c r="C12" s="85" t="s">
        <v>76</v>
      </c>
      <c r="D12" s="34">
        <f>23</f>
        <v>23</v>
      </c>
    </row>
    <row r="13" spans="1:4" ht="17.25">
      <c r="B13" s="33">
        <v>46</v>
      </c>
      <c r="C13" s="34" t="s">
        <v>49</v>
      </c>
      <c r="D13" s="30">
        <f>15</f>
        <v>15</v>
      </c>
    </row>
    <row r="14" spans="1:4" ht="17.25">
      <c r="B14" s="29">
        <v>676</v>
      </c>
      <c r="C14" s="34" t="s">
        <v>68</v>
      </c>
      <c r="D14" s="31">
        <f>5.5+9.5</f>
        <v>15</v>
      </c>
    </row>
    <row r="15" spans="1:4" ht="17.25">
      <c r="B15" s="29">
        <v>965</v>
      </c>
      <c r="C15" s="35" t="s">
        <v>93</v>
      </c>
      <c r="D15" s="31">
        <f>6+4.5</f>
        <v>10.5</v>
      </c>
    </row>
    <row r="16" spans="1:4" ht="17.25">
      <c r="B16" s="34">
        <v>166</v>
      </c>
      <c r="C16" s="35" t="s">
        <v>95</v>
      </c>
      <c r="D16" s="73">
        <f>2.5+8</f>
        <v>10.5</v>
      </c>
    </row>
    <row r="17" spans="2:4" ht="17.25">
      <c r="B17" s="29">
        <v>36</v>
      </c>
      <c r="C17" s="34" t="s">
        <v>85</v>
      </c>
      <c r="D17" s="31">
        <f>4.5+5.5</f>
        <v>10</v>
      </c>
    </row>
    <row r="18" spans="2:4" ht="17.25">
      <c r="B18" s="34">
        <v>64</v>
      </c>
      <c r="C18" s="33" t="s">
        <v>60</v>
      </c>
      <c r="D18" s="34">
        <f>5</f>
        <v>5</v>
      </c>
    </row>
    <row r="19" spans="2:4" ht="17.25">
      <c r="B19" s="34">
        <v>152</v>
      </c>
      <c r="C19" s="33" t="s">
        <v>88</v>
      </c>
      <c r="D19" s="34">
        <f>3.5</f>
        <v>3.5</v>
      </c>
    </row>
  </sheetData>
  <sortState xmlns:xlrd2="http://schemas.microsoft.com/office/spreadsheetml/2017/richdata2" ref="B4:D19">
    <sortCondition descending="1" ref="D4:D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CA30-B780-4802-86DA-2B536D5E6722}">
  <dimension ref="A1:D14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1.42578125" style="1" customWidth="1"/>
    <col min="4" max="16384" width="9.140625" style="1"/>
  </cols>
  <sheetData>
    <row r="1" spans="1:4">
      <c r="A1" s="14" t="s">
        <v>128</v>
      </c>
      <c r="C1" s="70">
        <v>44384</v>
      </c>
    </row>
    <row r="3" spans="1:4" ht="31.5">
      <c r="A3" s="3" t="s">
        <v>0</v>
      </c>
      <c r="B3" s="47" t="s">
        <v>1</v>
      </c>
      <c r="C3" s="45" t="s">
        <v>2</v>
      </c>
      <c r="D3" s="69" t="s">
        <v>114</v>
      </c>
    </row>
    <row r="4" spans="1:4" ht="17.25">
      <c r="B4" s="71" t="s">
        <v>28</v>
      </c>
      <c r="C4" s="76" t="s">
        <v>29</v>
      </c>
      <c r="D4" s="89">
        <f>26.5+38.5+24.5</f>
        <v>89.5</v>
      </c>
    </row>
    <row r="5" spans="1:4" ht="17.25">
      <c r="B5" s="72">
        <v>204</v>
      </c>
      <c r="C5" s="40" t="s">
        <v>30</v>
      </c>
      <c r="D5" s="39">
        <f>34+33</f>
        <v>67</v>
      </c>
    </row>
    <row r="6" spans="1:4" ht="17.25">
      <c r="B6" s="34">
        <v>902</v>
      </c>
      <c r="C6" s="36" t="s">
        <v>75</v>
      </c>
      <c r="D6" s="43">
        <f>40</f>
        <v>40</v>
      </c>
    </row>
    <row r="7" spans="1:4" ht="17.25">
      <c r="B7" s="29">
        <v>93</v>
      </c>
      <c r="C7" s="90" t="s">
        <v>50</v>
      </c>
      <c r="D7" s="39">
        <f>12.5+24.5</f>
        <v>37</v>
      </c>
    </row>
    <row r="8" spans="1:4" ht="17.25">
      <c r="B8" s="29">
        <v>902</v>
      </c>
      <c r="C8" s="41" t="s">
        <v>66</v>
      </c>
      <c r="D8" s="75">
        <f>30.5</f>
        <v>30.5</v>
      </c>
    </row>
    <row r="9" spans="1:4" ht="17.25">
      <c r="B9" s="34">
        <v>31</v>
      </c>
      <c r="C9" s="36" t="s">
        <v>45</v>
      </c>
      <c r="D9" s="39">
        <f>18</f>
        <v>18</v>
      </c>
    </row>
    <row r="10" spans="1:4" ht="17.25">
      <c r="B10" s="34">
        <v>40</v>
      </c>
      <c r="C10" s="36" t="s">
        <v>76</v>
      </c>
      <c r="D10" s="43">
        <f>17</f>
        <v>17</v>
      </c>
    </row>
    <row r="11" spans="1:4" ht="17.25">
      <c r="B11" s="33">
        <v>46</v>
      </c>
      <c r="C11" s="36" t="s">
        <v>49</v>
      </c>
      <c r="D11" s="42">
        <f>12.5</f>
        <v>12.5</v>
      </c>
    </row>
    <row r="12" spans="1:4" ht="17.25">
      <c r="B12" s="29">
        <v>844</v>
      </c>
      <c r="C12" s="41" t="s">
        <v>102</v>
      </c>
      <c r="D12" s="75">
        <f>10</f>
        <v>10</v>
      </c>
    </row>
    <row r="13" spans="1:4" ht="17.25">
      <c r="B13" s="29">
        <v>99</v>
      </c>
      <c r="C13" s="41" t="s">
        <v>74</v>
      </c>
      <c r="D13" s="75">
        <f>5.5</f>
        <v>5.5</v>
      </c>
    </row>
    <row r="14" spans="1:4" ht="17.25">
      <c r="B14" s="34">
        <v>166</v>
      </c>
      <c r="C14" s="41" t="s">
        <v>95</v>
      </c>
      <c r="D14" s="91">
        <f>4</f>
        <v>4</v>
      </c>
    </row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B4E-E4C6-4917-85B0-8D1C64D725D3}">
  <dimension ref="A1:D16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9.5703125" style="1" bestFit="1" customWidth="1"/>
    <col min="4" max="16384" width="9.140625" style="1"/>
  </cols>
  <sheetData>
    <row r="1" spans="1:4">
      <c r="A1" s="14" t="s">
        <v>129</v>
      </c>
      <c r="C1" s="70">
        <v>44384</v>
      </c>
    </row>
    <row r="3" spans="1:4" ht="31.5">
      <c r="A3" s="3" t="s">
        <v>0</v>
      </c>
      <c r="B3" s="47" t="s">
        <v>1</v>
      </c>
      <c r="C3" s="45" t="s">
        <v>2</v>
      </c>
      <c r="D3" s="69" t="s">
        <v>114</v>
      </c>
    </row>
    <row r="4" spans="1:4" ht="17.25">
      <c r="B4" s="46">
        <v>107</v>
      </c>
      <c r="C4" s="49" t="s">
        <v>37</v>
      </c>
      <c r="D4" s="92">
        <f>41+45</f>
        <v>86</v>
      </c>
    </row>
    <row r="5" spans="1:4" ht="17.25">
      <c r="B5" s="29">
        <v>17</v>
      </c>
      <c r="C5" s="40" t="s">
        <v>40</v>
      </c>
      <c r="D5" s="43">
        <f>18.5+32+35</f>
        <v>85.5</v>
      </c>
    </row>
    <row r="6" spans="1:4" ht="17.25">
      <c r="B6" s="29">
        <v>64</v>
      </c>
      <c r="C6" s="40" t="s">
        <v>60</v>
      </c>
      <c r="D6" s="43">
        <f>28.5+17+17</f>
        <v>62.5</v>
      </c>
    </row>
    <row r="7" spans="1:4" ht="17.25">
      <c r="B7" s="29">
        <v>769</v>
      </c>
      <c r="C7" s="41" t="s">
        <v>56</v>
      </c>
      <c r="D7" s="43">
        <f>15.5+35</f>
        <v>50.5</v>
      </c>
    </row>
    <row r="8" spans="1:4" ht="17.25">
      <c r="B8" s="34">
        <v>152</v>
      </c>
      <c r="C8" s="36" t="s">
        <v>88</v>
      </c>
      <c r="D8" s="43">
        <f>27</f>
        <v>27</v>
      </c>
    </row>
    <row r="9" spans="1:4" ht="17.25">
      <c r="B9" s="34">
        <v>36</v>
      </c>
      <c r="C9" s="36" t="s">
        <v>85</v>
      </c>
      <c r="D9" s="43">
        <f>22</f>
        <v>22</v>
      </c>
    </row>
    <row r="10" spans="1:4" ht="17.25">
      <c r="B10" s="34">
        <v>339</v>
      </c>
      <c r="C10" s="40" t="s">
        <v>82</v>
      </c>
      <c r="D10" s="43">
        <f>18.5+0.5</f>
        <v>19</v>
      </c>
    </row>
    <row r="11" spans="1:4" ht="17.25">
      <c r="B11" s="34">
        <v>965</v>
      </c>
      <c r="C11" s="36" t="s">
        <v>93</v>
      </c>
      <c r="D11" s="43">
        <f>13</f>
        <v>13</v>
      </c>
    </row>
    <row r="12" spans="1:4" ht="17.25">
      <c r="B12" s="29">
        <v>901</v>
      </c>
      <c r="C12" s="41" t="s">
        <v>63</v>
      </c>
      <c r="D12" s="43">
        <f>2+10</f>
        <v>12</v>
      </c>
    </row>
    <row r="13" spans="1:4" ht="17.25">
      <c r="B13" s="29" t="s">
        <v>130</v>
      </c>
      <c r="C13" s="41" t="s">
        <v>131</v>
      </c>
      <c r="D13" s="43">
        <f>10.5</f>
        <v>10.5</v>
      </c>
    </row>
    <row r="14" spans="1:4" ht="17.25">
      <c r="B14" s="29">
        <v>914</v>
      </c>
      <c r="C14" s="41" t="s">
        <v>61</v>
      </c>
      <c r="D14" s="43">
        <f>3+5.5</f>
        <v>8.5</v>
      </c>
    </row>
    <row r="15" spans="1:4" ht="17.25">
      <c r="B15" s="34" t="s">
        <v>132</v>
      </c>
      <c r="C15" s="41" t="s">
        <v>133</v>
      </c>
      <c r="D15" s="43">
        <f>8</f>
        <v>8</v>
      </c>
    </row>
    <row r="16" spans="1:4" ht="17.25">
      <c r="B16" s="29" t="s">
        <v>134</v>
      </c>
      <c r="C16" s="41" t="s">
        <v>135</v>
      </c>
      <c r="D16" s="52">
        <f>4.5</f>
        <v>4.5</v>
      </c>
    </row>
  </sheetData>
  <sortState xmlns:xlrd2="http://schemas.microsoft.com/office/spreadsheetml/2017/richdata2" ref="B3:D16">
    <sortCondition descending="1" ref="D3:D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90E4-D857-4FCC-85C6-1908D663BE51}">
  <dimension ref="A1:D14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2.7109375" style="1" bestFit="1" customWidth="1"/>
    <col min="4" max="16384" width="9.140625" style="1"/>
  </cols>
  <sheetData>
    <row r="1" spans="1:4">
      <c r="A1" s="14" t="s">
        <v>136</v>
      </c>
      <c r="C1" s="70">
        <v>44384</v>
      </c>
    </row>
    <row r="3" spans="1:4" ht="31.5">
      <c r="A3" s="3" t="s">
        <v>0</v>
      </c>
      <c r="B3" s="45" t="s">
        <v>1</v>
      </c>
      <c r="C3" s="96" t="s">
        <v>2</v>
      </c>
      <c r="D3" s="69" t="s">
        <v>114</v>
      </c>
    </row>
    <row r="4" spans="1:4" ht="17.25">
      <c r="B4" s="46" t="s">
        <v>32</v>
      </c>
      <c r="C4" s="49" t="s">
        <v>33</v>
      </c>
      <c r="D4" s="68">
        <f>1+30+38</f>
        <v>69</v>
      </c>
    </row>
    <row r="5" spans="1:4" ht="17.25">
      <c r="B5" s="29">
        <v>77</v>
      </c>
      <c r="C5" s="36" t="s">
        <v>47</v>
      </c>
      <c r="D5" s="38">
        <f>53</f>
        <v>53</v>
      </c>
    </row>
    <row r="6" spans="1:4" ht="17.25">
      <c r="B6" s="29">
        <v>5</v>
      </c>
      <c r="C6" s="36" t="s">
        <v>73</v>
      </c>
      <c r="D6" s="42">
        <f>35+7</f>
        <v>42</v>
      </c>
    </row>
    <row r="7" spans="1:4" ht="17.25">
      <c r="B7" s="29">
        <v>88</v>
      </c>
      <c r="C7" s="41" t="s">
        <v>64</v>
      </c>
      <c r="D7" s="42">
        <f>40</f>
        <v>40</v>
      </c>
    </row>
    <row r="8" spans="1:4" ht="17.25">
      <c r="B8" s="34">
        <v>902</v>
      </c>
      <c r="C8" s="36" t="s">
        <v>75</v>
      </c>
      <c r="D8" s="43">
        <f>27</f>
        <v>27</v>
      </c>
    </row>
    <row r="9" spans="1:4" ht="17.25">
      <c r="B9" s="34">
        <v>234</v>
      </c>
      <c r="C9" s="36" t="s">
        <v>83</v>
      </c>
      <c r="D9" s="43">
        <f>17</f>
        <v>17</v>
      </c>
    </row>
    <row r="10" spans="1:4" ht="17.25">
      <c r="B10" s="34" t="s">
        <v>28</v>
      </c>
      <c r="C10" s="36" t="s">
        <v>29</v>
      </c>
      <c r="D10" s="43">
        <f>13</f>
        <v>13</v>
      </c>
    </row>
    <row r="11" spans="1:4" ht="17.25">
      <c r="B11" s="29">
        <v>104</v>
      </c>
      <c r="C11" s="36" t="s">
        <v>91</v>
      </c>
      <c r="D11" s="42">
        <f>7+4</f>
        <v>11</v>
      </c>
    </row>
    <row r="12" spans="1:4" ht="17.25">
      <c r="B12" s="34">
        <v>819</v>
      </c>
      <c r="C12" s="36" t="s">
        <v>80</v>
      </c>
      <c r="D12" s="43">
        <f>10</f>
        <v>10</v>
      </c>
    </row>
    <row r="13" spans="1:4" ht="17.25">
      <c r="B13" s="29">
        <v>61</v>
      </c>
      <c r="C13" s="36" t="s">
        <v>94</v>
      </c>
      <c r="D13" s="38">
        <f>8</f>
        <v>8</v>
      </c>
    </row>
    <row r="14" spans="1:4" ht="17.25">
      <c r="B14" s="29">
        <v>777</v>
      </c>
      <c r="C14" s="36" t="s">
        <v>106</v>
      </c>
      <c r="D14" s="95">
        <f>6</f>
        <v>6</v>
      </c>
    </row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6C7-EC01-40CD-9AE2-B9F8F444794D}">
  <dimension ref="A1:D10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2.28515625" style="1" bestFit="1" customWidth="1"/>
    <col min="4" max="16384" width="9.140625" style="1"/>
  </cols>
  <sheetData>
    <row r="1" spans="1:4">
      <c r="A1" s="14" t="s">
        <v>137</v>
      </c>
      <c r="C1" s="70">
        <v>44384</v>
      </c>
    </row>
    <row r="3" spans="1:4" ht="31.5">
      <c r="A3" s="16" t="s">
        <v>0</v>
      </c>
      <c r="B3" s="23" t="s">
        <v>1</v>
      </c>
      <c r="C3" s="24" t="s">
        <v>2</v>
      </c>
      <c r="D3" s="28" t="s">
        <v>114</v>
      </c>
    </row>
    <row r="4" spans="1:4" ht="17.25">
      <c r="B4" s="29">
        <v>66</v>
      </c>
      <c r="C4" s="34" t="s">
        <v>44</v>
      </c>
      <c r="D4" s="30">
        <f>33+42</f>
        <v>75</v>
      </c>
    </row>
    <row r="5" spans="1:4" ht="17.25">
      <c r="B5" s="29">
        <v>343</v>
      </c>
      <c r="C5" s="34" t="s">
        <v>42</v>
      </c>
      <c r="D5" s="73">
        <f>40+29</f>
        <v>69</v>
      </c>
    </row>
    <row r="6" spans="1:4" ht="17.25">
      <c r="B6" s="33">
        <v>32</v>
      </c>
      <c r="C6" s="33" t="s">
        <v>41</v>
      </c>
      <c r="D6" s="73">
        <f>1+35</f>
        <v>36</v>
      </c>
    </row>
    <row r="7" spans="1:4" ht="17.25">
      <c r="B7" s="29">
        <v>49</v>
      </c>
      <c r="C7" s="34" t="s">
        <v>72</v>
      </c>
      <c r="D7" s="30">
        <f>22+10</f>
        <v>32</v>
      </c>
    </row>
    <row r="8" spans="1:4" ht="17.25">
      <c r="B8" s="34">
        <v>53</v>
      </c>
      <c r="C8" s="34" t="s">
        <v>78</v>
      </c>
      <c r="D8" s="34">
        <f>24</f>
        <v>24</v>
      </c>
    </row>
    <row r="9" spans="1:4" ht="17.25">
      <c r="B9" s="34">
        <v>181</v>
      </c>
      <c r="C9" s="34" t="s">
        <v>90</v>
      </c>
      <c r="D9" s="34">
        <f>19</f>
        <v>19</v>
      </c>
    </row>
    <row r="10" spans="1:4" ht="17.25">
      <c r="B10" s="34">
        <v>52</v>
      </c>
      <c r="C10" s="34" t="s">
        <v>96</v>
      </c>
      <c r="D10" s="34">
        <f>14</f>
        <v>14</v>
      </c>
    </row>
  </sheetData>
  <sortState xmlns:xlrd2="http://schemas.microsoft.com/office/spreadsheetml/2017/richdata2" ref="B4:D10">
    <sortCondition descending="1" ref="D4:D1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A3EE-C3B1-4017-B6BE-D42457443356}">
  <dimension ref="A1:D16"/>
  <sheetViews>
    <sheetView workbookViewId="0">
      <selection activeCell="C2" sqref="C2"/>
    </sheetView>
  </sheetViews>
  <sheetFormatPr defaultRowHeight="15.75"/>
  <cols>
    <col min="1" max="1" width="14.7109375" style="1" customWidth="1"/>
    <col min="2" max="2" width="9.140625" style="1"/>
    <col min="3" max="3" width="22.28515625" style="1" customWidth="1"/>
    <col min="4" max="16384" width="9.140625" style="1"/>
  </cols>
  <sheetData>
    <row r="1" spans="1:4">
      <c r="A1" s="14" t="s">
        <v>138</v>
      </c>
    </row>
    <row r="2" spans="1:4">
      <c r="C2" s="70">
        <v>44384</v>
      </c>
    </row>
    <row r="3" spans="1:4" ht="31.5">
      <c r="A3" s="3" t="s">
        <v>0</v>
      </c>
      <c r="B3" s="47" t="s">
        <v>1</v>
      </c>
      <c r="C3" s="45" t="s">
        <v>2</v>
      </c>
      <c r="D3" s="69" t="s">
        <v>114</v>
      </c>
    </row>
    <row r="4" spans="1:4" ht="17.25">
      <c r="B4" s="46">
        <v>23</v>
      </c>
      <c r="C4" s="49" t="s">
        <v>39</v>
      </c>
      <c r="D4" s="68">
        <f>25+42.5+45.5</f>
        <v>113</v>
      </c>
    </row>
    <row r="5" spans="1:4" ht="17.25">
      <c r="B5" s="29">
        <v>272</v>
      </c>
      <c r="C5" s="36" t="s">
        <v>52</v>
      </c>
      <c r="D5" s="38">
        <f>44.5+38.5</f>
        <v>83</v>
      </c>
    </row>
    <row r="6" spans="1:4" ht="17.25">
      <c r="B6" s="33">
        <v>46</v>
      </c>
      <c r="C6" s="36" t="s">
        <v>49</v>
      </c>
      <c r="D6" s="38">
        <f>38+10.5+27.5</f>
        <v>76</v>
      </c>
    </row>
    <row r="7" spans="1:4" ht="17.25">
      <c r="B7" s="29">
        <v>48</v>
      </c>
      <c r="C7" s="36" t="s">
        <v>62</v>
      </c>
      <c r="D7" s="38">
        <f>32.5+32.5</f>
        <v>65</v>
      </c>
    </row>
    <row r="8" spans="1:4" ht="17.25">
      <c r="B8" s="29">
        <v>914</v>
      </c>
      <c r="C8" s="41" t="s">
        <v>61</v>
      </c>
      <c r="D8" s="75">
        <f>22.5+27+9</f>
        <v>58.5</v>
      </c>
    </row>
    <row r="9" spans="1:4" ht="17.25">
      <c r="B9" s="29">
        <v>901</v>
      </c>
      <c r="C9" s="41" t="s">
        <v>63</v>
      </c>
      <c r="D9" s="75">
        <f>13+19.5+20</f>
        <v>52.5</v>
      </c>
    </row>
    <row r="10" spans="1:4" ht="17.25">
      <c r="B10" s="29">
        <v>213</v>
      </c>
      <c r="C10" s="40" t="s">
        <v>67</v>
      </c>
      <c r="D10" s="75">
        <f>8.5+5.5</f>
        <v>14</v>
      </c>
    </row>
    <row r="11" spans="1:4" ht="17.25">
      <c r="B11" s="34">
        <v>339</v>
      </c>
      <c r="C11" s="40" t="s">
        <v>82</v>
      </c>
      <c r="D11" s="38">
        <f>8+6</f>
        <v>14</v>
      </c>
    </row>
    <row r="12" spans="1:4" ht="17.25">
      <c r="B12" s="34">
        <v>810</v>
      </c>
      <c r="C12" s="36" t="s">
        <v>98</v>
      </c>
      <c r="D12" s="43">
        <f>13.5</f>
        <v>13.5</v>
      </c>
    </row>
    <row r="13" spans="1:4" ht="17.25">
      <c r="B13" s="29">
        <v>806</v>
      </c>
      <c r="C13" s="41" t="s">
        <v>103</v>
      </c>
      <c r="D13" s="75">
        <f>8.5</f>
        <v>8.5</v>
      </c>
    </row>
    <row r="14" spans="1:4" ht="17.25">
      <c r="B14" s="29">
        <v>479</v>
      </c>
      <c r="C14" s="36" t="s">
        <v>107</v>
      </c>
      <c r="D14" s="38">
        <f>3</f>
        <v>3</v>
      </c>
    </row>
    <row r="15" spans="1:4" ht="17.25">
      <c r="B15" s="34">
        <v>868</v>
      </c>
      <c r="C15" s="36" t="s">
        <v>109</v>
      </c>
      <c r="D15" s="43">
        <f>2.5</f>
        <v>2.5</v>
      </c>
    </row>
    <row r="16" spans="1:4" ht="17.25">
      <c r="B16" s="29">
        <v>412</v>
      </c>
      <c r="C16" s="36" t="s">
        <v>111</v>
      </c>
      <c r="D16" s="95">
        <f>1.5</f>
        <v>1.5</v>
      </c>
    </row>
  </sheetData>
  <sortState xmlns:xlrd2="http://schemas.microsoft.com/office/spreadsheetml/2017/richdata2" ref="B4:D16">
    <sortCondition descending="1" ref="D4:D1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A381-0EA1-420C-A93B-81DCE1E49442}">
  <dimension ref="A1:D7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7.5703125" style="1" bestFit="1" customWidth="1"/>
    <col min="4" max="16384" width="9.140625" style="1"/>
  </cols>
  <sheetData>
    <row r="1" spans="1:4">
      <c r="A1" s="14" t="s">
        <v>139</v>
      </c>
      <c r="C1" s="70">
        <v>44384</v>
      </c>
    </row>
    <row r="3" spans="1:4" ht="31.5">
      <c r="A3" s="3" t="s">
        <v>0</v>
      </c>
      <c r="B3" s="47" t="s">
        <v>1</v>
      </c>
      <c r="C3" s="47" t="s">
        <v>2</v>
      </c>
      <c r="D3" s="118" t="s">
        <v>114</v>
      </c>
    </row>
    <row r="4" spans="1:4" ht="17.25">
      <c r="B4" s="46">
        <v>213</v>
      </c>
      <c r="C4" s="117" t="s">
        <v>67</v>
      </c>
      <c r="D4" s="37">
        <f>16+25</f>
        <v>41</v>
      </c>
    </row>
    <row r="5" spans="1:4" ht="17.25">
      <c r="B5" s="29">
        <v>676</v>
      </c>
      <c r="C5" s="36" t="s">
        <v>68</v>
      </c>
      <c r="D5" s="38">
        <f>0.5+38</f>
        <v>38.5</v>
      </c>
    </row>
    <row r="6" spans="1:4" ht="17.25">
      <c r="B6" s="34">
        <v>149</v>
      </c>
      <c r="C6" s="41" t="s">
        <v>79</v>
      </c>
      <c r="D6" s="75">
        <f>37.5</f>
        <v>37.5</v>
      </c>
    </row>
    <row r="7" spans="1:4" ht="17.25">
      <c r="B7" s="34">
        <v>393</v>
      </c>
      <c r="C7" s="36" t="s">
        <v>140</v>
      </c>
      <c r="D7" s="52">
        <v>31.5</v>
      </c>
    </row>
  </sheetData>
  <sortState xmlns:xlrd2="http://schemas.microsoft.com/office/spreadsheetml/2017/richdata2" ref="B4:D7">
    <sortCondition descending="1" ref="D4:D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83-D020-4A62-9F58-D9D10A74BE88}">
  <dimension ref="A1:D7"/>
  <sheetViews>
    <sheetView workbookViewId="0">
      <selection activeCell="B7" sqref="B7:C7"/>
    </sheetView>
  </sheetViews>
  <sheetFormatPr defaultRowHeight="15.75"/>
  <cols>
    <col min="1" max="1" width="14.7109375" style="1" customWidth="1"/>
    <col min="2" max="2" width="9.140625" style="1"/>
    <col min="3" max="3" width="22" style="1" bestFit="1" customWidth="1"/>
    <col min="4" max="16384" width="9.140625" style="1"/>
  </cols>
  <sheetData>
    <row r="1" spans="1:4">
      <c r="A1" s="14" t="s">
        <v>141</v>
      </c>
      <c r="C1" s="70">
        <v>44384</v>
      </c>
    </row>
    <row r="3" spans="1:4" ht="31.5">
      <c r="A3" s="3" t="s">
        <v>0</v>
      </c>
      <c r="B3" s="47" t="s">
        <v>1</v>
      </c>
      <c r="C3" s="47" t="s">
        <v>2</v>
      </c>
      <c r="D3" s="118" t="s">
        <v>114</v>
      </c>
    </row>
    <row r="4" spans="1:4" ht="17.25">
      <c r="B4" s="46">
        <v>230</v>
      </c>
      <c r="C4" s="49" t="s">
        <v>51</v>
      </c>
      <c r="D4" s="119">
        <f>19+38.5</f>
        <v>57.5</v>
      </c>
    </row>
    <row r="5" spans="1:4" ht="17.25">
      <c r="B5" s="33">
        <v>81</v>
      </c>
      <c r="C5" s="36" t="s">
        <v>84</v>
      </c>
      <c r="D5" s="39">
        <f>0.5+31.5</f>
        <v>32</v>
      </c>
    </row>
    <row r="6" spans="1:4" ht="17.25">
      <c r="B6" s="29">
        <v>826</v>
      </c>
      <c r="C6" s="36" t="s">
        <v>92</v>
      </c>
      <c r="D6" s="38">
        <v>25.5</v>
      </c>
    </row>
    <row r="7" spans="1:4" ht="17.25">
      <c r="B7" s="34">
        <v>71</v>
      </c>
      <c r="C7" s="36" t="s">
        <v>112</v>
      </c>
      <c r="D7" s="52">
        <v>0.5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6250-C349-49BD-A162-568A5D9F47F0}">
  <sheetPr>
    <tabColor rgb="FF00B0F0"/>
  </sheetPr>
  <dimension ref="A1:D7"/>
  <sheetViews>
    <sheetView workbookViewId="0">
      <selection activeCell="C1" sqref="C1"/>
    </sheetView>
  </sheetViews>
  <sheetFormatPr defaultRowHeight="15.75"/>
  <cols>
    <col min="1" max="1" width="14.7109375" style="20" customWidth="1"/>
    <col min="2" max="2" width="9.140625" style="20"/>
    <col min="3" max="3" width="23.140625" style="20" bestFit="1" customWidth="1"/>
    <col min="4" max="16384" width="9.140625" style="20"/>
  </cols>
  <sheetData>
    <row r="1" spans="1:4">
      <c r="A1" s="19" t="s">
        <v>142</v>
      </c>
      <c r="C1" s="70">
        <v>44384</v>
      </c>
    </row>
    <row r="3" spans="1:4" ht="31.5">
      <c r="A3" s="21" t="s">
        <v>0</v>
      </c>
      <c r="B3" s="22" t="s">
        <v>1</v>
      </c>
      <c r="C3" s="22" t="s">
        <v>2</v>
      </c>
      <c r="D3" s="121" t="s">
        <v>114</v>
      </c>
    </row>
    <row r="4" spans="1:4" ht="17.25">
      <c r="B4" s="120">
        <v>864</v>
      </c>
      <c r="C4" s="135" t="s">
        <v>108</v>
      </c>
      <c r="D4" s="132">
        <f>29+31+33+31</f>
        <v>124</v>
      </c>
    </row>
    <row r="5" spans="1:4" ht="17.25">
      <c r="B5" s="120">
        <v>829</v>
      </c>
      <c r="C5" s="135" t="s">
        <v>143</v>
      </c>
      <c r="D5" s="133">
        <f>14+25+17+25+30</f>
        <v>111</v>
      </c>
    </row>
    <row r="6" spans="1:4" ht="17.25">
      <c r="B6" s="120">
        <v>800</v>
      </c>
      <c r="C6" s="135" t="s">
        <v>144</v>
      </c>
      <c r="D6" s="133">
        <f>19+38+37</f>
        <v>94</v>
      </c>
    </row>
    <row r="7" spans="1:4" ht="17.25">
      <c r="B7" s="120">
        <v>869</v>
      </c>
      <c r="C7" s="135" t="s">
        <v>145</v>
      </c>
      <c r="D7" s="134">
        <f>35</f>
        <v>35</v>
      </c>
    </row>
  </sheetData>
  <sortState xmlns:xlrd2="http://schemas.microsoft.com/office/spreadsheetml/2017/richdata2" ref="B3:D7">
    <sortCondition descending="1" ref="D3:D7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228F-9794-4FEA-868E-3B5531E34ABC}">
  <sheetPr>
    <tabColor rgb="FF00B0F0"/>
  </sheetPr>
  <dimension ref="A1:D25"/>
  <sheetViews>
    <sheetView workbookViewId="0">
      <selection activeCell="F6" sqref="F6"/>
    </sheetView>
  </sheetViews>
  <sheetFormatPr defaultRowHeight="15.75"/>
  <cols>
    <col min="1" max="1" width="14.7109375" style="20" customWidth="1"/>
    <col min="2" max="2" width="9.140625" style="20"/>
    <col min="3" max="3" width="24.140625" style="20" bestFit="1" customWidth="1"/>
    <col min="4" max="16384" width="9.140625" style="20"/>
  </cols>
  <sheetData>
    <row r="1" spans="1:4">
      <c r="A1" s="19" t="s">
        <v>146</v>
      </c>
      <c r="C1" s="70">
        <v>44384</v>
      </c>
    </row>
    <row r="3" spans="1:4" ht="31.5">
      <c r="A3" s="21" t="s">
        <v>0</v>
      </c>
      <c r="B3" s="79" t="s">
        <v>1</v>
      </c>
      <c r="C3" s="79" t="s">
        <v>2</v>
      </c>
      <c r="D3" s="131" t="s">
        <v>114</v>
      </c>
    </row>
    <row r="4" spans="1:4" ht="17.25">
      <c r="B4" s="124">
        <v>969</v>
      </c>
      <c r="C4" s="94" t="s">
        <v>147</v>
      </c>
      <c r="D4" s="125">
        <f>18+41+35+1+42+38</f>
        <v>175</v>
      </c>
    </row>
    <row r="5" spans="1:4" ht="17.25">
      <c r="B5" s="123">
        <v>900</v>
      </c>
      <c r="C5" s="129" t="s">
        <v>148</v>
      </c>
      <c r="D5" s="126">
        <f>22+25+39+37+33</f>
        <v>156</v>
      </c>
    </row>
    <row r="6" spans="1:4" ht="17.25">
      <c r="B6" s="77">
        <v>807</v>
      </c>
      <c r="C6" s="36" t="s">
        <v>149</v>
      </c>
      <c r="D6" s="82">
        <f>41+48+51</f>
        <v>140</v>
      </c>
    </row>
    <row r="7" spans="1:4" ht="17.25">
      <c r="B7" s="123">
        <v>905</v>
      </c>
      <c r="C7" s="129" t="s">
        <v>150</v>
      </c>
      <c r="D7" s="126">
        <f>27+13+27+44</f>
        <v>111</v>
      </c>
    </row>
    <row r="8" spans="1:4" ht="17.25">
      <c r="B8" s="123">
        <v>824</v>
      </c>
      <c r="C8" s="129" t="s">
        <v>151</v>
      </c>
      <c r="D8" s="126">
        <f>37+55+19</f>
        <v>111</v>
      </c>
    </row>
    <row r="9" spans="1:4" ht="17.25">
      <c r="B9" s="123">
        <v>913</v>
      </c>
      <c r="C9" s="129" t="s">
        <v>152</v>
      </c>
      <c r="D9" s="126">
        <f>43+30+1+1+23</f>
        <v>98</v>
      </c>
    </row>
    <row r="10" spans="1:4" ht="17.25">
      <c r="B10" s="123">
        <v>802</v>
      </c>
      <c r="C10" s="129" t="s">
        <v>104</v>
      </c>
      <c r="D10" s="126">
        <f>32+34+32</f>
        <v>98</v>
      </c>
    </row>
    <row r="11" spans="1:4" ht="17.25">
      <c r="B11" s="122">
        <v>916</v>
      </c>
      <c r="C11" s="129" t="s">
        <v>153</v>
      </c>
      <c r="D11" s="127">
        <f>12+28+10+8+12+13</f>
        <v>83</v>
      </c>
    </row>
    <row r="12" spans="1:4" ht="17.25">
      <c r="B12" s="122">
        <v>827</v>
      </c>
      <c r="C12" s="129" t="s">
        <v>154</v>
      </c>
      <c r="D12" s="127">
        <f>23+3+23+14+10</f>
        <v>73</v>
      </c>
    </row>
    <row r="13" spans="1:4" ht="17.25">
      <c r="B13" s="123">
        <v>816</v>
      </c>
      <c r="C13" s="130" t="s">
        <v>155</v>
      </c>
      <c r="D13" s="126">
        <f>20+14+10+8</f>
        <v>52</v>
      </c>
    </row>
    <row r="14" spans="1:4" ht="17.25">
      <c r="B14" s="122">
        <v>907</v>
      </c>
      <c r="C14" s="130" t="s">
        <v>156</v>
      </c>
      <c r="D14" s="127">
        <f>5+28+17+1</f>
        <v>51</v>
      </c>
    </row>
    <row r="15" spans="1:4" ht="17.25">
      <c r="B15" s="123">
        <v>821</v>
      </c>
      <c r="C15" s="129" t="s">
        <v>157</v>
      </c>
      <c r="D15" s="126">
        <f>50</f>
        <v>50</v>
      </c>
    </row>
    <row r="16" spans="1:4" ht="17.25">
      <c r="B16" s="77">
        <v>810</v>
      </c>
      <c r="C16" s="36" t="s">
        <v>158</v>
      </c>
      <c r="D16" s="82">
        <f>20+28</f>
        <v>48</v>
      </c>
    </row>
    <row r="17" spans="2:4" ht="17.25">
      <c r="B17" s="122">
        <v>808</v>
      </c>
      <c r="C17" s="129" t="s">
        <v>159</v>
      </c>
      <c r="D17" s="127">
        <f>9+18</f>
        <v>27</v>
      </c>
    </row>
    <row r="18" spans="2:4" ht="17.25">
      <c r="B18" s="77">
        <v>815</v>
      </c>
      <c r="C18" s="36" t="s">
        <v>160</v>
      </c>
      <c r="D18" s="82">
        <f>8+5</f>
        <v>13</v>
      </c>
    </row>
    <row r="19" spans="2:4" ht="17.25">
      <c r="B19" s="123">
        <v>911</v>
      </c>
      <c r="C19" s="129" t="s">
        <v>161</v>
      </c>
      <c r="D19" s="127">
        <f>5+6</f>
        <v>11</v>
      </c>
    </row>
    <row r="20" spans="2:4" ht="17.25">
      <c r="B20" s="77">
        <v>870</v>
      </c>
      <c r="C20" s="36" t="s">
        <v>162</v>
      </c>
      <c r="D20" s="82">
        <f>7</f>
        <v>7</v>
      </c>
    </row>
    <row r="21" spans="2:4" ht="17.25">
      <c r="B21" s="77">
        <v>977</v>
      </c>
      <c r="C21" s="36" t="s">
        <v>163</v>
      </c>
      <c r="D21" s="82">
        <f>4+3</f>
        <v>7</v>
      </c>
    </row>
    <row r="22" spans="2:4" ht="17.25">
      <c r="B22" s="77">
        <v>999</v>
      </c>
      <c r="C22" s="36" t="s">
        <v>164</v>
      </c>
      <c r="D22" s="82">
        <f>5</f>
        <v>5</v>
      </c>
    </row>
    <row r="23" spans="2:4" ht="17.25">
      <c r="B23" s="123">
        <v>903</v>
      </c>
      <c r="C23" s="129" t="s">
        <v>165</v>
      </c>
      <c r="D23" s="126">
        <f>1+1</f>
        <v>2</v>
      </c>
    </row>
    <row r="24" spans="2:4" ht="17.25">
      <c r="B24" s="122">
        <v>812</v>
      </c>
      <c r="C24" s="130" t="s">
        <v>166</v>
      </c>
      <c r="D24" s="127">
        <f>2</f>
        <v>2</v>
      </c>
    </row>
    <row r="25" spans="2:4" ht="17.25">
      <c r="B25" s="123">
        <v>818</v>
      </c>
      <c r="C25" s="129" t="s">
        <v>167</v>
      </c>
      <c r="D25" s="128">
        <f>1</f>
        <v>1</v>
      </c>
    </row>
  </sheetData>
  <sortState xmlns:xlrd2="http://schemas.microsoft.com/office/spreadsheetml/2017/richdata2" ref="B4:D25">
    <sortCondition descending="1" ref="D4:D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3F0-A220-4A7F-B33C-4128E64EDBDD}">
  <dimension ref="A1:D19"/>
  <sheetViews>
    <sheetView workbookViewId="0">
      <selection activeCell="C2" sqref="C2"/>
    </sheetView>
  </sheetViews>
  <sheetFormatPr defaultRowHeight="15.75"/>
  <cols>
    <col min="1" max="1" width="12" style="1" customWidth="1"/>
    <col min="2" max="2" width="9.140625" style="25"/>
    <col min="3" max="3" width="22.85546875" style="1" customWidth="1"/>
    <col min="4" max="4" width="9.140625" style="26"/>
    <col min="5" max="16384" width="9.140625" style="1"/>
  </cols>
  <sheetData>
    <row r="1" spans="1:4">
      <c r="A1" s="14" t="s">
        <v>113</v>
      </c>
    </row>
    <row r="2" spans="1:4">
      <c r="A2" s="14"/>
      <c r="C2" s="70">
        <v>44384</v>
      </c>
    </row>
    <row r="3" spans="1:4" ht="31.5">
      <c r="A3" s="3" t="s">
        <v>0</v>
      </c>
      <c r="B3" s="47" t="s">
        <v>1</v>
      </c>
      <c r="C3" s="45" t="s">
        <v>2</v>
      </c>
      <c r="D3" s="48" t="s">
        <v>114</v>
      </c>
    </row>
    <row r="4" spans="1:4" ht="17.25">
      <c r="B4" s="46" t="s">
        <v>20</v>
      </c>
      <c r="C4" s="49" t="s">
        <v>21</v>
      </c>
      <c r="D4" s="37">
        <f>94+78+100</f>
        <v>272</v>
      </c>
    </row>
    <row r="5" spans="1:4" ht="17.25">
      <c r="B5" s="34" t="s">
        <v>23</v>
      </c>
      <c r="C5" s="36" t="s">
        <v>24</v>
      </c>
      <c r="D5" s="38">
        <f>63+77+64</f>
        <v>204</v>
      </c>
    </row>
    <row r="6" spans="1:4" ht="17.25">
      <c r="B6" s="29">
        <v>2</v>
      </c>
      <c r="C6" s="36" t="s">
        <v>25</v>
      </c>
      <c r="D6" s="39">
        <f>63+50+65</f>
        <v>178</v>
      </c>
    </row>
    <row r="7" spans="1:4" ht="17.25">
      <c r="B7" s="29">
        <v>1</v>
      </c>
      <c r="C7" s="36" t="s">
        <v>22</v>
      </c>
      <c r="D7" s="39">
        <f>41+78+42</f>
        <v>161</v>
      </c>
    </row>
    <row r="8" spans="1:4" ht="17.25">
      <c r="B8" s="29">
        <v>4</v>
      </c>
      <c r="C8" s="36" t="s">
        <v>26</v>
      </c>
      <c r="D8" s="39">
        <f>41+31+45</f>
        <v>117</v>
      </c>
    </row>
    <row r="9" spans="1:4" ht="17.25">
      <c r="B9" s="29">
        <v>29</v>
      </c>
      <c r="C9" s="36" t="s">
        <v>31</v>
      </c>
      <c r="D9" s="39">
        <f>38+74</f>
        <v>112</v>
      </c>
    </row>
    <row r="10" spans="1:4" ht="17.25">
      <c r="B10" s="29">
        <v>38</v>
      </c>
      <c r="C10" s="36" t="s">
        <v>35</v>
      </c>
      <c r="D10" s="39">
        <f>45+49</f>
        <v>94</v>
      </c>
    </row>
    <row r="11" spans="1:4" ht="17.25">
      <c r="B11" s="29">
        <v>73</v>
      </c>
      <c r="C11" s="36" t="s">
        <v>27</v>
      </c>
      <c r="D11" s="39">
        <f>18+24+19</f>
        <v>61</v>
      </c>
    </row>
    <row r="12" spans="1:4" ht="17.25">
      <c r="B12" s="33">
        <v>284</v>
      </c>
      <c r="C12" s="40" t="s">
        <v>38</v>
      </c>
      <c r="D12" s="39">
        <f>30+13+12</f>
        <v>55</v>
      </c>
    </row>
    <row r="13" spans="1:4" ht="17.25">
      <c r="B13" s="29">
        <v>82</v>
      </c>
      <c r="C13" s="36" t="s">
        <v>48</v>
      </c>
      <c r="D13" s="39">
        <f>18+15+21</f>
        <v>54</v>
      </c>
    </row>
    <row r="14" spans="1:4" ht="17.25">
      <c r="B14" s="29">
        <v>121</v>
      </c>
      <c r="C14" s="36" t="s">
        <v>55</v>
      </c>
      <c r="D14" s="39">
        <f>48+1</f>
        <v>49</v>
      </c>
    </row>
    <row r="15" spans="1:4" ht="17.25">
      <c r="B15" s="29">
        <v>97</v>
      </c>
      <c r="C15" s="36" t="s">
        <v>53</v>
      </c>
      <c r="D15" s="39">
        <f>12+5</f>
        <v>17</v>
      </c>
    </row>
    <row r="16" spans="1:4" ht="17.25">
      <c r="B16" s="29">
        <v>314</v>
      </c>
      <c r="C16" s="41" t="s">
        <v>87</v>
      </c>
      <c r="D16" s="42">
        <f>10+7</f>
        <v>17</v>
      </c>
    </row>
    <row r="17" spans="2:4" ht="17.25">
      <c r="B17" s="34">
        <v>78</v>
      </c>
      <c r="C17" s="36" t="s">
        <v>36</v>
      </c>
      <c r="D17" s="43">
        <f>9</f>
        <v>9</v>
      </c>
    </row>
    <row r="18" spans="2:4" ht="17.25">
      <c r="B18" s="34">
        <v>340</v>
      </c>
      <c r="C18" s="36" t="s">
        <v>69</v>
      </c>
      <c r="D18" s="43">
        <f>6</f>
        <v>6</v>
      </c>
    </row>
    <row r="19" spans="2:4" ht="17.25">
      <c r="B19" s="29">
        <v>56</v>
      </c>
      <c r="C19" s="41" t="s">
        <v>110</v>
      </c>
      <c r="D19" s="44">
        <f>1</f>
        <v>1</v>
      </c>
    </row>
  </sheetData>
  <sortState xmlns:xlrd2="http://schemas.microsoft.com/office/spreadsheetml/2017/richdata2" ref="B4:D19">
    <sortCondition descending="1" ref="D4:D19"/>
  </sortState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478-63B6-49E9-B67F-0EF69F9956AE}">
  <sheetPr>
    <tabColor rgb="FF00B0F0"/>
  </sheetPr>
  <dimension ref="A1:D7"/>
  <sheetViews>
    <sheetView workbookViewId="0">
      <selection activeCell="C1" sqref="C1"/>
    </sheetView>
  </sheetViews>
  <sheetFormatPr defaultRowHeight="15.75"/>
  <cols>
    <col min="1" max="1" width="14.7109375" style="20" customWidth="1"/>
    <col min="2" max="2" width="9.140625" style="20"/>
    <col min="3" max="3" width="22.5703125" style="20" bestFit="1" customWidth="1"/>
    <col min="4" max="16384" width="9.140625" style="20"/>
  </cols>
  <sheetData>
    <row r="1" spans="1:4">
      <c r="A1" s="19" t="s">
        <v>168</v>
      </c>
      <c r="C1" s="70">
        <v>44384</v>
      </c>
    </row>
    <row r="3" spans="1:4" ht="31.5">
      <c r="A3" s="21" t="s">
        <v>0</v>
      </c>
      <c r="B3" s="79" t="s">
        <v>1</v>
      </c>
      <c r="C3" s="78" t="s">
        <v>2</v>
      </c>
      <c r="D3" s="80" t="s">
        <v>114</v>
      </c>
    </row>
    <row r="4" spans="1:4" ht="17.25">
      <c r="B4" s="50">
        <v>24</v>
      </c>
      <c r="C4" s="49" t="s">
        <v>97</v>
      </c>
      <c r="D4" s="81">
        <f>33</f>
        <v>33</v>
      </c>
    </row>
    <row r="5" spans="1:4" ht="17.25">
      <c r="B5" s="34">
        <v>314</v>
      </c>
      <c r="C5" s="36" t="s">
        <v>87</v>
      </c>
      <c r="D5" s="82">
        <f>27</f>
        <v>27</v>
      </c>
    </row>
    <row r="6" spans="1:4" ht="17.25">
      <c r="B6" s="34">
        <v>397</v>
      </c>
      <c r="C6" s="36" t="s">
        <v>81</v>
      </c>
      <c r="D6" s="82">
        <f>22</f>
        <v>22</v>
      </c>
    </row>
    <row r="7" spans="1:4" ht="17.25">
      <c r="B7" s="34">
        <v>432</v>
      </c>
      <c r="C7" s="36" t="s">
        <v>108</v>
      </c>
      <c r="D7" s="83">
        <f>17</f>
        <v>17</v>
      </c>
    </row>
  </sheetData>
  <sortState xmlns:xlrd2="http://schemas.microsoft.com/office/spreadsheetml/2017/richdata2" ref="B4:D5">
    <sortCondition descending="1" ref="D4:D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1FC-3E31-43C3-B8EC-F76F33EFE322}">
  <sheetPr>
    <tabColor rgb="FF00B0F0"/>
  </sheetPr>
  <dimension ref="A1:D6"/>
  <sheetViews>
    <sheetView workbookViewId="0">
      <selection activeCell="C2" sqref="C2"/>
    </sheetView>
  </sheetViews>
  <sheetFormatPr defaultRowHeight="15.75"/>
  <cols>
    <col min="1" max="1" width="14.7109375" style="20" customWidth="1"/>
    <col min="2" max="2" width="9.140625" style="20"/>
    <col min="3" max="3" width="19.28515625" style="20" bestFit="1" customWidth="1"/>
    <col min="4" max="16384" width="9.140625" style="20"/>
  </cols>
  <sheetData>
    <row r="1" spans="1:4">
      <c r="A1" s="19" t="s">
        <v>169</v>
      </c>
    </row>
    <row r="2" spans="1:4">
      <c r="C2" s="70">
        <v>44384</v>
      </c>
    </row>
    <row r="3" spans="1:4" ht="31.5">
      <c r="A3" s="21" t="s">
        <v>0</v>
      </c>
      <c r="B3" s="79" t="s">
        <v>1</v>
      </c>
      <c r="C3" s="78" t="s">
        <v>2</v>
      </c>
      <c r="D3" s="80" t="s">
        <v>114</v>
      </c>
    </row>
    <row r="4" spans="1:4" ht="17.25">
      <c r="B4" s="93">
        <v>339</v>
      </c>
      <c r="C4" s="94" t="s">
        <v>82</v>
      </c>
      <c r="D4" s="81">
        <f>36+31</f>
        <v>67</v>
      </c>
    </row>
    <row r="5" spans="1:4" ht="17.25">
      <c r="B5" s="77">
        <v>45</v>
      </c>
      <c r="C5" s="36" t="s">
        <v>167</v>
      </c>
      <c r="D5" s="82">
        <f>38</f>
        <v>38</v>
      </c>
    </row>
    <row r="6" spans="1:4" ht="17.25">
      <c r="B6" s="77">
        <v>131</v>
      </c>
      <c r="C6" s="36" t="s">
        <v>170</v>
      </c>
      <c r="D6" s="83">
        <f>25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F67F-9130-4F75-9F18-9A28E1648B8B}">
  <dimension ref="A1:D34"/>
  <sheetViews>
    <sheetView workbookViewId="0">
      <selection activeCell="C1" sqref="C1"/>
    </sheetView>
  </sheetViews>
  <sheetFormatPr defaultRowHeight="15.75"/>
  <cols>
    <col min="1" max="1" width="12.5703125" style="1" customWidth="1"/>
    <col min="2" max="2" width="9.140625" style="25"/>
    <col min="3" max="3" width="22.28515625" style="1" bestFit="1" customWidth="1"/>
    <col min="4" max="4" width="9.140625" style="26"/>
    <col min="5" max="16384" width="9.140625" style="1"/>
  </cols>
  <sheetData>
    <row r="1" spans="1:4">
      <c r="A1" s="14" t="s">
        <v>115</v>
      </c>
      <c r="C1" s="70">
        <v>44384</v>
      </c>
    </row>
    <row r="2" spans="1:4">
      <c r="A2" s="14"/>
    </row>
    <row r="3" spans="1:4" ht="31.5">
      <c r="A3" s="3" t="s">
        <v>0</v>
      </c>
      <c r="B3" s="47" t="s">
        <v>1</v>
      </c>
      <c r="C3" s="45" t="s">
        <v>2</v>
      </c>
      <c r="D3" s="48" t="s">
        <v>114</v>
      </c>
    </row>
    <row r="4" spans="1:4" ht="17.25">
      <c r="B4" s="46">
        <v>1</v>
      </c>
      <c r="C4" s="49" t="s">
        <v>22</v>
      </c>
      <c r="D4" s="51">
        <f>55+43+60</f>
        <v>158</v>
      </c>
    </row>
    <row r="5" spans="1:4" ht="17.25">
      <c r="B5" s="29">
        <v>73</v>
      </c>
      <c r="C5" s="36" t="s">
        <v>27</v>
      </c>
      <c r="D5" s="42">
        <f>32+36+42</f>
        <v>110</v>
      </c>
    </row>
    <row r="6" spans="1:4" ht="17.25">
      <c r="B6" s="29">
        <v>4</v>
      </c>
      <c r="C6" s="36" t="s">
        <v>26</v>
      </c>
      <c r="D6" s="42">
        <f>37+47</f>
        <v>84</v>
      </c>
    </row>
    <row r="7" spans="1:4" ht="17.25">
      <c r="B7" s="33">
        <v>284</v>
      </c>
      <c r="C7" s="40" t="s">
        <v>38</v>
      </c>
      <c r="D7" s="42">
        <f>27+20+25</f>
        <v>72</v>
      </c>
    </row>
    <row r="8" spans="1:4" ht="17.25">
      <c r="B8" s="29">
        <v>84</v>
      </c>
      <c r="C8" s="36" t="s">
        <v>34</v>
      </c>
      <c r="D8" s="42">
        <f>14+30+22</f>
        <v>66</v>
      </c>
    </row>
    <row r="9" spans="1:4" ht="17.25">
      <c r="B9" s="29">
        <v>2</v>
      </c>
      <c r="C9" s="36" t="s">
        <v>25</v>
      </c>
      <c r="D9" s="42">
        <f>1+1+53</f>
        <v>55</v>
      </c>
    </row>
    <row r="10" spans="1:4" ht="17.25">
      <c r="B10" s="34">
        <v>126</v>
      </c>
      <c r="C10" s="36" t="s">
        <v>59</v>
      </c>
      <c r="D10" s="42">
        <f>12+25+12</f>
        <v>49</v>
      </c>
    </row>
    <row r="11" spans="1:4" ht="17.25">
      <c r="B11" s="29">
        <v>29</v>
      </c>
      <c r="C11" s="36" t="s">
        <v>31</v>
      </c>
      <c r="D11" s="42">
        <f>48</f>
        <v>48</v>
      </c>
    </row>
    <row r="12" spans="1:4" ht="17.25">
      <c r="B12" s="29">
        <v>6</v>
      </c>
      <c r="C12" s="36" t="s">
        <v>46</v>
      </c>
      <c r="D12" s="42">
        <f>20+11+15</f>
        <v>46</v>
      </c>
    </row>
    <row r="13" spans="1:4" ht="17.25">
      <c r="B13" s="29">
        <v>77</v>
      </c>
      <c r="C13" s="36" t="s">
        <v>47</v>
      </c>
      <c r="D13" s="42">
        <f>42</f>
        <v>42</v>
      </c>
    </row>
    <row r="14" spans="1:4" ht="17.25">
      <c r="B14" s="34">
        <v>90</v>
      </c>
      <c r="C14" s="36" t="s">
        <v>58</v>
      </c>
      <c r="D14" s="43">
        <f>37</f>
        <v>37</v>
      </c>
    </row>
    <row r="15" spans="1:4" ht="17.25">
      <c r="B15" s="34">
        <v>340</v>
      </c>
      <c r="C15" s="36" t="s">
        <v>69</v>
      </c>
      <c r="D15" s="43">
        <f>32</f>
        <v>32</v>
      </c>
    </row>
    <row r="16" spans="1:4" ht="17.25">
      <c r="B16" s="29">
        <v>343</v>
      </c>
      <c r="C16" s="36" t="s">
        <v>42</v>
      </c>
      <c r="D16" s="42">
        <f>10+19</f>
        <v>29</v>
      </c>
    </row>
    <row r="17" spans="2:4" ht="17.25">
      <c r="B17" s="34">
        <v>66</v>
      </c>
      <c r="C17" s="36" t="s">
        <v>44</v>
      </c>
      <c r="D17" s="43">
        <f>28</f>
        <v>28</v>
      </c>
    </row>
    <row r="18" spans="2:4" ht="17.25">
      <c r="B18" s="34">
        <v>92</v>
      </c>
      <c r="C18" s="40" t="s">
        <v>57</v>
      </c>
      <c r="D18" s="39">
        <f>8+15+1</f>
        <v>24</v>
      </c>
    </row>
    <row r="19" spans="2:4" ht="17.25">
      <c r="B19" s="29">
        <v>78</v>
      </c>
      <c r="C19" s="36" t="s">
        <v>36</v>
      </c>
      <c r="D19" s="42">
        <f>23</f>
        <v>23</v>
      </c>
    </row>
    <row r="20" spans="2:4" ht="17.25">
      <c r="B20" s="29">
        <v>253</v>
      </c>
      <c r="C20" s="36" t="s">
        <v>71</v>
      </c>
      <c r="D20" s="42">
        <f>5+13</f>
        <v>18</v>
      </c>
    </row>
    <row r="21" spans="2:4" ht="17.25">
      <c r="B21" s="34">
        <v>31</v>
      </c>
      <c r="C21" s="36" t="s">
        <v>45</v>
      </c>
      <c r="D21" s="42">
        <f>17</f>
        <v>17</v>
      </c>
    </row>
    <row r="22" spans="2:4" ht="17.25">
      <c r="B22" s="34">
        <v>32</v>
      </c>
      <c r="C22" s="36" t="s">
        <v>41</v>
      </c>
      <c r="D22" s="43">
        <f>17</f>
        <v>17</v>
      </c>
    </row>
    <row r="23" spans="2:4" ht="17.25">
      <c r="B23" s="29">
        <v>397</v>
      </c>
      <c r="C23" s="41" t="s">
        <v>81</v>
      </c>
      <c r="D23" s="42">
        <f>7+9</f>
        <v>16</v>
      </c>
    </row>
    <row r="24" spans="2:4" ht="17.25">
      <c r="B24" s="34">
        <v>53</v>
      </c>
      <c r="C24" s="36" t="s">
        <v>78</v>
      </c>
      <c r="D24" s="43">
        <f>14</f>
        <v>14</v>
      </c>
    </row>
    <row r="25" spans="2:4" ht="17.25">
      <c r="B25" s="29">
        <v>351</v>
      </c>
      <c r="C25" s="41" t="s">
        <v>54</v>
      </c>
      <c r="D25" s="42">
        <f>6+7</f>
        <v>13</v>
      </c>
    </row>
    <row r="26" spans="2:4" ht="17.25">
      <c r="B26" s="34">
        <v>47</v>
      </c>
      <c r="C26" s="36" t="s">
        <v>77</v>
      </c>
      <c r="D26" s="43">
        <f>11</f>
        <v>11</v>
      </c>
    </row>
    <row r="27" spans="2:4" ht="17.25">
      <c r="B27" s="29">
        <v>247</v>
      </c>
      <c r="C27" s="41" t="s">
        <v>70</v>
      </c>
      <c r="D27" s="42">
        <f>9+1</f>
        <v>10</v>
      </c>
    </row>
    <row r="28" spans="2:4" ht="17.25">
      <c r="B28" s="34">
        <v>181</v>
      </c>
      <c r="C28" s="36" t="s">
        <v>90</v>
      </c>
      <c r="D28" s="43">
        <f>10</f>
        <v>10</v>
      </c>
    </row>
    <row r="29" spans="2:4" ht="17.25">
      <c r="B29" s="34">
        <v>33</v>
      </c>
      <c r="C29" s="36" t="s">
        <v>104</v>
      </c>
      <c r="D29" s="43">
        <f>8</f>
        <v>8</v>
      </c>
    </row>
    <row r="30" spans="2:4" ht="17.25">
      <c r="B30" s="34">
        <v>85</v>
      </c>
      <c r="C30" s="36" t="s">
        <v>100</v>
      </c>
      <c r="D30" s="43">
        <f>6</f>
        <v>6</v>
      </c>
    </row>
    <row r="31" spans="2:4" ht="17.25">
      <c r="B31" s="34">
        <v>339</v>
      </c>
      <c r="C31" s="36" t="s">
        <v>82</v>
      </c>
      <c r="D31" s="43">
        <f>5</f>
        <v>5</v>
      </c>
    </row>
    <row r="32" spans="2:4" ht="17.25">
      <c r="B32" s="29">
        <v>313</v>
      </c>
      <c r="C32" s="36" t="s">
        <v>99</v>
      </c>
      <c r="D32" s="42">
        <f>4</f>
        <v>4</v>
      </c>
    </row>
    <row r="33" spans="2:4" ht="17.25">
      <c r="B33" s="29">
        <v>61</v>
      </c>
      <c r="C33" s="36" t="s">
        <v>94</v>
      </c>
      <c r="D33" s="42">
        <f>3</f>
        <v>3</v>
      </c>
    </row>
    <row r="34" spans="2:4" ht="17.25">
      <c r="B34" s="34">
        <v>104</v>
      </c>
      <c r="C34" s="41" t="s">
        <v>91</v>
      </c>
      <c r="D34" s="52">
        <v>1</v>
      </c>
    </row>
  </sheetData>
  <sortState xmlns:xlrd2="http://schemas.microsoft.com/office/spreadsheetml/2017/richdata2" ref="B3:D34">
    <sortCondition descending="1" ref="D3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B7C-E575-4B1B-B00C-7B5AD612FF2A}">
  <dimension ref="A1:D14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1.28515625" style="1" bestFit="1" customWidth="1"/>
    <col min="4" max="16384" width="9.140625" style="1"/>
  </cols>
  <sheetData>
    <row r="1" spans="1:4">
      <c r="A1" s="14" t="s">
        <v>116</v>
      </c>
      <c r="C1" s="70">
        <v>44384</v>
      </c>
    </row>
    <row r="3" spans="1:4" ht="31.5">
      <c r="A3" s="3" t="s">
        <v>0</v>
      </c>
      <c r="B3" s="45" t="s">
        <v>1</v>
      </c>
      <c r="C3" s="57" t="s">
        <v>2</v>
      </c>
      <c r="D3" s="28" t="s">
        <v>114</v>
      </c>
    </row>
    <row r="4" spans="1:4" ht="17.25">
      <c r="B4" s="53" t="s">
        <v>20</v>
      </c>
      <c r="C4" s="63" t="s">
        <v>21</v>
      </c>
      <c r="D4" s="58">
        <f>45+44+45</f>
        <v>134</v>
      </c>
    </row>
    <row r="5" spans="1:4" ht="17.25">
      <c r="B5" s="54" t="s">
        <v>23</v>
      </c>
      <c r="C5" s="64" t="s">
        <v>24</v>
      </c>
      <c r="D5" s="59">
        <f>27+37+38</f>
        <v>102</v>
      </c>
    </row>
    <row r="6" spans="1:4" ht="17.25">
      <c r="B6" s="55">
        <v>4</v>
      </c>
      <c r="C6" s="64" t="s">
        <v>26</v>
      </c>
      <c r="D6" s="60">
        <f>38+31+22</f>
        <v>91</v>
      </c>
    </row>
    <row r="7" spans="1:4" ht="17.25">
      <c r="B7" s="55">
        <v>38</v>
      </c>
      <c r="C7" s="64" t="s">
        <v>35</v>
      </c>
      <c r="D7" s="60">
        <f>21+27</f>
        <v>48</v>
      </c>
    </row>
    <row r="8" spans="1:4" ht="17.25">
      <c r="B8" s="55">
        <v>2</v>
      </c>
      <c r="C8" s="64" t="s">
        <v>25</v>
      </c>
      <c r="D8" s="60">
        <f>32+9</f>
        <v>41</v>
      </c>
    </row>
    <row r="9" spans="1:4" ht="17.25">
      <c r="B9" s="56">
        <v>284</v>
      </c>
      <c r="C9" s="65" t="s">
        <v>38</v>
      </c>
      <c r="D9" s="60">
        <f>22+6+13</f>
        <v>41</v>
      </c>
    </row>
    <row r="10" spans="1:4" ht="17.25">
      <c r="B10" s="55">
        <v>82</v>
      </c>
      <c r="C10" s="64" t="s">
        <v>48</v>
      </c>
      <c r="D10" s="60">
        <f>13+16+10</f>
        <v>39</v>
      </c>
    </row>
    <row r="11" spans="1:4" ht="17.25">
      <c r="B11" s="55">
        <v>121</v>
      </c>
      <c r="C11" s="64" t="s">
        <v>55</v>
      </c>
      <c r="D11" s="60">
        <f>17</f>
        <v>17</v>
      </c>
    </row>
    <row r="12" spans="1:4" ht="17.25">
      <c r="B12" s="55">
        <v>314</v>
      </c>
      <c r="C12" s="66" t="s">
        <v>87</v>
      </c>
      <c r="D12" s="61">
        <f>10+4</f>
        <v>14</v>
      </c>
    </row>
    <row r="13" spans="1:4" ht="17.25">
      <c r="B13" s="55">
        <v>24</v>
      </c>
      <c r="C13" s="65" t="s">
        <v>97</v>
      </c>
      <c r="D13" s="60">
        <f>7+7</f>
        <v>14</v>
      </c>
    </row>
    <row r="14" spans="1:4" ht="17.25">
      <c r="B14" s="55">
        <v>56</v>
      </c>
      <c r="C14" s="66" t="s">
        <v>110</v>
      </c>
      <c r="D14" s="62">
        <f>1</f>
        <v>1</v>
      </c>
    </row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E4C-F5FC-4036-BF8B-5178FF715E09}">
  <dimension ref="A1:D15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25"/>
    <col min="3" max="3" width="21.42578125" style="26" customWidth="1"/>
    <col min="4" max="4" width="9.140625" style="26" bestFit="1" customWidth="1"/>
    <col min="5" max="16384" width="9.140625" style="1"/>
  </cols>
  <sheetData>
    <row r="1" spans="1:4">
      <c r="A1" s="14" t="s">
        <v>117</v>
      </c>
      <c r="C1" s="70">
        <v>44384</v>
      </c>
    </row>
    <row r="3" spans="1:4" ht="31.5">
      <c r="A3" s="3" t="s">
        <v>0</v>
      </c>
      <c r="B3" s="45" t="s">
        <v>1</v>
      </c>
      <c r="C3" s="67" t="s">
        <v>2</v>
      </c>
      <c r="D3" s="27" t="s">
        <v>114</v>
      </c>
    </row>
    <row r="4" spans="1:4" ht="17.25">
      <c r="B4" s="50" t="s">
        <v>118</v>
      </c>
      <c r="C4" s="36" t="s">
        <v>24</v>
      </c>
      <c r="D4" s="68">
        <f>33+41+30</f>
        <v>104</v>
      </c>
    </row>
    <row r="5" spans="1:4" ht="17.25">
      <c r="B5" s="29">
        <v>4</v>
      </c>
      <c r="C5" s="36" t="s">
        <v>26</v>
      </c>
      <c r="D5" s="42">
        <f>40+28+16</f>
        <v>84</v>
      </c>
    </row>
    <row r="6" spans="1:4" ht="17.25">
      <c r="B6" s="29" t="s">
        <v>119</v>
      </c>
      <c r="C6" s="36" t="s">
        <v>21</v>
      </c>
      <c r="D6" s="42">
        <f>1+34+48</f>
        <v>83</v>
      </c>
    </row>
    <row r="7" spans="1:4" ht="17.25">
      <c r="B7" s="29">
        <v>2</v>
      </c>
      <c r="C7" s="36" t="s">
        <v>25</v>
      </c>
      <c r="D7" s="38">
        <f>22+18+41</f>
        <v>81</v>
      </c>
    </row>
    <row r="8" spans="1:4" ht="17.25">
      <c r="B8" s="29">
        <v>38</v>
      </c>
      <c r="C8" s="36" t="s">
        <v>35</v>
      </c>
      <c r="D8" s="38">
        <f>23+20</f>
        <v>43</v>
      </c>
    </row>
    <row r="9" spans="1:4" ht="17.25">
      <c r="B9" s="34">
        <v>29</v>
      </c>
      <c r="C9" s="36" t="s">
        <v>31</v>
      </c>
      <c r="D9" s="43">
        <f>35</f>
        <v>35</v>
      </c>
    </row>
    <row r="10" spans="1:4" ht="17.25">
      <c r="B10" s="29">
        <v>121</v>
      </c>
      <c r="C10" s="36" t="s">
        <v>55</v>
      </c>
      <c r="D10" s="38">
        <f>27</f>
        <v>27</v>
      </c>
    </row>
    <row r="11" spans="1:4" ht="17.25">
      <c r="B11" s="29">
        <v>82</v>
      </c>
      <c r="C11" s="36" t="s">
        <v>48</v>
      </c>
      <c r="D11" s="38">
        <f>13+10</f>
        <v>23</v>
      </c>
    </row>
    <row r="12" spans="1:4" ht="17.25">
      <c r="B12" s="34">
        <v>284</v>
      </c>
      <c r="C12" s="36" t="s">
        <v>38</v>
      </c>
      <c r="D12" s="43">
        <f>13</f>
        <v>13</v>
      </c>
    </row>
    <row r="13" spans="1:4" ht="17.25">
      <c r="B13" s="34">
        <v>66</v>
      </c>
      <c r="C13" s="36" t="s">
        <v>44</v>
      </c>
      <c r="D13" s="43">
        <f>7</f>
        <v>7</v>
      </c>
    </row>
    <row r="14" spans="1:4" ht="17.25">
      <c r="B14" s="34">
        <v>343</v>
      </c>
      <c r="C14" s="36" t="s">
        <v>42</v>
      </c>
      <c r="D14" s="43">
        <f>5</f>
        <v>5</v>
      </c>
    </row>
    <row r="15" spans="1:4" ht="17.25">
      <c r="B15" s="34">
        <v>432</v>
      </c>
      <c r="C15" s="36" t="s">
        <v>108</v>
      </c>
      <c r="D15" s="52">
        <f>3</f>
        <v>3</v>
      </c>
    </row>
  </sheetData>
  <sortState xmlns:xlrd2="http://schemas.microsoft.com/office/spreadsheetml/2017/richdata2" ref="B4:D15">
    <sortCondition descending="1" ref="D4:D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DBD9-A570-44A7-B9ED-3EF90CCF9D57}">
  <dimension ref="A1:D31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2.28515625" style="1" bestFit="1" customWidth="1"/>
    <col min="4" max="4" width="9.140625" style="1" bestFit="1" customWidth="1"/>
    <col min="5" max="16384" width="9.140625" style="1"/>
  </cols>
  <sheetData>
    <row r="1" spans="1:4">
      <c r="A1" s="14" t="s">
        <v>120</v>
      </c>
      <c r="C1" s="70">
        <v>44384</v>
      </c>
    </row>
    <row r="3" spans="1:4" ht="31.5">
      <c r="A3" s="3" t="s">
        <v>0</v>
      </c>
      <c r="B3" s="47" t="s">
        <v>1</v>
      </c>
      <c r="C3" s="45" t="s">
        <v>2</v>
      </c>
      <c r="D3" s="69" t="s">
        <v>114</v>
      </c>
    </row>
    <row r="4" spans="1:4" ht="17.25">
      <c r="B4" s="46">
        <v>1</v>
      </c>
      <c r="C4" s="49" t="s">
        <v>22</v>
      </c>
      <c r="D4" s="51">
        <f>61+47+60</f>
        <v>168</v>
      </c>
    </row>
    <row r="5" spans="1:4" ht="17.25">
      <c r="B5" s="29">
        <v>2</v>
      </c>
      <c r="C5" s="36" t="s">
        <v>25</v>
      </c>
      <c r="D5" s="38">
        <f>48+40+42</f>
        <v>130</v>
      </c>
    </row>
    <row r="6" spans="1:4" ht="17.25">
      <c r="B6" s="29">
        <v>4</v>
      </c>
      <c r="C6" s="36" t="s">
        <v>26</v>
      </c>
      <c r="D6" s="39">
        <f>54+1+53</f>
        <v>108</v>
      </c>
    </row>
    <row r="7" spans="1:4" ht="17.25">
      <c r="B7" s="29">
        <v>78</v>
      </c>
      <c r="C7" s="36" t="s">
        <v>36</v>
      </c>
      <c r="D7" s="39">
        <f>43+47</f>
        <v>90</v>
      </c>
    </row>
    <row r="8" spans="1:4" ht="17.25">
      <c r="B8" s="29">
        <v>84</v>
      </c>
      <c r="C8" s="36" t="s">
        <v>34</v>
      </c>
      <c r="D8" s="39">
        <f>16+29+32</f>
        <v>77</v>
      </c>
    </row>
    <row r="9" spans="1:4" ht="17.25">
      <c r="B9" s="33">
        <v>32</v>
      </c>
      <c r="C9" s="40" t="s">
        <v>41</v>
      </c>
      <c r="D9" s="42">
        <f>38+37</f>
        <v>75</v>
      </c>
    </row>
    <row r="10" spans="1:4" ht="17.25">
      <c r="B10" s="29">
        <v>6</v>
      </c>
      <c r="C10" s="36" t="s">
        <v>46</v>
      </c>
      <c r="D10" s="38">
        <f>23+9+22</f>
        <v>54</v>
      </c>
    </row>
    <row r="11" spans="1:4" ht="17.25">
      <c r="B11" s="29">
        <v>97</v>
      </c>
      <c r="C11" s="36" t="s">
        <v>53</v>
      </c>
      <c r="D11" s="39">
        <f>29+25</f>
        <v>54</v>
      </c>
    </row>
    <row r="12" spans="1:4" ht="17.25">
      <c r="B12" s="33">
        <v>284</v>
      </c>
      <c r="C12" s="40" t="s">
        <v>38</v>
      </c>
      <c r="D12" s="42">
        <f>33+17</f>
        <v>50</v>
      </c>
    </row>
    <row r="13" spans="1:4" ht="17.25">
      <c r="B13" s="29">
        <v>343</v>
      </c>
      <c r="C13" s="36" t="s">
        <v>42</v>
      </c>
      <c r="D13" s="39">
        <f>26+15</f>
        <v>41</v>
      </c>
    </row>
    <row r="14" spans="1:4" ht="17.25">
      <c r="B14" s="34">
        <v>92</v>
      </c>
      <c r="C14" s="40" t="s">
        <v>57</v>
      </c>
      <c r="D14" s="39">
        <f>14+12+14</f>
        <v>40</v>
      </c>
    </row>
    <row r="15" spans="1:4" ht="17.25">
      <c r="B15" s="29">
        <v>351</v>
      </c>
      <c r="C15" s="41" t="s">
        <v>54</v>
      </c>
      <c r="D15" s="38">
        <f>12+15+8</f>
        <v>35</v>
      </c>
    </row>
    <row r="16" spans="1:4" ht="17.25">
      <c r="B16" s="29">
        <v>247</v>
      </c>
      <c r="C16" s="41" t="s">
        <v>70</v>
      </c>
      <c r="D16" s="38">
        <f>15+19</f>
        <v>34</v>
      </c>
    </row>
    <row r="17" spans="2:4" ht="17.25">
      <c r="B17" s="34">
        <v>90</v>
      </c>
      <c r="C17" s="36" t="s">
        <v>58</v>
      </c>
      <c r="D17" s="43">
        <f>28</f>
        <v>28</v>
      </c>
    </row>
    <row r="18" spans="2:4" ht="17.25">
      <c r="B18" s="29">
        <v>253</v>
      </c>
      <c r="C18" s="36" t="s">
        <v>71</v>
      </c>
      <c r="D18" s="38">
        <f>13+11</f>
        <v>24</v>
      </c>
    </row>
    <row r="19" spans="2:4" ht="17.25">
      <c r="B19" s="29">
        <v>47</v>
      </c>
      <c r="C19" s="36" t="s">
        <v>77</v>
      </c>
      <c r="D19" s="39">
        <f>11+12</f>
        <v>23</v>
      </c>
    </row>
    <row r="20" spans="2:4" ht="17.25">
      <c r="B20" s="34">
        <v>126</v>
      </c>
      <c r="C20" s="36" t="s">
        <v>59</v>
      </c>
      <c r="D20" s="39">
        <f>1+19</f>
        <v>20</v>
      </c>
    </row>
    <row r="21" spans="2:4" ht="17.25">
      <c r="B21" s="34">
        <v>31</v>
      </c>
      <c r="C21" s="36" t="s">
        <v>45</v>
      </c>
      <c r="D21" s="42">
        <f>20</f>
        <v>20</v>
      </c>
    </row>
    <row r="22" spans="2:4" ht="17.25">
      <c r="B22" s="29">
        <v>397</v>
      </c>
      <c r="C22" s="41" t="s">
        <v>81</v>
      </c>
      <c r="D22" s="38">
        <f>10+10</f>
        <v>20</v>
      </c>
    </row>
    <row r="23" spans="2:4" ht="17.25">
      <c r="B23" s="29" t="s">
        <v>121</v>
      </c>
      <c r="C23" s="41" t="s">
        <v>122</v>
      </c>
      <c r="D23" s="38">
        <f>18</f>
        <v>18</v>
      </c>
    </row>
    <row r="24" spans="2:4" ht="17.25">
      <c r="B24" s="29">
        <v>104</v>
      </c>
      <c r="C24" s="36" t="s">
        <v>91</v>
      </c>
      <c r="D24" s="38">
        <f>7+6+2</f>
        <v>15</v>
      </c>
    </row>
    <row r="25" spans="2:4" ht="17.25">
      <c r="B25" s="34">
        <v>53</v>
      </c>
      <c r="C25" s="36" t="s">
        <v>78</v>
      </c>
      <c r="D25" s="43">
        <f>13</f>
        <v>13</v>
      </c>
    </row>
    <row r="26" spans="2:4" ht="17.25">
      <c r="B26" s="29">
        <v>61</v>
      </c>
      <c r="C26" s="36" t="s">
        <v>94</v>
      </c>
      <c r="D26" s="39">
        <f>6+4</f>
        <v>10</v>
      </c>
    </row>
    <row r="27" spans="2:4" ht="17.25">
      <c r="B27" s="29">
        <v>49</v>
      </c>
      <c r="C27" s="36" t="s">
        <v>72</v>
      </c>
      <c r="D27" s="38">
        <f>4+6</f>
        <v>10</v>
      </c>
    </row>
    <row r="28" spans="2:4" ht="17.25">
      <c r="B28" s="34">
        <v>181</v>
      </c>
      <c r="C28" s="36" t="s">
        <v>90</v>
      </c>
      <c r="D28" s="43">
        <f>9</f>
        <v>9</v>
      </c>
    </row>
    <row r="29" spans="2:4" ht="17.25">
      <c r="B29" s="29">
        <v>313</v>
      </c>
      <c r="C29" s="36" t="s">
        <v>99</v>
      </c>
      <c r="D29" s="38">
        <f>8</f>
        <v>8</v>
      </c>
    </row>
    <row r="30" spans="2:4" ht="17.25">
      <c r="B30" s="34">
        <v>85</v>
      </c>
      <c r="C30" s="36" t="s">
        <v>100</v>
      </c>
      <c r="D30" s="43">
        <f>7</f>
        <v>7</v>
      </c>
    </row>
    <row r="31" spans="2:4" ht="17.25">
      <c r="B31" s="34">
        <v>339</v>
      </c>
      <c r="C31" s="36" t="s">
        <v>82</v>
      </c>
      <c r="D31" s="52">
        <f>3</f>
        <v>3</v>
      </c>
    </row>
  </sheetData>
  <sortState xmlns:xlrd2="http://schemas.microsoft.com/office/spreadsheetml/2017/richdata2" ref="B4:D31">
    <sortCondition descending="1" ref="D4:D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173-2079-43FC-BAFD-1E41AA404740}">
  <dimension ref="A1:D28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2.28515625" style="1" bestFit="1" customWidth="1"/>
    <col min="4" max="16384" width="9.140625" style="1"/>
  </cols>
  <sheetData>
    <row r="1" spans="1:4">
      <c r="A1" s="14" t="s">
        <v>123</v>
      </c>
      <c r="C1" s="70">
        <v>44384</v>
      </c>
    </row>
    <row r="3" spans="1:4" ht="31.5">
      <c r="A3" s="3" t="s">
        <v>0</v>
      </c>
      <c r="B3" s="47" t="s">
        <v>1</v>
      </c>
      <c r="C3" s="45" t="s">
        <v>2</v>
      </c>
      <c r="D3" s="69" t="s">
        <v>114</v>
      </c>
    </row>
    <row r="4" spans="1:4" ht="17.25">
      <c r="B4" s="46">
        <v>2</v>
      </c>
      <c r="C4" s="49" t="s">
        <v>25</v>
      </c>
      <c r="D4" s="68">
        <f>39+38+49</f>
        <v>126</v>
      </c>
    </row>
    <row r="5" spans="1:4" ht="17.25">
      <c r="B5" s="29">
        <v>1</v>
      </c>
      <c r="C5" s="36" t="s">
        <v>22</v>
      </c>
      <c r="D5" s="42">
        <f>57+1+56</f>
        <v>114</v>
      </c>
    </row>
    <row r="6" spans="1:4" ht="17.25">
      <c r="B6" s="29">
        <v>73</v>
      </c>
      <c r="C6" s="36" t="s">
        <v>27</v>
      </c>
      <c r="D6" s="38">
        <f>34+22+43</f>
        <v>99</v>
      </c>
    </row>
    <row r="7" spans="1:4" ht="17.25">
      <c r="B7" s="29">
        <v>84</v>
      </c>
      <c r="C7" s="36" t="s">
        <v>34</v>
      </c>
      <c r="D7" s="38">
        <f>22+45+15</f>
        <v>82</v>
      </c>
    </row>
    <row r="8" spans="1:4" ht="17.25">
      <c r="B8" s="29">
        <v>4</v>
      </c>
      <c r="C8" s="36" t="s">
        <v>26</v>
      </c>
      <c r="D8" s="38">
        <f>44+38</f>
        <v>82</v>
      </c>
    </row>
    <row r="9" spans="1:4" ht="17.25">
      <c r="B9" s="29">
        <v>29</v>
      </c>
      <c r="C9" s="36" t="s">
        <v>31</v>
      </c>
      <c r="D9" s="42">
        <f>50</f>
        <v>50</v>
      </c>
    </row>
    <row r="10" spans="1:4" ht="17.25">
      <c r="B10" s="29">
        <v>78</v>
      </c>
      <c r="C10" s="36" t="s">
        <v>36</v>
      </c>
      <c r="D10" s="38">
        <f>25+24</f>
        <v>49</v>
      </c>
    </row>
    <row r="11" spans="1:4" ht="17.25">
      <c r="B11" s="29">
        <v>351</v>
      </c>
      <c r="C11" s="41" t="s">
        <v>54</v>
      </c>
      <c r="D11" s="42">
        <f>7+32+3</f>
        <v>42</v>
      </c>
    </row>
    <row r="12" spans="1:4" ht="17.25">
      <c r="B12" s="33">
        <v>284</v>
      </c>
      <c r="C12" s="40" t="s">
        <v>38</v>
      </c>
      <c r="D12" s="42">
        <f>29+13</f>
        <v>42</v>
      </c>
    </row>
    <row r="13" spans="1:4" ht="17.25">
      <c r="B13" s="29">
        <v>6</v>
      </c>
      <c r="C13" s="36" t="s">
        <v>46</v>
      </c>
      <c r="D13" s="38">
        <f>16+10+10</f>
        <v>36</v>
      </c>
    </row>
    <row r="14" spans="1:4" ht="17.25">
      <c r="B14" s="34">
        <v>92</v>
      </c>
      <c r="C14" s="40" t="s">
        <v>57</v>
      </c>
      <c r="D14" s="39">
        <f>9+17+9</f>
        <v>35</v>
      </c>
    </row>
    <row r="15" spans="1:4" ht="17.25">
      <c r="B15" s="29">
        <v>66</v>
      </c>
      <c r="C15" s="36" t="s">
        <v>44</v>
      </c>
      <c r="D15" s="42">
        <f>12+21</f>
        <v>33</v>
      </c>
    </row>
    <row r="16" spans="1:4" ht="17.25">
      <c r="B16" s="34">
        <v>90</v>
      </c>
      <c r="C16" s="36" t="s">
        <v>58</v>
      </c>
      <c r="D16" s="43">
        <f>33</f>
        <v>33</v>
      </c>
    </row>
    <row r="17" spans="2:4" ht="17.25">
      <c r="B17" s="29">
        <v>343</v>
      </c>
      <c r="C17" s="36" t="s">
        <v>42</v>
      </c>
      <c r="D17" s="39">
        <f>19+11</f>
        <v>30</v>
      </c>
    </row>
    <row r="18" spans="2:4" ht="17.25">
      <c r="B18" s="29">
        <v>97</v>
      </c>
      <c r="C18" s="36" t="s">
        <v>53</v>
      </c>
      <c r="D18" s="38">
        <f>1+28</f>
        <v>29</v>
      </c>
    </row>
    <row r="19" spans="2:4" ht="17.25">
      <c r="B19" s="34">
        <v>340</v>
      </c>
      <c r="C19" s="36" t="s">
        <v>69</v>
      </c>
      <c r="D19" s="43">
        <f>18</f>
        <v>18</v>
      </c>
    </row>
    <row r="20" spans="2:4" ht="17.25">
      <c r="B20" s="29">
        <v>47</v>
      </c>
      <c r="C20" s="36" t="s">
        <v>77</v>
      </c>
      <c r="D20" s="38">
        <f>10+6</f>
        <v>16</v>
      </c>
    </row>
    <row r="21" spans="2:4" ht="17.25">
      <c r="B21" s="34">
        <v>126</v>
      </c>
      <c r="C21" s="36" t="s">
        <v>59</v>
      </c>
      <c r="D21" s="39">
        <f>1+13</f>
        <v>14</v>
      </c>
    </row>
    <row r="22" spans="2:4" ht="17.25">
      <c r="B22" s="29">
        <v>253</v>
      </c>
      <c r="C22" s="36" t="s">
        <v>71</v>
      </c>
      <c r="D22" s="38">
        <f>8+5</f>
        <v>13</v>
      </c>
    </row>
    <row r="23" spans="2:4" ht="17.25">
      <c r="B23" s="29">
        <v>397</v>
      </c>
      <c r="C23" s="41" t="s">
        <v>81</v>
      </c>
      <c r="D23" s="42">
        <f>6+7</f>
        <v>13</v>
      </c>
    </row>
    <row r="24" spans="2:4" ht="17.25">
      <c r="B24" s="29">
        <v>247</v>
      </c>
      <c r="C24" s="41" t="s">
        <v>70</v>
      </c>
      <c r="D24" s="42">
        <f>11</f>
        <v>11</v>
      </c>
    </row>
    <row r="25" spans="2:4" ht="17.25">
      <c r="B25" s="34">
        <v>53</v>
      </c>
      <c r="C25" s="36" t="s">
        <v>78</v>
      </c>
      <c r="D25" s="43">
        <f>8</f>
        <v>8</v>
      </c>
    </row>
    <row r="26" spans="2:4" ht="17.25">
      <c r="B26" s="29">
        <v>104</v>
      </c>
      <c r="C26" s="36" t="s">
        <v>91</v>
      </c>
      <c r="D26" s="42">
        <f>4+2</f>
        <v>6</v>
      </c>
    </row>
    <row r="27" spans="2:4" ht="17.25">
      <c r="B27" s="29">
        <v>313</v>
      </c>
      <c r="C27" s="36" t="s">
        <v>99</v>
      </c>
      <c r="D27" s="38">
        <f>5</f>
        <v>5</v>
      </c>
    </row>
    <row r="28" spans="2:4" ht="17.25">
      <c r="B28" s="34">
        <v>181</v>
      </c>
      <c r="C28" s="36" t="s">
        <v>90</v>
      </c>
      <c r="D28" s="52">
        <f>4</f>
        <v>4</v>
      </c>
    </row>
  </sheetData>
  <sortState xmlns:xlrd2="http://schemas.microsoft.com/office/spreadsheetml/2017/richdata2" ref="B4:D28">
    <sortCondition descending="1" ref="D4:D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19-D656-4611-B547-1362C2850E5C}">
  <dimension ref="A1:D12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22.7109375" style="1" bestFit="1" customWidth="1"/>
    <col min="4" max="16384" width="9.140625" style="1"/>
  </cols>
  <sheetData>
    <row r="1" spans="1:4">
      <c r="A1" s="14" t="s">
        <v>124</v>
      </c>
      <c r="C1" s="70">
        <v>44384</v>
      </c>
    </row>
    <row r="3" spans="1:4" ht="31.5">
      <c r="A3" s="3" t="s">
        <v>0</v>
      </c>
      <c r="B3" s="47" t="s">
        <v>1</v>
      </c>
      <c r="C3" s="45" t="s">
        <v>2</v>
      </c>
      <c r="D3" s="69" t="s">
        <v>114</v>
      </c>
    </row>
    <row r="4" spans="1:4" ht="17.25">
      <c r="B4" s="71">
        <v>813</v>
      </c>
      <c r="C4" s="76" t="s">
        <v>43</v>
      </c>
      <c r="D4" s="74">
        <f>43+25+40</f>
        <v>108</v>
      </c>
    </row>
    <row r="5" spans="1:4" ht="17.25">
      <c r="B5" s="72">
        <v>204</v>
      </c>
      <c r="C5" s="40" t="s">
        <v>30</v>
      </c>
      <c r="D5" s="75">
        <f>50+34</f>
        <v>84</v>
      </c>
    </row>
    <row r="6" spans="1:4" ht="17.25">
      <c r="B6" s="29">
        <v>803</v>
      </c>
      <c r="C6" s="41" t="s">
        <v>65</v>
      </c>
      <c r="D6" s="42">
        <f>22+24</f>
        <v>46</v>
      </c>
    </row>
    <row r="7" spans="1:4" ht="17.25">
      <c r="B7" s="29" t="s">
        <v>28</v>
      </c>
      <c r="C7" s="41" t="s">
        <v>29</v>
      </c>
      <c r="D7" s="42">
        <f>15+15</f>
        <v>30</v>
      </c>
    </row>
    <row r="8" spans="1:4" ht="17.25">
      <c r="B8" s="29">
        <v>54</v>
      </c>
      <c r="C8" s="40" t="s">
        <v>89</v>
      </c>
      <c r="D8" s="75">
        <f>1+29</f>
        <v>30</v>
      </c>
    </row>
    <row r="9" spans="1:4" ht="17.25">
      <c r="B9" s="29">
        <v>230</v>
      </c>
      <c r="C9" s="41" t="s">
        <v>51</v>
      </c>
      <c r="D9" s="38">
        <f>27</f>
        <v>27</v>
      </c>
    </row>
    <row r="10" spans="1:4" ht="17.25">
      <c r="B10" s="29">
        <v>819</v>
      </c>
      <c r="C10" s="41" t="s">
        <v>80</v>
      </c>
      <c r="D10" s="42">
        <f>7+19</f>
        <v>26</v>
      </c>
    </row>
    <row r="11" spans="1:4" ht="17.25">
      <c r="B11" s="29">
        <v>999</v>
      </c>
      <c r="C11" s="41" t="s">
        <v>105</v>
      </c>
      <c r="D11" s="42">
        <f>1+6</f>
        <v>7</v>
      </c>
    </row>
    <row r="12" spans="1:4" ht="17.25">
      <c r="B12" s="34">
        <v>909</v>
      </c>
      <c r="C12" s="36" t="s">
        <v>101</v>
      </c>
      <c r="D12" s="52">
        <f>4</f>
        <v>4</v>
      </c>
    </row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793-53F6-4456-8282-34A19E4834BA}">
  <dimension ref="A1:D11"/>
  <sheetViews>
    <sheetView workbookViewId="0">
      <selection activeCell="C1" sqref="C1"/>
    </sheetView>
  </sheetViews>
  <sheetFormatPr defaultRowHeight="15.75"/>
  <cols>
    <col min="1" max="1" width="14.7109375" style="1" customWidth="1"/>
    <col min="2" max="2" width="9.140625" style="1"/>
    <col min="3" max="3" width="18.7109375" style="1" bestFit="1" customWidth="1"/>
    <col min="4" max="16384" width="9.140625" style="1"/>
  </cols>
  <sheetData>
    <row r="1" spans="1:4">
      <c r="A1" s="14" t="s">
        <v>125</v>
      </c>
      <c r="C1" s="70">
        <v>44384</v>
      </c>
    </row>
    <row r="3" spans="1:4" ht="31.5">
      <c r="A3" s="3" t="s">
        <v>0</v>
      </c>
      <c r="B3" s="47" t="s">
        <v>1</v>
      </c>
      <c r="C3" s="45" t="s">
        <v>2</v>
      </c>
      <c r="D3" s="69" t="s">
        <v>114</v>
      </c>
    </row>
    <row r="4" spans="1:4" ht="17.25">
      <c r="B4" s="46" t="s">
        <v>32</v>
      </c>
      <c r="C4" s="49" t="s">
        <v>33</v>
      </c>
      <c r="D4" s="68">
        <f>32+32+26</f>
        <v>90</v>
      </c>
    </row>
    <row r="5" spans="1:4" ht="17.25">
      <c r="B5" s="72">
        <v>204</v>
      </c>
      <c r="C5" s="40" t="s">
        <v>30</v>
      </c>
      <c r="D5" s="39">
        <f>21+37</f>
        <v>58</v>
      </c>
    </row>
    <row r="6" spans="1:4" ht="17.25">
      <c r="B6" s="29" t="s">
        <v>28</v>
      </c>
      <c r="C6" s="41" t="s">
        <v>29</v>
      </c>
      <c r="D6" s="38">
        <f>39+10</f>
        <v>49</v>
      </c>
    </row>
    <row r="7" spans="1:4" ht="17.25">
      <c r="B7" s="29">
        <v>88</v>
      </c>
      <c r="C7" s="41" t="s">
        <v>64</v>
      </c>
      <c r="D7" s="42">
        <f>1+21</f>
        <v>22</v>
      </c>
    </row>
    <row r="8" spans="1:4" ht="17.25">
      <c r="B8" s="34">
        <v>234</v>
      </c>
      <c r="C8" s="36" t="s">
        <v>83</v>
      </c>
      <c r="D8" s="43">
        <f>16</f>
        <v>16</v>
      </c>
    </row>
    <row r="9" spans="1:4" ht="17.25">
      <c r="B9" s="34">
        <v>803</v>
      </c>
      <c r="C9" s="36" t="s">
        <v>65</v>
      </c>
      <c r="D9" s="43">
        <f>12</f>
        <v>12</v>
      </c>
    </row>
    <row r="10" spans="1:4" ht="17.25">
      <c r="B10" s="34">
        <v>61</v>
      </c>
      <c r="C10" s="36" t="s">
        <v>94</v>
      </c>
      <c r="D10" s="43">
        <f>9</f>
        <v>9</v>
      </c>
    </row>
    <row r="11" spans="1:4" ht="17.25">
      <c r="B11" s="34">
        <v>909</v>
      </c>
      <c r="C11" s="36" t="s">
        <v>101</v>
      </c>
      <c r="D11" s="52">
        <f>6</f>
        <v>6</v>
      </c>
    </row>
  </sheetData>
  <sortState xmlns:xlrd2="http://schemas.microsoft.com/office/spreadsheetml/2017/richdata2" ref="B4:D11">
    <sortCondition descending="1" ref="D4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Sexy Bitch</dc:creator>
  <cp:keywords/>
  <dc:description/>
  <cp:lastModifiedBy/>
  <cp:revision/>
  <dcterms:created xsi:type="dcterms:W3CDTF">2021-06-17T17:03:16Z</dcterms:created>
  <dcterms:modified xsi:type="dcterms:W3CDTF">2021-07-08T05:22:18Z</dcterms:modified>
  <cp:category/>
  <cp:contentStatus/>
</cp:coreProperties>
</file>