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system" sheetId="1" r:id="rId4"/>
    <sheet state="visible" name="BatterySystem" sheetId="2" r:id="rId5"/>
    <sheet state="visible" name="BiomassBoiler" sheetId="3" r:id="rId6"/>
    <sheet state="visible" name="ElectricBoiler" sheetId="4" r:id="rId7"/>
    <sheet state="visible" name="Sheet1" sheetId="5" r:id="rId8"/>
    <sheet state="visible" name="PV" sheetId="6" r:id="rId9"/>
  </sheets>
  <definedNames/>
  <calcPr/>
  <extLst>
    <ext uri="GoogleSheetsCustomDataVersion1">
      <go:sheetsCustomData xmlns:go="http://customooxmlschemas.google.com/" r:id="rId10" roundtripDataSignature="AMtx7mhNwR4MCKheNBXmP8DPcYVrAi064Q=="/>
    </ext>
  </extLst>
</workbook>
</file>

<file path=xl/sharedStrings.xml><?xml version="1.0" encoding="utf-8"?>
<sst xmlns="http://schemas.openxmlformats.org/spreadsheetml/2006/main" count="196" uniqueCount="90">
  <si>
    <t>Cost</t>
  </si>
  <si>
    <t>(sterlin/kW)</t>
  </si>
  <si>
    <t>$/kW</t>
  </si>
  <si>
    <t>NPV</t>
  </si>
  <si>
    <t>Year</t>
  </si>
  <si>
    <t>CC</t>
  </si>
  <si>
    <t>OM1</t>
  </si>
  <si>
    <t>OM2</t>
  </si>
  <si>
    <t>Rplacement</t>
  </si>
  <si>
    <t>Tariff1</t>
  </si>
  <si>
    <t>Tariff2</t>
  </si>
  <si>
    <t>Generation(kWh)</t>
  </si>
  <si>
    <t>Degredation</t>
  </si>
  <si>
    <t>Generation</t>
  </si>
  <si>
    <t>Capital cost</t>
  </si>
  <si>
    <t>O&amp;M</t>
  </si>
  <si>
    <t>Replacement cost</t>
  </si>
  <si>
    <t>Period of analysis</t>
  </si>
  <si>
    <t>Discount rate</t>
  </si>
  <si>
    <t>Degrdation</t>
  </si>
  <si>
    <t>Capacity (kW)</t>
  </si>
  <si>
    <t>Capacity factor</t>
  </si>
  <si>
    <t>Generation (kWh)</t>
  </si>
  <si>
    <t>LCOE ($/kWh)</t>
  </si>
  <si>
    <t>Fuelcost</t>
  </si>
  <si>
    <t>Fuel cost ($/kWh)</t>
  </si>
  <si>
    <t>Annual Fuel cost ($/kW)</t>
  </si>
  <si>
    <t>Efficiency</t>
  </si>
  <si>
    <t>Charging hours/day</t>
  </si>
  <si>
    <t>Plant factor</t>
  </si>
  <si>
    <t>Fuel cost</t>
  </si>
  <si>
    <t>Degradation</t>
  </si>
  <si>
    <t>working hours</t>
  </si>
  <si>
    <t>Technology</t>
  </si>
  <si>
    <t>Component</t>
  </si>
  <si>
    <t>Size</t>
  </si>
  <si>
    <t>Capital Cost</t>
  </si>
  <si>
    <t>Capital Cost (sterlin/kW)</t>
  </si>
  <si>
    <t>Operation Cost (Sterlin/kW)</t>
  </si>
  <si>
    <t>Life time (yr)</t>
  </si>
  <si>
    <t>Annual degration (%)</t>
  </si>
  <si>
    <t>Replacement (sterlin/kW)</t>
  </si>
  <si>
    <t>Availability (%)</t>
  </si>
  <si>
    <t>discount rate</t>
  </si>
  <si>
    <t>Annual capacity factor</t>
  </si>
  <si>
    <t>Solar PV system</t>
  </si>
  <si>
    <t>Solar Panel</t>
  </si>
  <si>
    <t>Modules</t>
  </si>
  <si>
    <t>C1=6000</t>
  </si>
  <si>
    <t>yr 1&amp;2</t>
  </si>
  <si>
    <t>N= 40</t>
  </si>
  <si>
    <t>Degr =0.4</t>
  </si>
  <si>
    <t>Inverter</t>
  </si>
  <si>
    <t>r = 0.1</t>
  </si>
  <si>
    <t>Install</t>
  </si>
  <si>
    <t>C2=4000</t>
  </si>
  <si>
    <t>yr above 2</t>
  </si>
  <si>
    <t>replacement cost = 51</t>
  </si>
  <si>
    <t>Wires</t>
  </si>
  <si>
    <t>replacement require</t>
  </si>
  <si>
    <t>Protecing device(MCCB)</t>
  </si>
  <si>
    <t>CapCost</t>
  </si>
  <si>
    <t>yr 15 &amp; 30</t>
  </si>
  <si>
    <t>Transformer</t>
  </si>
  <si>
    <t>Battery Bank</t>
  </si>
  <si>
    <t>Batteries</t>
  </si>
  <si>
    <t>BESS-2hr</t>
  </si>
  <si>
    <t>0.004 of MWh per cycle</t>
  </si>
  <si>
    <t>Charger</t>
  </si>
  <si>
    <t>MV switchgear</t>
  </si>
  <si>
    <t>No. cycle per day = 2</t>
  </si>
  <si>
    <t>Augmentation require</t>
  </si>
  <si>
    <t>Electric work</t>
  </si>
  <si>
    <t>yr 12</t>
  </si>
  <si>
    <t>Civil work</t>
  </si>
  <si>
    <t>Total</t>
  </si>
  <si>
    <t>Natural gas boiler</t>
  </si>
  <si>
    <t>boiler</t>
  </si>
  <si>
    <t>storage tank</t>
  </si>
  <si>
    <t>Biomass boiler</t>
  </si>
  <si>
    <t>firewood</t>
  </si>
  <si>
    <t>Electric boiler</t>
  </si>
  <si>
    <t>Total cost</t>
  </si>
  <si>
    <t>Total revenue</t>
  </si>
  <si>
    <t>Total benefit</t>
  </si>
  <si>
    <t>Cumulative</t>
  </si>
  <si>
    <t>Co2 charge</t>
  </si>
  <si>
    <t>PV system</t>
  </si>
  <si>
    <t>IRR</t>
  </si>
  <si>
    <t>PBP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</si>
</sst>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_);[Red]\(&quot;$&quot;#,##0.00\)"/>
    <numFmt numFmtId="165" formatCode="[$£-809]#,##0.00"/>
    <numFmt numFmtId="166" formatCode="&quot;$&quot;#,##0.0000_);[Red]\(&quot;$&quot;#,##0.0000\)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1" fillId="2" fontId="3" numFmtId="0" xfId="0" applyBorder="1" applyFill="1" applyFont="1"/>
    <xf borderId="0" fillId="0" fontId="3" numFmtId="10" xfId="0" applyFont="1" applyNumberFormat="1"/>
    <xf borderId="0" fillId="0" fontId="3" numFmtId="165" xfId="0" applyFont="1" applyNumberFormat="1"/>
    <xf borderId="1" fillId="3" fontId="3" numFmtId="0" xfId="0" applyBorder="1" applyFill="1" applyFont="1"/>
    <xf borderId="1" fillId="3" fontId="3" numFmtId="164" xfId="0" applyBorder="1" applyFont="1" applyNumberFormat="1"/>
    <xf borderId="1" fillId="3" fontId="3" numFmtId="166" xfId="0" applyBorder="1" applyFont="1" applyNumberFormat="1"/>
    <xf borderId="0" fillId="0" fontId="4" numFmtId="0" xfId="0" applyAlignment="1" applyFont="1">
      <alignment readingOrder="0"/>
    </xf>
    <xf borderId="1" fillId="4" fontId="3" numFmtId="0" xfId="0" applyBorder="1" applyFill="1" applyFont="1"/>
    <xf borderId="0" fillId="0" fontId="3" numFmtId="16" xfId="0" applyFont="1" applyNumberFormat="1"/>
    <xf borderId="1" fillId="4" fontId="3" numFmtId="165" xfId="0" applyBorder="1" applyFont="1" applyNumberFormat="1"/>
    <xf borderId="2" fillId="0" fontId="5" numFmtId="0" xfId="0" applyAlignment="1" applyBorder="1" applyFont="1">
      <alignment shrinkToFit="0" wrapText="1"/>
    </xf>
    <xf borderId="2" fillId="5" fontId="5" numFmtId="0" xfId="0" applyAlignment="1" applyBorder="1" applyFill="1" applyFont="1">
      <alignment shrinkToFit="0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horizontal="right" shrinkToFit="0" wrapText="1"/>
    </xf>
    <xf borderId="2" fillId="3" fontId="6" numFmtId="0" xfId="0" applyAlignment="1" applyBorder="1" applyFont="1">
      <alignment shrinkToFit="0" wrapText="1"/>
    </xf>
    <xf borderId="2" fillId="6" fontId="6" numFmtId="0" xfId="0" applyAlignment="1" applyBorder="1" applyFill="1" applyFont="1">
      <alignment shrinkToFit="0" wrapText="1"/>
    </xf>
    <xf borderId="2" fillId="6" fontId="6" numFmtId="10" xfId="0" applyAlignment="1" applyBorder="1" applyFont="1" applyNumberFormat="1">
      <alignment horizontal="right" shrinkToFit="0" wrapText="1"/>
    </xf>
    <xf borderId="2" fillId="3" fontId="3" numFmtId="0" xfId="0" applyAlignment="1" applyBorder="1" applyFont="1">
      <alignment shrinkToFit="0" wrapText="1"/>
    </xf>
    <xf borderId="2" fillId="3" fontId="6" numFmtId="0" xfId="0" applyAlignment="1" applyBorder="1" applyFont="1">
      <alignment horizontal="right" shrinkToFit="0" wrapText="1"/>
    </xf>
    <xf borderId="1" fillId="4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0"/>
    <col customWidth="1" min="3" max="3" width="10.29"/>
    <col customWidth="1" min="4" max="4" width="16.29"/>
    <col customWidth="1" min="5" max="9" width="8.71"/>
    <col customWidth="1" min="10" max="10" width="12.57"/>
    <col customWidth="1" min="11" max="12" width="13.86"/>
    <col customWidth="1" min="13" max="13" width="16.57"/>
    <col customWidth="1" min="14" max="14" width="12.14"/>
    <col customWidth="1" min="15" max="15" width="13.0"/>
    <col customWidth="1" min="16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</row>
    <row r="2">
      <c r="A2" s="2" t="s">
        <v>14</v>
      </c>
      <c r="B2" s="2">
        <v>447.0</v>
      </c>
      <c r="C2" s="2">
        <f t="shared" ref="C2:C5" si="1">1.21*B2</f>
        <v>540.87</v>
      </c>
      <c r="D2" s="4">
        <f t="array" ref="D2">NPV(B7,G3:G22)+G2</f>
        <v>540.87</v>
      </c>
      <c r="F2" s="2">
        <v>0.0</v>
      </c>
      <c r="G2" s="2">
        <v>540.87</v>
      </c>
      <c r="H2" s="2">
        <v>0.0</v>
      </c>
      <c r="I2" s="2">
        <v>0.0</v>
      </c>
      <c r="J2" s="2">
        <v>0.0</v>
      </c>
      <c r="K2" s="2">
        <v>0.0</v>
      </c>
      <c r="L2" s="3">
        <v>0.0</v>
      </c>
      <c r="M2" s="2">
        <v>0.0</v>
      </c>
      <c r="N2" s="2">
        <v>0.0</v>
      </c>
      <c r="O2" s="2">
        <f t="shared" ref="O2:O22" si="2">M2-N2</f>
        <v>0</v>
      </c>
    </row>
    <row r="3">
      <c r="A3" s="5" t="s">
        <v>15</v>
      </c>
      <c r="B3" s="5">
        <v>6000.0</v>
      </c>
      <c r="C3" s="2">
        <f t="shared" si="1"/>
        <v>7260</v>
      </c>
      <c r="D3" s="4">
        <f t="array" ref="D3">NPV(B7,H3:H22)+H2</f>
        <v>12600</v>
      </c>
      <c r="F3" s="2">
        <v>1.0</v>
      </c>
      <c r="G3" s="2">
        <v>0.0</v>
      </c>
      <c r="H3" s="2">
        <v>7260.0</v>
      </c>
      <c r="I3" s="2">
        <v>0.0</v>
      </c>
      <c r="J3" s="2">
        <v>0.0</v>
      </c>
      <c r="K3" s="2">
        <f t="shared" ref="K3:K22" si="3">37/300</f>
        <v>0.1233333333</v>
      </c>
      <c r="L3" s="2">
        <f t="shared" ref="L3:L22" si="4">34.5/300</f>
        <v>0.115</v>
      </c>
      <c r="M3" s="2">
        <v>1351.668</v>
      </c>
      <c r="N3" s="2">
        <f t="shared" ref="N3:N22" si="5">(1-0.004)^F3</f>
        <v>0.996</v>
      </c>
      <c r="O3" s="2">
        <f t="shared" si="2"/>
        <v>1350.672</v>
      </c>
    </row>
    <row r="4">
      <c r="A4" s="5" t="s">
        <v>15</v>
      </c>
      <c r="B4" s="5">
        <v>4000.0</v>
      </c>
      <c r="C4" s="2">
        <f t="shared" si="1"/>
        <v>4840</v>
      </c>
      <c r="D4" s="4">
        <f t="array" ref="D4">NPV(B7,I3:I22)+I2</f>
        <v>32805.6484</v>
      </c>
      <c r="F4" s="2">
        <v>2.0</v>
      </c>
      <c r="G4" s="2">
        <v>0.0</v>
      </c>
      <c r="H4" s="2">
        <v>7260.0</v>
      </c>
      <c r="I4" s="2">
        <v>0.0</v>
      </c>
      <c r="J4" s="2">
        <v>0.0</v>
      </c>
      <c r="K4" s="2">
        <f t="shared" si="3"/>
        <v>0.1233333333</v>
      </c>
      <c r="L4" s="2">
        <f t="shared" si="4"/>
        <v>0.115</v>
      </c>
      <c r="M4" s="2">
        <v>1351.668</v>
      </c>
      <c r="N4" s="2">
        <f t="shared" si="5"/>
        <v>0.992016</v>
      </c>
      <c r="O4" s="2">
        <f t="shared" si="2"/>
        <v>1350.675984</v>
      </c>
    </row>
    <row r="5">
      <c r="A5" s="2" t="s">
        <v>16</v>
      </c>
      <c r="B5" s="2">
        <v>51.0</v>
      </c>
      <c r="C5" s="2">
        <f t="shared" si="1"/>
        <v>61.71</v>
      </c>
      <c r="D5" s="4">
        <f t="array" ref="D5">NPV(B7,J3:J22)+J2</f>
        <v>14.77288337</v>
      </c>
      <c r="F5" s="2">
        <v>3.0</v>
      </c>
      <c r="G5" s="2">
        <v>0.0</v>
      </c>
      <c r="H5" s="2">
        <v>0.0</v>
      </c>
      <c r="I5" s="2">
        <v>4840.0</v>
      </c>
      <c r="J5" s="2">
        <v>0.0</v>
      </c>
      <c r="K5" s="2">
        <f t="shared" si="3"/>
        <v>0.1233333333</v>
      </c>
      <c r="L5" s="2">
        <f t="shared" si="4"/>
        <v>0.115</v>
      </c>
      <c r="M5" s="2">
        <v>1351.668</v>
      </c>
      <c r="N5" s="2">
        <f t="shared" si="5"/>
        <v>0.988047936</v>
      </c>
      <c r="O5" s="2">
        <f t="shared" si="2"/>
        <v>1350.679952</v>
      </c>
    </row>
    <row r="6">
      <c r="A6" s="2" t="s">
        <v>17</v>
      </c>
      <c r="B6" s="2">
        <v>20.0</v>
      </c>
      <c r="F6" s="2">
        <v>4.0</v>
      </c>
      <c r="G6" s="2">
        <v>0.0</v>
      </c>
      <c r="H6" s="2">
        <v>0.0</v>
      </c>
      <c r="I6" s="2">
        <v>4840.0</v>
      </c>
      <c r="J6" s="2">
        <v>0.0</v>
      </c>
      <c r="K6" s="2">
        <f t="shared" si="3"/>
        <v>0.1233333333</v>
      </c>
      <c r="L6" s="2">
        <f t="shared" si="4"/>
        <v>0.115</v>
      </c>
      <c r="M6" s="2">
        <v>1351.668</v>
      </c>
      <c r="N6" s="2">
        <f t="shared" si="5"/>
        <v>0.9840957443</v>
      </c>
      <c r="O6" s="2">
        <f t="shared" si="2"/>
        <v>1350.683904</v>
      </c>
    </row>
    <row r="7">
      <c r="A7" s="2" t="s">
        <v>18</v>
      </c>
      <c r="B7" s="6">
        <v>0.1</v>
      </c>
      <c r="F7" s="2">
        <v>5.0</v>
      </c>
      <c r="G7" s="2">
        <v>0.0</v>
      </c>
      <c r="H7" s="2">
        <v>0.0</v>
      </c>
      <c r="I7" s="2">
        <v>4840.0</v>
      </c>
      <c r="J7" s="2">
        <v>0.0</v>
      </c>
      <c r="K7" s="2">
        <f t="shared" si="3"/>
        <v>0.1233333333</v>
      </c>
      <c r="L7" s="2">
        <f t="shared" si="4"/>
        <v>0.115</v>
      </c>
      <c r="M7" s="2">
        <v>1351.668</v>
      </c>
      <c r="N7" s="2">
        <f t="shared" si="5"/>
        <v>0.9801593613</v>
      </c>
      <c r="O7" s="2">
        <f t="shared" si="2"/>
        <v>1350.687841</v>
      </c>
    </row>
    <row r="8">
      <c r="A8" s="2" t="s">
        <v>19</v>
      </c>
      <c r="B8" s="2">
        <v>0.004</v>
      </c>
      <c r="F8" s="2">
        <v>6.0</v>
      </c>
      <c r="G8" s="2">
        <v>0.0</v>
      </c>
      <c r="H8" s="2">
        <v>0.0</v>
      </c>
      <c r="I8" s="2">
        <v>4840.0</v>
      </c>
      <c r="J8" s="2">
        <v>0.0</v>
      </c>
      <c r="K8" s="2">
        <f t="shared" si="3"/>
        <v>0.1233333333</v>
      </c>
      <c r="L8" s="2">
        <f t="shared" si="4"/>
        <v>0.115</v>
      </c>
      <c r="M8" s="2">
        <v>1351.668</v>
      </c>
      <c r="N8" s="2">
        <f t="shared" si="5"/>
        <v>0.9762387238</v>
      </c>
      <c r="O8" s="2">
        <f t="shared" si="2"/>
        <v>1350.691761</v>
      </c>
    </row>
    <row r="9">
      <c r="F9" s="2">
        <v>7.0</v>
      </c>
      <c r="G9" s="2">
        <v>0.0</v>
      </c>
      <c r="H9" s="2">
        <v>0.0</v>
      </c>
      <c r="I9" s="2">
        <v>4840.0</v>
      </c>
      <c r="J9" s="2">
        <v>0.0</v>
      </c>
      <c r="K9" s="2">
        <f t="shared" si="3"/>
        <v>0.1233333333</v>
      </c>
      <c r="L9" s="2">
        <f t="shared" si="4"/>
        <v>0.115</v>
      </c>
      <c r="M9" s="2">
        <v>1351.668</v>
      </c>
      <c r="N9" s="2">
        <f t="shared" si="5"/>
        <v>0.9723337689</v>
      </c>
      <c r="O9" s="2">
        <f t="shared" si="2"/>
        <v>1350.695666</v>
      </c>
    </row>
    <row r="10">
      <c r="A10" s="1" t="s">
        <v>13</v>
      </c>
      <c r="F10" s="2">
        <v>8.0</v>
      </c>
      <c r="G10" s="2">
        <v>0.0</v>
      </c>
      <c r="H10" s="2">
        <v>0.0</v>
      </c>
      <c r="I10" s="2">
        <v>4840.0</v>
      </c>
      <c r="J10" s="2">
        <v>0.0</v>
      </c>
      <c r="K10" s="2">
        <f t="shared" si="3"/>
        <v>0.1233333333</v>
      </c>
      <c r="L10" s="2">
        <f t="shared" si="4"/>
        <v>0.115</v>
      </c>
      <c r="M10" s="2">
        <v>1351.668</v>
      </c>
      <c r="N10" s="2">
        <f t="shared" si="5"/>
        <v>0.9684444339</v>
      </c>
      <c r="O10" s="2">
        <f t="shared" si="2"/>
        <v>1350.699556</v>
      </c>
    </row>
    <row r="11">
      <c r="A11" s="2" t="s">
        <v>20</v>
      </c>
      <c r="B11" s="2">
        <v>1.0</v>
      </c>
      <c r="F11" s="2">
        <v>9.0</v>
      </c>
      <c r="G11" s="2">
        <v>0.0</v>
      </c>
      <c r="H11" s="2">
        <v>0.0</v>
      </c>
      <c r="I11" s="2">
        <v>4840.0</v>
      </c>
      <c r="J11" s="2">
        <v>0.0</v>
      </c>
      <c r="K11" s="2">
        <f t="shared" si="3"/>
        <v>0.1233333333</v>
      </c>
      <c r="L11" s="2">
        <f t="shared" si="4"/>
        <v>0.115</v>
      </c>
      <c r="M11" s="2">
        <v>1351.668</v>
      </c>
      <c r="N11" s="2">
        <f t="shared" si="5"/>
        <v>0.9645706561</v>
      </c>
      <c r="O11" s="2">
        <f t="shared" si="2"/>
        <v>1350.703429</v>
      </c>
    </row>
    <row r="12">
      <c r="A12" s="2" t="s">
        <v>21</v>
      </c>
      <c r="B12" s="2">
        <v>0.1543</v>
      </c>
      <c r="F12" s="2">
        <v>10.0</v>
      </c>
      <c r="G12" s="2">
        <v>0.0</v>
      </c>
      <c r="H12" s="2">
        <v>0.0</v>
      </c>
      <c r="I12" s="2">
        <v>4840.0</v>
      </c>
      <c r="J12" s="2">
        <v>0.0</v>
      </c>
      <c r="K12" s="2">
        <f t="shared" si="3"/>
        <v>0.1233333333</v>
      </c>
      <c r="L12" s="2">
        <f t="shared" si="4"/>
        <v>0.115</v>
      </c>
      <c r="M12" s="2">
        <v>1351.668</v>
      </c>
      <c r="N12" s="2">
        <f t="shared" si="5"/>
        <v>0.9607123735</v>
      </c>
      <c r="O12" s="2">
        <f t="shared" si="2"/>
        <v>1350.707288</v>
      </c>
    </row>
    <row r="13">
      <c r="A13" s="2" t="s">
        <v>22</v>
      </c>
      <c r="B13" s="2">
        <f>B11*B12*24*365</f>
        <v>1351.668</v>
      </c>
      <c r="D13" s="7">
        <f t="array" ref="D13">NPV(B7,O3:O22)+O2</f>
        <v>11499.24861</v>
      </c>
      <c r="F13" s="2">
        <v>11.0</v>
      </c>
      <c r="G13" s="2">
        <v>0.0</v>
      </c>
      <c r="H13" s="2">
        <v>0.0</v>
      </c>
      <c r="I13" s="2">
        <v>4840.0</v>
      </c>
      <c r="J13" s="2">
        <v>0.0</v>
      </c>
      <c r="K13" s="2">
        <f t="shared" si="3"/>
        <v>0.1233333333</v>
      </c>
      <c r="L13" s="2">
        <f t="shared" si="4"/>
        <v>0.115</v>
      </c>
      <c r="M13" s="2">
        <v>1351.668</v>
      </c>
      <c r="N13" s="2">
        <f t="shared" si="5"/>
        <v>0.956869524</v>
      </c>
      <c r="O13" s="2">
        <f t="shared" si="2"/>
        <v>1350.71113</v>
      </c>
    </row>
    <row r="14">
      <c r="F14" s="2">
        <v>12.0</v>
      </c>
      <c r="G14" s="2">
        <v>0.0</v>
      </c>
      <c r="H14" s="2">
        <v>0.0</v>
      </c>
      <c r="I14" s="2">
        <v>4840.0</v>
      </c>
      <c r="J14" s="2">
        <v>0.0</v>
      </c>
      <c r="K14" s="2">
        <f t="shared" si="3"/>
        <v>0.1233333333</v>
      </c>
      <c r="L14" s="2">
        <f t="shared" si="4"/>
        <v>0.115</v>
      </c>
      <c r="M14" s="2">
        <v>1351.668</v>
      </c>
      <c r="N14" s="2">
        <f t="shared" si="5"/>
        <v>0.9530420459</v>
      </c>
      <c r="O14" s="2">
        <f t="shared" si="2"/>
        <v>1350.714958</v>
      </c>
    </row>
    <row r="15">
      <c r="F15" s="2">
        <v>13.0</v>
      </c>
      <c r="G15" s="2">
        <v>0.0</v>
      </c>
      <c r="H15" s="2">
        <v>0.0</v>
      </c>
      <c r="I15" s="2">
        <v>4840.0</v>
      </c>
      <c r="J15" s="2">
        <v>0.0</v>
      </c>
      <c r="K15" s="2">
        <f t="shared" si="3"/>
        <v>0.1233333333</v>
      </c>
      <c r="L15" s="2">
        <f t="shared" si="4"/>
        <v>0.115</v>
      </c>
      <c r="M15" s="2">
        <v>1351.668</v>
      </c>
      <c r="N15" s="2">
        <f t="shared" si="5"/>
        <v>0.9492298777</v>
      </c>
      <c r="O15" s="2">
        <f t="shared" si="2"/>
        <v>1350.71877</v>
      </c>
    </row>
    <row r="16">
      <c r="F16" s="2">
        <v>14.0</v>
      </c>
      <c r="G16" s="2">
        <v>0.0</v>
      </c>
      <c r="H16" s="2">
        <v>0.0</v>
      </c>
      <c r="I16" s="2">
        <v>4840.0</v>
      </c>
      <c r="J16" s="2">
        <v>0.0</v>
      </c>
      <c r="K16" s="2">
        <f t="shared" si="3"/>
        <v>0.1233333333</v>
      </c>
      <c r="L16" s="2">
        <f t="shared" si="4"/>
        <v>0.115</v>
      </c>
      <c r="M16" s="2">
        <v>1351.668</v>
      </c>
      <c r="N16" s="2">
        <f t="shared" si="5"/>
        <v>0.9454329582</v>
      </c>
      <c r="O16" s="2">
        <f t="shared" si="2"/>
        <v>1350.722567</v>
      </c>
    </row>
    <row r="17">
      <c r="A17" s="8" t="s">
        <v>23</v>
      </c>
      <c r="B17" s="9">
        <f>SUM(D2,D3,D4,D5)/(D13)</f>
        <v>3.996895174</v>
      </c>
      <c r="F17" s="2">
        <v>15.0</v>
      </c>
      <c r="G17" s="2">
        <v>0.0</v>
      </c>
      <c r="H17" s="2">
        <v>0.0</v>
      </c>
      <c r="I17" s="2">
        <v>4840.0</v>
      </c>
      <c r="J17" s="3">
        <v>61.71</v>
      </c>
      <c r="K17" s="2">
        <f t="shared" si="3"/>
        <v>0.1233333333</v>
      </c>
      <c r="L17" s="2">
        <f t="shared" si="4"/>
        <v>0.115</v>
      </c>
      <c r="M17" s="2">
        <v>1351.668</v>
      </c>
      <c r="N17" s="2">
        <f t="shared" si="5"/>
        <v>0.9416512264</v>
      </c>
      <c r="O17" s="2">
        <f t="shared" si="2"/>
        <v>1350.726349</v>
      </c>
    </row>
    <row r="18">
      <c r="F18" s="2">
        <v>16.0</v>
      </c>
      <c r="G18" s="2">
        <v>0.0</v>
      </c>
      <c r="H18" s="2">
        <v>0.0</v>
      </c>
      <c r="I18" s="2">
        <v>4840.0</v>
      </c>
      <c r="J18" s="2">
        <v>0.0</v>
      </c>
      <c r="K18" s="2">
        <f t="shared" si="3"/>
        <v>0.1233333333</v>
      </c>
      <c r="L18" s="2">
        <f t="shared" si="4"/>
        <v>0.115</v>
      </c>
      <c r="M18" s="2">
        <v>1351.668</v>
      </c>
      <c r="N18" s="2">
        <f t="shared" si="5"/>
        <v>0.9378846215</v>
      </c>
      <c r="O18" s="2">
        <f t="shared" si="2"/>
        <v>1350.730115</v>
      </c>
    </row>
    <row r="19">
      <c r="F19" s="2">
        <v>17.0</v>
      </c>
      <c r="G19" s="2">
        <v>0.0</v>
      </c>
      <c r="H19" s="2">
        <v>0.0</v>
      </c>
      <c r="I19" s="2">
        <v>4840.0</v>
      </c>
      <c r="J19" s="2">
        <v>0.0</v>
      </c>
      <c r="K19" s="2">
        <f t="shared" si="3"/>
        <v>0.1233333333</v>
      </c>
      <c r="L19" s="2">
        <f t="shared" si="4"/>
        <v>0.115</v>
      </c>
      <c r="M19" s="2">
        <v>1351.668</v>
      </c>
      <c r="N19" s="2">
        <f t="shared" si="5"/>
        <v>0.934133083</v>
      </c>
      <c r="O19" s="2">
        <f t="shared" si="2"/>
        <v>1350.733867</v>
      </c>
    </row>
    <row r="20">
      <c r="F20" s="2">
        <v>18.0</v>
      </c>
      <c r="G20" s="2">
        <v>0.0</v>
      </c>
      <c r="H20" s="2">
        <v>0.0</v>
      </c>
      <c r="I20" s="2">
        <v>4840.0</v>
      </c>
      <c r="J20" s="2">
        <v>0.0</v>
      </c>
      <c r="K20" s="2">
        <f t="shared" si="3"/>
        <v>0.1233333333</v>
      </c>
      <c r="L20" s="2">
        <f t="shared" si="4"/>
        <v>0.115</v>
      </c>
      <c r="M20" s="2">
        <v>1351.668</v>
      </c>
      <c r="N20" s="2">
        <f t="shared" si="5"/>
        <v>0.9303965507</v>
      </c>
      <c r="O20" s="2">
        <f t="shared" si="2"/>
        <v>1350.737603</v>
      </c>
    </row>
    <row r="21" ht="15.75" customHeight="1">
      <c r="F21" s="2">
        <v>19.0</v>
      </c>
      <c r="G21" s="2">
        <v>0.0</v>
      </c>
      <c r="H21" s="2">
        <v>0.0</v>
      </c>
      <c r="I21" s="2">
        <v>4840.0</v>
      </c>
      <c r="J21" s="2">
        <v>0.0</v>
      </c>
      <c r="K21" s="2">
        <f t="shared" si="3"/>
        <v>0.1233333333</v>
      </c>
      <c r="L21" s="2">
        <f t="shared" si="4"/>
        <v>0.115</v>
      </c>
      <c r="M21" s="2">
        <v>1351.668</v>
      </c>
      <c r="N21" s="2">
        <f t="shared" si="5"/>
        <v>0.9266749645</v>
      </c>
      <c r="O21" s="2">
        <f t="shared" si="2"/>
        <v>1350.741325</v>
      </c>
    </row>
    <row r="22" ht="15.75" customHeight="1">
      <c r="F22" s="2">
        <v>20.0</v>
      </c>
      <c r="G22" s="2">
        <v>0.0</v>
      </c>
      <c r="H22" s="2">
        <v>0.0</v>
      </c>
      <c r="I22" s="2">
        <v>4840.0</v>
      </c>
      <c r="J22" s="2">
        <v>0.0</v>
      </c>
      <c r="K22" s="2">
        <f t="shared" si="3"/>
        <v>0.1233333333</v>
      </c>
      <c r="L22" s="2">
        <f t="shared" si="4"/>
        <v>0.115</v>
      </c>
      <c r="M22" s="2">
        <v>1351.668</v>
      </c>
      <c r="N22" s="2">
        <f t="shared" si="5"/>
        <v>0.9229682646</v>
      </c>
      <c r="O22" s="2">
        <f t="shared" si="2"/>
        <v>1350.745032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4.0"/>
    <col customWidth="1" min="3" max="3" width="11.86"/>
    <col customWidth="1" min="4" max="4" width="15.86"/>
    <col customWidth="1" min="5" max="8" width="8.71"/>
    <col customWidth="1" min="9" max="9" width="12.71"/>
    <col customWidth="1" min="10" max="10" width="13.14"/>
    <col customWidth="1" min="11" max="11" width="14.29"/>
    <col customWidth="1" min="12" max="12" width="12.86"/>
    <col customWidth="1" min="13" max="13" width="13.71"/>
    <col customWidth="1" min="14" max="14" width="14.57"/>
    <col customWidth="1" min="15" max="15" width="12.86"/>
    <col customWidth="1" min="1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24</v>
      </c>
      <c r="M1" s="2" t="s">
        <v>11</v>
      </c>
      <c r="N1" s="2" t="s">
        <v>12</v>
      </c>
      <c r="O1" s="2" t="s">
        <v>13</v>
      </c>
    </row>
    <row r="2">
      <c r="A2" s="2" t="s">
        <v>14</v>
      </c>
      <c r="B2" s="2">
        <v>507.0</v>
      </c>
      <c r="C2" s="2">
        <f t="shared" ref="C2:C5" si="1">1.21*B2</f>
        <v>613.47</v>
      </c>
      <c r="D2" s="4">
        <f t="array" ref="D2">NPV(B7,G3:G22)+G2</f>
        <v>613.47</v>
      </c>
      <c r="F2" s="2">
        <v>0.0</v>
      </c>
      <c r="G2" s="2">
        <v>613.47</v>
      </c>
      <c r="H2" s="2">
        <v>0.0</v>
      </c>
      <c r="I2" s="2">
        <v>0.0</v>
      </c>
      <c r="J2" s="2">
        <v>0.0</v>
      </c>
      <c r="K2" s="2">
        <v>0.0</v>
      </c>
      <c r="M2" s="2">
        <v>0.0</v>
      </c>
      <c r="N2" s="2">
        <v>0.0</v>
      </c>
      <c r="O2" s="2">
        <f t="shared" ref="O2:O22" si="2">M2-N2</f>
        <v>0</v>
      </c>
    </row>
    <row r="3">
      <c r="A3" s="2" t="s">
        <v>15</v>
      </c>
      <c r="B3" s="2">
        <v>11.0</v>
      </c>
      <c r="C3" s="2">
        <f t="shared" si="1"/>
        <v>13.31</v>
      </c>
      <c r="D3" s="4">
        <f t="array" ref="D3">NPV(B7,H3:H22)+H2</f>
        <v>23.1</v>
      </c>
      <c r="F3" s="2">
        <v>1.0</v>
      </c>
      <c r="G3" s="2">
        <v>0.0</v>
      </c>
      <c r="H3" s="2">
        <v>13.31</v>
      </c>
      <c r="I3" s="2">
        <v>0.0</v>
      </c>
      <c r="J3" s="2">
        <v>0.0</v>
      </c>
      <c r="K3" s="2">
        <f>C10</f>
        <v>171.7647059</v>
      </c>
      <c r="M3" s="2">
        <v>1095.0</v>
      </c>
      <c r="N3" s="2">
        <f t="shared" ref="N3:N22" si="3">(1-0.00292)^F3</f>
        <v>0.99708</v>
      </c>
      <c r="O3" s="2">
        <f t="shared" si="2"/>
        <v>1094.00292</v>
      </c>
    </row>
    <row r="4">
      <c r="A4" s="2" t="s">
        <v>15</v>
      </c>
      <c r="B4" s="2">
        <v>6.9</v>
      </c>
      <c r="C4" s="2">
        <f t="shared" si="1"/>
        <v>8.349</v>
      </c>
      <c r="D4" s="4">
        <f t="array" ref="D4">NPV(B7,I3:I22)+I2</f>
        <v>56.5897435</v>
      </c>
      <c r="E4" s="4">
        <f>SUM(D3:D4)</f>
        <v>79.6897435</v>
      </c>
      <c r="F4" s="2">
        <v>2.0</v>
      </c>
      <c r="G4" s="2">
        <v>0.0</v>
      </c>
      <c r="H4" s="2">
        <v>13.31</v>
      </c>
      <c r="I4" s="2">
        <v>0.0</v>
      </c>
      <c r="J4" s="2">
        <v>0.0</v>
      </c>
      <c r="K4" s="2">
        <f t="shared" ref="K4:K22" si="4">K3</f>
        <v>171.7647059</v>
      </c>
      <c r="M4" s="2">
        <v>1095.0</v>
      </c>
      <c r="N4" s="2">
        <f t="shared" si="3"/>
        <v>0.9941685264</v>
      </c>
      <c r="O4" s="2">
        <f t="shared" si="2"/>
        <v>1094.005831</v>
      </c>
    </row>
    <row r="5">
      <c r="A5" s="2" t="s">
        <v>16</v>
      </c>
      <c r="B5" s="2">
        <v>156.0</v>
      </c>
      <c r="C5" s="2">
        <f t="shared" si="1"/>
        <v>188.76</v>
      </c>
      <c r="D5" s="4">
        <f t="array" ref="D5">NPV(B7,J3:J22)+J2</f>
        <v>60.14475315</v>
      </c>
      <c r="F5" s="2">
        <v>3.0</v>
      </c>
      <c r="G5" s="2">
        <v>0.0</v>
      </c>
      <c r="H5" s="2">
        <v>0.0</v>
      </c>
      <c r="I5" s="2">
        <v>8.349</v>
      </c>
      <c r="J5" s="2">
        <v>0.0</v>
      </c>
      <c r="K5" s="2">
        <f t="shared" si="4"/>
        <v>171.7647059</v>
      </c>
      <c r="M5" s="2">
        <v>1095.0</v>
      </c>
      <c r="N5" s="2">
        <f t="shared" si="3"/>
        <v>0.9912655543</v>
      </c>
      <c r="O5" s="2">
        <f t="shared" si="2"/>
        <v>1094.008734</v>
      </c>
    </row>
    <row r="6">
      <c r="A6" s="2" t="s">
        <v>17</v>
      </c>
      <c r="B6" s="2">
        <v>20.0</v>
      </c>
      <c r="F6" s="2">
        <v>4.0</v>
      </c>
      <c r="G6" s="2">
        <v>0.0</v>
      </c>
      <c r="H6" s="2">
        <v>0.0</v>
      </c>
      <c r="I6" s="2">
        <v>8.349</v>
      </c>
      <c r="J6" s="2">
        <v>0.0</v>
      </c>
      <c r="K6" s="2">
        <f t="shared" si="4"/>
        <v>171.7647059</v>
      </c>
      <c r="M6" s="2">
        <v>1095.0</v>
      </c>
      <c r="N6" s="2">
        <f t="shared" si="3"/>
        <v>0.9883710589</v>
      </c>
      <c r="O6" s="2">
        <f t="shared" si="2"/>
        <v>1094.011629</v>
      </c>
    </row>
    <row r="7">
      <c r="A7" s="2" t="s">
        <v>18</v>
      </c>
      <c r="B7" s="6">
        <v>0.1</v>
      </c>
      <c r="F7" s="2">
        <v>5.0</v>
      </c>
      <c r="G7" s="2">
        <v>0.0</v>
      </c>
      <c r="H7" s="2">
        <v>0.0</v>
      </c>
      <c r="I7" s="2">
        <v>8.349</v>
      </c>
      <c r="J7" s="2">
        <v>0.0</v>
      </c>
      <c r="K7" s="2">
        <f t="shared" si="4"/>
        <v>171.7647059</v>
      </c>
      <c r="M7" s="2">
        <v>1095.0</v>
      </c>
      <c r="N7" s="2">
        <f t="shared" si="3"/>
        <v>0.9854850154</v>
      </c>
      <c r="O7" s="2">
        <f t="shared" si="2"/>
        <v>1094.014515</v>
      </c>
    </row>
    <row r="8">
      <c r="A8" s="2" t="s">
        <v>19</v>
      </c>
      <c r="B8" s="2">
        <v>0.00292</v>
      </c>
      <c r="F8" s="2">
        <v>6.0</v>
      </c>
      <c r="G8" s="2">
        <v>0.0</v>
      </c>
      <c r="H8" s="2">
        <v>0.0</v>
      </c>
      <c r="I8" s="2">
        <v>8.349</v>
      </c>
      <c r="J8" s="2">
        <v>0.0</v>
      </c>
      <c r="K8" s="2">
        <f t="shared" si="4"/>
        <v>171.7647059</v>
      </c>
      <c r="M8" s="2">
        <v>1095.0</v>
      </c>
      <c r="N8" s="2">
        <f t="shared" si="3"/>
        <v>0.9826073991</v>
      </c>
      <c r="O8" s="2">
        <f t="shared" si="2"/>
        <v>1094.017393</v>
      </c>
    </row>
    <row r="9">
      <c r="A9" s="2" t="s">
        <v>25</v>
      </c>
      <c r="C9" s="2">
        <f>40/300</f>
        <v>0.1333333333</v>
      </c>
      <c r="F9" s="2">
        <v>7.0</v>
      </c>
      <c r="G9" s="2">
        <v>0.0</v>
      </c>
      <c r="H9" s="2">
        <v>0.0</v>
      </c>
      <c r="I9" s="2">
        <v>8.349</v>
      </c>
      <c r="J9" s="2">
        <v>0.0</v>
      </c>
      <c r="K9" s="2">
        <f t="shared" si="4"/>
        <v>171.7647059</v>
      </c>
      <c r="M9" s="2">
        <v>1095.0</v>
      </c>
      <c r="N9" s="2">
        <f t="shared" si="3"/>
        <v>0.9797381855</v>
      </c>
      <c r="O9" s="2">
        <f t="shared" si="2"/>
        <v>1094.020262</v>
      </c>
    </row>
    <row r="10">
      <c r="A10" s="2" t="s">
        <v>26</v>
      </c>
      <c r="C10" s="2">
        <f>C9*B15*365/B14</f>
        <v>171.7647059</v>
      </c>
      <c r="D10" s="7">
        <f t="array" ref="D10">NPV(B7,K3:K22)+K2</f>
        <v>1462.329768</v>
      </c>
      <c r="F10" s="2">
        <v>8.0</v>
      </c>
      <c r="G10" s="2">
        <v>0.0</v>
      </c>
      <c r="H10" s="2">
        <v>0.0</v>
      </c>
      <c r="I10" s="2">
        <v>8.349</v>
      </c>
      <c r="J10" s="2">
        <v>0.0</v>
      </c>
      <c r="K10" s="2">
        <f t="shared" si="4"/>
        <v>171.7647059</v>
      </c>
      <c r="M10" s="2">
        <v>1095.0</v>
      </c>
      <c r="N10" s="2">
        <f t="shared" si="3"/>
        <v>0.97687735</v>
      </c>
      <c r="O10" s="2">
        <f t="shared" si="2"/>
        <v>1094.023123</v>
      </c>
    </row>
    <row r="11">
      <c r="F11" s="2">
        <v>9.0</v>
      </c>
      <c r="G11" s="2">
        <v>0.0</v>
      </c>
      <c r="H11" s="2">
        <v>0.0</v>
      </c>
      <c r="I11" s="2">
        <v>8.349</v>
      </c>
      <c r="J11" s="2">
        <v>0.0</v>
      </c>
      <c r="K11" s="2">
        <f t="shared" si="4"/>
        <v>171.7647059</v>
      </c>
      <c r="M11" s="2">
        <v>1095.0</v>
      </c>
      <c r="N11" s="2">
        <f t="shared" si="3"/>
        <v>0.9740248682</v>
      </c>
      <c r="O11" s="2">
        <f t="shared" si="2"/>
        <v>1094.025975</v>
      </c>
    </row>
    <row r="12">
      <c r="A12" s="1" t="s">
        <v>13</v>
      </c>
      <c r="F12" s="2">
        <v>10.0</v>
      </c>
      <c r="G12" s="2">
        <v>0.0</v>
      </c>
      <c r="H12" s="2">
        <v>0.0</v>
      </c>
      <c r="I12" s="2">
        <v>8.349</v>
      </c>
      <c r="J12" s="2">
        <v>0.0</v>
      </c>
      <c r="K12" s="2">
        <f t="shared" si="4"/>
        <v>171.7647059</v>
      </c>
      <c r="M12" s="2">
        <v>1095.0</v>
      </c>
      <c r="N12" s="2">
        <f t="shared" si="3"/>
        <v>0.9711807156</v>
      </c>
      <c r="O12" s="2">
        <f t="shared" si="2"/>
        <v>1094.028819</v>
      </c>
    </row>
    <row r="13">
      <c r="A13" s="2" t="s">
        <v>20</v>
      </c>
      <c r="B13" s="2">
        <v>1.0</v>
      </c>
      <c r="F13" s="2">
        <v>11.0</v>
      </c>
      <c r="G13" s="2">
        <v>0.0</v>
      </c>
      <c r="H13" s="2">
        <v>0.0</v>
      </c>
      <c r="I13" s="2">
        <v>8.349</v>
      </c>
      <c r="J13" s="2">
        <v>0.0</v>
      </c>
      <c r="K13" s="2">
        <f t="shared" si="4"/>
        <v>171.7647059</v>
      </c>
      <c r="M13" s="2">
        <v>1095.0</v>
      </c>
      <c r="N13" s="2">
        <f t="shared" si="3"/>
        <v>0.9683448679</v>
      </c>
      <c r="O13" s="2">
        <f t="shared" si="2"/>
        <v>1094.031655</v>
      </c>
    </row>
    <row r="14">
      <c r="A14" s="2" t="s">
        <v>27</v>
      </c>
      <c r="B14" s="2">
        <v>0.85</v>
      </c>
      <c r="F14" s="2">
        <v>12.0</v>
      </c>
      <c r="G14" s="2">
        <v>0.0</v>
      </c>
      <c r="H14" s="2">
        <v>0.0</v>
      </c>
      <c r="I14" s="2">
        <v>8.349</v>
      </c>
      <c r="J14" s="2">
        <v>188.76</v>
      </c>
      <c r="K14" s="2">
        <f t="shared" si="4"/>
        <v>171.7647059</v>
      </c>
      <c r="M14" s="2">
        <v>1095.0</v>
      </c>
      <c r="N14" s="2">
        <f t="shared" si="3"/>
        <v>0.9655173009</v>
      </c>
      <c r="O14" s="2">
        <f t="shared" si="2"/>
        <v>1094.034483</v>
      </c>
    </row>
    <row r="15">
      <c r="A15" s="2" t="s">
        <v>28</v>
      </c>
      <c r="B15" s="2">
        <v>3.0</v>
      </c>
      <c r="F15" s="2">
        <v>13.0</v>
      </c>
      <c r="G15" s="2">
        <v>0.0</v>
      </c>
      <c r="H15" s="2">
        <v>0.0</v>
      </c>
      <c r="I15" s="2">
        <v>8.349</v>
      </c>
      <c r="J15" s="2">
        <v>0.0</v>
      </c>
      <c r="K15" s="2">
        <f t="shared" si="4"/>
        <v>171.7647059</v>
      </c>
      <c r="M15" s="2">
        <v>1095.0</v>
      </c>
      <c r="N15" s="2">
        <f t="shared" si="3"/>
        <v>0.9626979903</v>
      </c>
      <c r="O15" s="2">
        <f t="shared" si="2"/>
        <v>1094.037302</v>
      </c>
    </row>
    <row r="16">
      <c r="F16" s="2">
        <v>14.0</v>
      </c>
      <c r="G16" s="2">
        <v>0.0</v>
      </c>
      <c r="H16" s="2">
        <v>0.0</v>
      </c>
      <c r="I16" s="2">
        <v>8.349</v>
      </c>
      <c r="J16" s="2">
        <v>0.0</v>
      </c>
      <c r="K16" s="2">
        <f t="shared" si="4"/>
        <v>171.7647059</v>
      </c>
      <c r="M16" s="2">
        <v>1095.0</v>
      </c>
      <c r="N16" s="2">
        <f t="shared" si="3"/>
        <v>0.9598869122</v>
      </c>
      <c r="O16" s="2">
        <f t="shared" si="2"/>
        <v>1094.040113</v>
      </c>
    </row>
    <row r="17">
      <c r="A17" s="2" t="s">
        <v>22</v>
      </c>
      <c r="B17" s="2">
        <f>B13*B15*365</f>
        <v>1095</v>
      </c>
      <c r="D17" s="7">
        <f t="array" ref="D17">NPV(B7,O3:O22)+O2</f>
        <v>9314.022601</v>
      </c>
      <c r="F17" s="2">
        <v>15.0</v>
      </c>
      <c r="G17" s="2">
        <v>0.0</v>
      </c>
      <c r="H17" s="2">
        <v>0.0</v>
      </c>
      <c r="I17" s="2">
        <v>8.349</v>
      </c>
      <c r="J17" s="2">
        <v>0.0</v>
      </c>
      <c r="K17" s="2">
        <f t="shared" si="4"/>
        <v>171.7647059</v>
      </c>
      <c r="M17" s="2">
        <v>1095.0</v>
      </c>
      <c r="N17" s="2">
        <f t="shared" si="3"/>
        <v>0.9570840424</v>
      </c>
      <c r="O17" s="2">
        <f t="shared" si="2"/>
        <v>1094.042916</v>
      </c>
    </row>
    <row r="18">
      <c r="F18" s="2">
        <v>16.0</v>
      </c>
      <c r="G18" s="2">
        <v>0.0</v>
      </c>
      <c r="H18" s="2">
        <v>0.0</v>
      </c>
      <c r="I18" s="2">
        <v>8.349</v>
      </c>
      <c r="J18" s="2">
        <v>0.0</v>
      </c>
      <c r="K18" s="2">
        <f t="shared" si="4"/>
        <v>171.7647059</v>
      </c>
      <c r="M18" s="2">
        <v>1095.0</v>
      </c>
      <c r="N18" s="2">
        <f t="shared" si="3"/>
        <v>0.954289357</v>
      </c>
      <c r="O18" s="2">
        <f t="shared" si="2"/>
        <v>1094.045711</v>
      </c>
    </row>
    <row r="19">
      <c r="A19" s="8" t="s">
        <v>23</v>
      </c>
      <c r="B19" s="10">
        <f>SUM(D2,D3,D4,D5,D10)/(D17)</f>
        <v>0.2378815642</v>
      </c>
      <c r="F19" s="2">
        <v>17.0</v>
      </c>
      <c r="G19" s="2">
        <v>0.0</v>
      </c>
      <c r="H19" s="2">
        <v>0.0</v>
      </c>
      <c r="I19" s="2">
        <v>8.349</v>
      </c>
      <c r="J19" s="2">
        <v>0.0</v>
      </c>
      <c r="K19" s="2">
        <f t="shared" si="4"/>
        <v>171.7647059</v>
      </c>
      <c r="M19" s="2">
        <v>1095.0</v>
      </c>
      <c r="N19" s="2">
        <f t="shared" si="3"/>
        <v>0.9515028321</v>
      </c>
      <c r="O19" s="2">
        <f t="shared" si="2"/>
        <v>1094.048497</v>
      </c>
    </row>
    <row r="20">
      <c r="F20" s="2">
        <v>18.0</v>
      </c>
      <c r="G20" s="2">
        <v>0.0</v>
      </c>
      <c r="H20" s="2">
        <v>0.0</v>
      </c>
      <c r="I20" s="2">
        <v>8.349</v>
      </c>
      <c r="J20" s="2">
        <v>0.0</v>
      </c>
      <c r="K20" s="2">
        <f t="shared" si="4"/>
        <v>171.7647059</v>
      </c>
      <c r="M20" s="2">
        <v>1095.0</v>
      </c>
      <c r="N20" s="2">
        <f t="shared" si="3"/>
        <v>0.9487244438</v>
      </c>
      <c r="O20" s="2">
        <f t="shared" si="2"/>
        <v>1094.051276</v>
      </c>
    </row>
    <row r="21" ht="15.75" customHeight="1">
      <c r="F21" s="2">
        <v>19.0</v>
      </c>
      <c r="G21" s="2">
        <v>0.0</v>
      </c>
      <c r="H21" s="2">
        <v>0.0</v>
      </c>
      <c r="I21" s="2">
        <v>8.349</v>
      </c>
      <c r="J21" s="2">
        <v>0.0</v>
      </c>
      <c r="K21" s="2">
        <f t="shared" si="4"/>
        <v>171.7647059</v>
      </c>
      <c r="M21" s="2">
        <v>1095.0</v>
      </c>
      <c r="N21" s="2">
        <f t="shared" si="3"/>
        <v>0.9459541685</v>
      </c>
      <c r="O21" s="2">
        <f t="shared" si="2"/>
        <v>1094.054046</v>
      </c>
    </row>
    <row r="22" ht="15.75" customHeight="1">
      <c r="F22" s="2">
        <v>20.0</v>
      </c>
      <c r="G22" s="2">
        <v>0.0</v>
      </c>
      <c r="H22" s="2">
        <v>0.0</v>
      </c>
      <c r="I22" s="2">
        <v>8.349</v>
      </c>
      <c r="J22" s="2">
        <v>0.0</v>
      </c>
      <c r="K22" s="2">
        <f t="shared" si="4"/>
        <v>171.7647059</v>
      </c>
      <c r="M22" s="2">
        <v>1095.0</v>
      </c>
      <c r="N22" s="2">
        <f t="shared" si="3"/>
        <v>0.9431919823</v>
      </c>
      <c r="O22" s="2">
        <f t="shared" si="2"/>
        <v>1094.056808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43"/>
    <col customWidth="1" min="3" max="3" width="10.71"/>
    <col customWidth="1" min="4" max="4" width="12.57"/>
    <col customWidth="1" min="5" max="10" width="8.71"/>
    <col customWidth="1" min="11" max="11" width="11.0"/>
    <col customWidth="1" min="12" max="12" width="8.71"/>
    <col customWidth="1" min="13" max="13" width="15.86"/>
    <col customWidth="1" min="14" max="14" width="13.29"/>
    <col customWidth="1" min="15" max="15" width="13.86"/>
    <col customWidth="1" min="1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24</v>
      </c>
      <c r="M1" s="2" t="s">
        <v>11</v>
      </c>
      <c r="N1" s="2" t="s">
        <v>12</v>
      </c>
      <c r="O1" s="2" t="s">
        <v>13</v>
      </c>
    </row>
    <row r="2">
      <c r="A2" s="2" t="s">
        <v>14</v>
      </c>
      <c r="B2" s="11">
        <v>361.0</v>
      </c>
      <c r="C2" s="3">
        <f t="shared" ref="C2:C3" si="1">1.21*B2</f>
        <v>436.81</v>
      </c>
      <c r="D2" s="4">
        <f t="array" ref="D2">NPV(B7,G3:G22)+G2</f>
        <v>436.81</v>
      </c>
      <c r="F2" s="2">
        <v>0.0</v>
      </c>
      <c r="G2" s="3">
        <v>436.81</v>
      </c>
      <c r="H2" s="2">
        <v>0.0</v>
      </c>
      <c r="I2" s="2">
        <v>0.0</v>
      </c>
      <c r="J2" s="2">
        <v>0.0</v>
      </c>
      <c r="K2" s="2">
        <v>0.0</v>
      </c>
      <c r="M2" s="2">
        <v>0.0</v>
      </c>
      <c r="N2" s="2">
        <v>0.0</v>
      </c>
      <c r="O2" s="2">
        <f t="shared" ref="O2:O22" si="2">M2-N2</f>
        <v>0</v>
      </c>
    </row>
    <row r="3">
      <c r="A3" s="2" t="s">
        <v>15</v>
      </c>
      <c r="B3" s="11">
        <v>22.0</v>
      </c>
      <c r="C3" s="3">
        <f t="shared" si="1"/>
        <v>26.62</v>
      </c>
      <c r="D3" s="4">
        <f t="array" ref="D3">NPV(B7,H3:H22)+H2</f>
        <v>226.6310662</v>
      </c>
      <c r="F3" s="2">
        <v>1.0</v>
      </c>
      <c r="G3" s="2">
        <v>0.0</v>
      </c>
      <c r="H3" s="3">
        <v>26.62</v>
      </c>
      <c r="I3" s="2">
        <v>0.0</v>
      </c>
      <c r="J3" s="2">
        <v>0.0</v>
      </c>
      <c r="K3" s="2">
        <f t="shared" ref="K3:K22" si="3">9*365*15/300</f>
        <v>164.25</v>
      </c>
      <c r="M3" s="2">
        <v>3285.0</v>
      </c>
      <c r="N3" s="2">
        <f t="shared" ref="N3:N22" si="4">(1-0.00292)^F3</f>
        <v>0.99708</v>
      </c>
      <c r="O3" s="2">
        <f t="shared" si="2"/>
        <v>3284.00292</v>
      </c>
    </row>
    <row r="4">
      <c r="A4" s="2" t="s">
        <v>15</v>
      </c>
      <c r="D4" s="4"/>
      <c r="F4" s="2">
        <v>2.0</v>
      </c>
      <c r="G4" s="2">
        <v>0.0</v>
      </c>
      <c r="H4" s="3">
        <v>26.62</v>
      </c>
      <c r="I4" s="2">
        <v>0.0</v>
      </c>
      <c r="J4" s="2">
        <v>0.0</v>
      </c>
      <c r="K4" s="2">
        <f t="shared" si="3"/>
        <v>164.25</v>
      </c>
      <c r="M4" s="2">
        <v>3285.0</v>
      </c>
      <c r="N4" s="2">
        <f t="shared" si="4"/>
        <v>0.9941685264</v>
      </c>
      <c r="O4" s="2">
        <f t="shared" si="2"/>
        <v>3284.005831</v>
      </c>
    </row>
    <row r="5">
      <c r="A5" s="2" t="s">
        <v>16</v>
      </c>
      <c r="C5" s="2">
        <f>1.21*B5</f>
        <v>0</v>
      </c>
      <c r="D5" s="4">
        <f t="array" ref="D5">NPV(B7,J3:J22)+J2</f>
        <v>0</v>
      </c>
      <c r="F5" s="2">
        <v>3.0</v>
      </c>
      <c r="G5" s="2">
        <v>0.0</v>
      </c>
      <c r="H5" s="3">
        <v>26.62</v>
      </c>
      <c r="I5" s="2">
        <v>0.0</v>
      </c>
      <c r="J5" s="2">
        <v>0.0</v>
      </c>
      <c r="K5" s="2">
        <f t="shared" si="3"/>
        <v>164.25</v>
      </c>
      <c r="M5" s="2">
        <v>3285.0</v>
      </c>
      <c r="N5" s="2">
        <f t="shared" si="4"/>
        <v>0.9912655543</v>
      </c>
      <c r="O5" s="2">
        <f t="shared" si="2"/>
        <v>3284.008734</v>
      </c>
    </row>
    <row r="6">
      <c r="A6" s="2" t="s">
        <v>17</v>
      </c>
      <c r="B6" s="2">
        <v>20.0</v>
      </c>
      <c r="F6" s="2">
        <v>4.0</v>
      </c>
      <c r="G6" s="2">
        <v>0.0</v>
      </c>
      <c r="H6" s="3">
        <v>26.62</v>
      </c>
      <c r="I6" s="2">
        <v>0.0</v>
      </c>
      <c r="J6" s="2">
        <v>0.0</v>
      </c>
      <c r="K6" s="2">
        <f t="shared" si="3"/>
        <v>164.25</v>
      </c>
      <c r="M6" s="2">
        <v>3285.0</v>
      </c>
      <c r="N6" s="2">
        <f t="shared" si="4"/>
        <v>0.9883710589</v>
      </c>
      <c r="O6" s="2">
        <f t="shared" si="2"/>
        <v>3284.011629</v>
      </c>
    </row>
    <row r="7">
      <c r="A7" s="2" t="s">
        <v>18</v>
      </c>
      <c r="B7" s="6">
        <v>0.1</v>
      </c>
      <c r="F7" s="2">
        <v>5.0</v>
      </c>
      <c r="G7" s="2">
        <v>0.0</v>
      </c>
      <c r="H7" s="3">
        <v>26.62</v>
      </c>
      <c r="I7" s="2">
        <v>0.0</v>
      </c>
      <c r="J7" s="2">
        <v>0.0</v>
      </c>
      <c r="K7" s="2">
        <f t="shared" si="3"/>
        <v>164.25</v>
      </c>
      <c r="M7" s="2">
        <v>3285.0</v>
      </c>
      <c r="N7" s="2">
        <f t="shared" si="4"/>
        <v>0.9854850154</v>
      </c>
      <c r="O7" s="2">
        <f t="shared" si="2"/>
        <v>3284.014515</v>
      </c>
    </row>
    <row r="8">
      <c r="A8" s="2" t="s">
        <v>19</v>
      </c>
      <c r="B8" s="2">
        <v>0.00292</v>
      </c>
      <c r="D8" s="12"/>
      <c r="F8" s="2">
        <v>6.0</v>
      </c>
      <c r="G8" s="2">
        <v>0.0</v>
      </c>
      <c r="H8" s="3">
        <v>26.62</v>
      </c>
      <c r="I8" s="2">
        <v>0.0</v>
      </c>
      <c r="J8" s="2">
        <v>0.0</v>
      </c>
      <c r="K8" s="2">
        <f t="shared" si="3"/>
        <v>164.25</v>
      </c>
      <c r="M8" s="2">
        <v>3285.0</v>
      </c>
      <c r="N8" s="2">
        <f t="shared" si="4"/>
        <v>0.9826073991</v>
      </c>
      <c r="O8" s="2">
        <f t="shared" si="2"/>
        <v>3284.017393</v>
      </c>
    </row>
    <row r="9">
      <c r="A9" s="2" t="s">
        <v>25</v>
      </c>
      <c r="F9" s="2">
        <v>7.0</v>
      </c>
      <c r="G9" s="2">
        <v>0.0</v>
      </c>
      <c r="H9" s="3">
        <v>26.62</v>
      </c>
      <c r="I9" s="2">
        <v>0.0</v>
      </c>
      <c r="J9" s="2">
        <v>0.0</v>
      </c>
      <c r="K9" s="2">
        <f t="shared" si="3"/>
        <v>164.25</v>
      </c>
      <c r="M9" s="2">
        <v>3285.0</v>
      </c>
      <c r="N9" s="2">
        <f t="shared" si="4"/>
        <v>0.9797381855</v>
      </c>
      <c r="O9" s="2">
        <f t="shared" si="2"/>
        <v>3284.020262</v>
      </c>
    </row>
    <row r="10">
      <c r="A10" s="2" t="s">
        <v>26</v>
      </c>
      <c r="C10" s="2">
        <v>318.82</v>
      </c>
      <c r="D10" s="7">
        <f t="array" ref="D10">NPV(B7,K3:K22)+K2</f>
        <v>1398.352841</v>
      </c>
      <c r="F10" s="2">
        <v>8.0</v>
      </c>
      <c r="G10" s="2">
        <v>0.0</v>
      </c>
      <c r="H10" s="3">
        <v>26.62</v>
      </c>
      <c r="I10" s="2">
        <v>0.0</v>
      </c>
      <c r="J10" s="2">
        <v>0.0</v>
      </c>
      <c r="K10" s="2">
        <f t="shared" si="3"/>
        <v>164.25</v>
      </c>
      <c r="M10" s="2">
        <v>3285.0</v>
      </c>
      <c r="N10" s="2">
        <f t="shared" si="4"/>
        <v>0.97687735</v>
      </c>
      <c r="O10" s="2">
        <f t="shared" si="2"/>
        <v>3284.023123</v>
      </c>
    </row>
    <row r="11">
      <c r="F11" s="2">
        <v>9.0</v>
      </c>
      <c r="G11" s="2">
        <v>0.0</v>
      </c>
      <c r="H11" s="3">
        <v>26.62</v>
      </c>
      <c r="I11" s="2">
        <v>0.0</v>
      </c>
      <c r="J11" s="2">
        <v>0.0</v>
      </c>
      <c r="K11" s="2">
        <f t="shared" si="3"/>
        <v>164.25</v>
      </c>
      <c r="M11" s="2">
        <v>3285.0</v>
      </c>
      <c r="N11" s="2">
        <f t="shared" si="4"/>
        <v>0.9740248682</v>
      </c>
      <c r="O11" s="2">
        <f t="shared" si="2"/>
        <v>3284.025975</v>
      </c>
    </row>
    <row r="12">
      <c r="A12" s="1" t="s">
        <v>13</v>
      </c>
      <c r="F12" s="2">
        <v>10.0</v>
      </c>
      <c r="G12" s="2">
        <v>0.0</v>
      </c>
      <c r="H12" s="3">
        <v>26.62</v>
      </c>
      <c r="I12" s="2">
        <v>0.0</v>
      </c>
      <c r="J12" s="2">
        <v>0.0</v>
      </c>
      <c r="K12" s="2">
        <f t="shared" si="3"/>
        <v>164.25</v>
      </c>
      <c r="M12" s="2">
        <v>3285.0</v>
      </c>
      <c r="N12" s="2">
        <f t="shared" si="4"/>
        <v>0.9711807156</v>
      </c>
      <c r="O12" s="2">
        <f t="shared" si="2"/>
        <v>3284.028819</v>
      </c>
    </row>
    <row r="13">
      <c r="A13" s="2" t="s">
        <v>20</v>
      </c>
      <c r="B13" s="2">
        <v>1.0</v>
      </c>
      <c r="F13" s="2">
        <v>11.0</v>
      </c>
      <c r="G13" s="2">
        <v>0.0</v>
      </c>
      <c r="H13" s="3">
        <v>26.62</v>
      </c>
      <c r="I13" s="2">
        <v>0.0</v>
      </c>
      <c r="J13" s="2">
        <v>0.0</v>
      </c>
      <c r="K13" s="2">
        <f t="shared" si="3"/>
        <v>164.25</v>
      </c>
      <c r="M13" s="2">
        <v>3285.0</v>
      </c>
      <c r="N13" s="2">
        <f t="shared" si="4"/>
        <v>0.9683448679</v>
      </c>
      <c r="O13" s="2">
        <f t="shared" si="2"/>
        <v>3284.031655</v>
      </c>
    </row>
    <row r="14">
      <c r="B14" s="13"/>
      <c r="F14" s="2">
        <v>12.0</v>
      </c>
      <c r="G14" s="2">
        <v>0.0</v>
      </c>
      <c r="H14" s="3">
        <v>26.62</v>
      </c>
      <c r="I14" s="2">
        <v>0.0</v>
      </c>
      <c r="J14" s="2">
        <v>0.0</v>
      </c>
      <c r="K14" s="2">
        <f t="shared" si="3"/>
        <v>164.25</v>
      </c>
      <c r="M14" s="2">
        <v>3285.0</v>
      </c>
      <c r="N14" s="2">
        <f t="shared" si="4"/>
        <v>0.9655173009</v>
      </c>
      <c r="O14" s="2">
        <f t="shared" si="2"/>
        <v>3284.034483</v>
      </c>
    </row>
    <row r="15">
      <c r="A15" s="2" t="s">
        <v>29</v>
      </c>
      <c r="B15" s="2">
        <v>0.375</v>
      </c>
      <c r="F15" s="2">
        <v>13.0</v>
      </c>
      <c r="G15" s="2">
        <v>0.0</v>
      </c>
      <c r="H15" s="3">
        <v>26.62</v>
      </c>
      <c r="I15" s="2">
        <v>0.0</v>
      </c>
      <c r="J15" s="2">
        <v>0.0</v>
      </c>
      <c r="K15" s="2">
        <f t="shared" si="3"/>
        <v>164.25</v>
      </c>
      <c r="M15" s="2">
        <v>3285.0</v>
      </c>
      <c r="N15" s="2">
        <f t="shared" si="4"/>
        <v>0.9626979903</v>
      </c>
      <c r="O15" s="2">
        <f t="shared" si="2"/>
        <v>3284.037302</v>
      </c>
    </row>
    <row r="16">
      <c r="F16" s="2">
        <v>14.0</v>
      </c>
      <c r="G16" s="2">
        <v>0.0</v>
      </c>
      <c r="H16" s="3">
        <v>26.62</v>
      </c>
      <c r="I16" s="2">
        <v>0.0</v>
      </c>
      <c r="J16" s="2">
        <v>0.0</v>
      </c>
      <c r="K16" s="2">
        <f t="shared" si="3"/>
        <v>164.25</v>
      </c>
      <c r="M16" s="2">
        <v>3285.0</v>
      </c>
      <c r="N16" s="2">
        <f t="shared" si="4"/>
        <v>0.9598869122</v>
      </c>
      <c r="O16" s="2">
        <f t="shared" si="2"/>
        <v>3284.040113</v>
      </c>
    </row>
    <row r="17">
      <c r="A17" s="2" t="s">
        <v>22</v>
      </c>
      <c r="B17" s="2">
        <f>B13*B15*24*365</f>
        <v>3285</v>
      </c>
      <c r="D17" s="14">
        <f t="array" ref="D17">NPV(B7,O3:O22)+O2</f>
        <v>27958.72715</v>
      </c>
      <c r="F17" s="2">
        <v>15.0</v>
      </c>
      <c r="G17" s="2">
        <v>0.0</v>
      </c>
      <c r="H17" s="3">
        <v>26.62</v>
      </c>
      <c r="I17" s="2">
        <v>0.0</v>
      </c>
      <c r="J17" s="2">
        <v>0.0</v>
      </c>
      <c r="K17" s="2">
        <f t="shared" si="3"/>
        <v>164.25</v>
      </c>
      <c r="M17" s="2">
        <v>3285.0</v>
      </c>
      <c r="N17" s="2">
        <f t="shared" si="4"/>
        <v>0.9570840424</v>
      </c>
      <c r="O17" s="2">
        <f t="shared" si="2"/>
        <v>3284.042916</v>
      </c>
    </row>
    <row r="18">
      <c r="F18" s="2">
        <v>16.0</v>
      </c>
      <c r="G18" s="2">
        <v>0.0</v>
      </c>
      <c r="H18" s="3">
        <v>26.62</v>
      </c>
      <c r="I18" s="2">
        <v>0.0</v>
      </c>
      <c r="J18" s="2">
        <v>0.0</v>
      </c>
      <c r="K18" s="2">
        <f t="shared" si="3"/>
        <v>164.25</v>
      </c>
      <c r="M18" s="2">
        <v>3285.0</v>
      </c>
      <c r="N18" s="2">
        <f t="shared" si="4"/>
        <v>0.954289357</v>
      </c>
      <c r="O18" s="2">
        <f t="shared" si="2"/>
        <v>3284.045711</v>
      </c>
    </row>
    <row r="19">
      <c r="A19" s="8" t="s">
        <v>23</v>
      </c>
      <c r="B19" s="10">
        <f>SUM(D2,D3,D4,D5,D10)/(D17)</f>
        <v>0.07374419788</v>
      </c>
      <c r="F19" s="2">
        <v>17.0</v>
      </c>
      <c r="G19" s="2">
        <v>0.0</v>
      </c>
      <c r="H19" s="3">
        <v>26.62</v>
      </c>
      <c r="I19" s="2">
        <v>0.0</v>
      </c>
      <c r="J19" s="2">
        <v>0.0</v>
      </c>
      <c r="K19" s="2">
        <f t="shared" si="3"/>
        <v>164.25</v>
      </c>
      <c r="M19" s="2">
        <v>3285.0</v>
      </c>
      <c r="N19" s="2">
        <f t="shared" si="4"/>
        <v>0.9515028321</v>
      </c>
      <c r="O19" s="2">
        <f t="shared" si="2"/>
        <v>3284.048497</v>
      </c>
    </row>
    <row r="20">
      <c r="F20" s="2">
        <v>18.0</v>
      </c>
      <c r="G20" s="2">
        <v>0.0</v>
      </c>
      <c r="H20" s="3">
        <v>26.62</v>
      </c>
      <c r="I20" s="2">
        <v>0.0</v>
      </c>
      <c r="J20" s="2">
        <v>0.0</v>
      </c>
      <c r="K20" s="2">
        <f t="shared" si="3"/>
        <v>164.25</v>
      </c>
      <c r="M20" s="2">
        <v>3285.0</v>
      </c>
      <c r="N20" s="2">
        <f t="shared" si="4"/>
        <v>0.9487244438</v>
      </c>
      <c r="O20" s="2">
        <f t="shared" si="2"/>
        <v>3284.051276</v>
      </c>
    </row>
    <row r="21" ht="15.75" customHeight="1">
      <c r="F21" s="2">
        <v>19.0</v>
      </c>
      <c r="G21" s="2">
        <v>0.0</v>
      </c>
      <c r="H21" s="3">
        <v>26.62</v>
      </c>
      <c r="I21" s="2">
        <v>0.0</v>
      </c>
      <c r="J21" s="2">
        <v>0.0</v>
      </c>
      <c r="K21" s="2">
        <f t="shared" si="3"/>
        <v>164.25</v>
      </c>
      <c r="M21" s="2">
        <v>3285.0</v>
      </c>
      <c r="N21" s="2">
        <f t="shared" si="4"/>
        <v>0.9459541685</v>
      </c>
      <c r="O21" s="2">
        <f t="shared" si="2"/>
        <v>3284.054046</v>
      </c>
    </row>
    <row r="22" ht="15.75" customHeight="1">
      <c r="F22" s="2">
        <v>20.0</v>
      </c>
      <c r="G22" s="2">
        <v>0.0</v>
      </c>
      <c r="H22" s="3">
        <v>26.62</v>
      </c>
      <c r="I22" s="2">
        <v>0.0</v>
      </c>
      <c r="J22" s="2">
        <v>0.0</v>
      </c>
      <c r="K22" s="2">
        <f t="shared" si="3"/>
        <v>164.25</v>
      </c>
      <c r="M22" s="2">
        <v>3285.0</v>
      </c>
      <c r="N22" s="2">
        <f t="shared" si="4"/>
        <v>0.9431919823</v>
      </c>
      <c r="O22" s="2">
        <f t="shared" si="2"/>
        <v>3284.056808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3.14"/>
    <col customWidth="1" min="3" max="3" width="15.14"/>
    <col customWidth="1" min="4" max="4" width="12.86"/>
    <col customWidth="1" min="5" max="10" width="8.71"/>
    <col customWidth="1" min="11" max="11" width="12.71"/>
    <col customWidth="1" min="12" max="12" width="8.71"/>
    <col customWidth="1" min="13" max="13" width="14.14"/>
    <col customWidth="1" min="14" max="14" width="12.86"/>
    <col customWidth="1" min="15" max="15" width="13.71"/>
    <col customWidth="1" min="1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15</v>
      </c>
      <c r="I1" s="2" t="s">
        <v>15</v>
      </c>
      <c r="J1" s="2" t="s">
        <v>8</v>
      </c>
      <c r="K1" s="2" t="s">
        <v>30</v>
      </c>
      <c r="M1" s="2" t="s">
        <v>11</v>
      </c>
      <c r="N1" s="2" t="s">
        <v>12</v>
      </c>
      <c r="O1" s="2" t="s">
        <v>13</v>
      </c>
    </row>
    <row r="2">
      <c r="A2" s="2" t="s">
        <v>14</v>
      </c>
      <c r="C2" s="2">
        <v>6450.0</v>
      </c>
      <c r="D2" s="4">
        <f t="array" ref="D2">NPV(B7,G3:G22)+G2</f>
        <v>6450</v>
      </c>
      <c r="F2" s="2">
        <v>0.0</v>
      </c>
      <c r="G2" s="2">
        <v>6450.0</v>
      </c>
      <c r="H2" s="2">
        <v>0.0</v>
      </c>
      <c r="I2" s="2">
        <v>0.0</v>
      </c>
      <c r="J2" s="2">
        <v>0.0</v>
      </c>
      <c r="K2" s="2">
        <v>0.0</v>
      </c>
      <c r="M2" s="2">
        <v>0.0</v>
      </c>
      <c r="N2" s="2">
        <v>0.0</v>
      </c>
      <c r="O2" s="2">
        <f t="shared" ref="O2:O22" si="1">M2-N2</f>
        <v>0</v>
      </c>
    </row>
    <row r="3">
      <c r="A3" s="2" t="s">
        <v>15</v>
      </c>
      <c r="C3" s="2">
        <v>210.24</v>
      </c>
      <c r="D3" s="4">
        <f t="array" ref="D3">NPV(B7,H3:H22)+H2</f>
        <v>1789.891636</v>
      </c>
      <c r="F3" s="2">
        <v>1.0</v>
      </c>
      <c r="G3" s="2">
        <v>0.0</v>
      </c>
      <c r="H3" s="2">
        <v>210.24</v>
      </c>
      <c r="I3" s="2">
        <v>0.0</v>
      </c>
      <c r="J3" s="2">
        <v>0.0</v>
      </c>
      <c r="K3" s="2">
        <v>394.2</v>
      </c>
      <c r="M3" s="2">
        <v>3285.0</v>
      </c>
      <c r="N3" s="2">
        <f t="shared" ref="N3:N22" si="2">(1-0.00292)^F3</f>
        <v>0.99708</v>
      </c>
      <c r="O3" s="2">
        <f t="shared" si="1"/>
        <v>3284.00292</v>
      </c>
    </row>
    <row r="4">
      <c r="A4" s="2" t="s">
        <v>15</v>
      </c>
      <c r="C4" s="2">
        <f t="shared" ref="C4:C5" si="3">1.21*B4</f>
        <v>0</v>
      </c>
      <c r="D4" s="4">
        <f t="array" ref="D4">NPV(B7,I3:I22)+I2</f>
        <v>0</v>
      </c>
      <c r="F4" s="2">
        <v>2.0</v>
      </c>
      <c r="G4" s="2">
        <v>0.0</v>
      </c>
      <c r="H4" s="2">
        <v>210.24</v>
      </c>
      <c r="I4" s="2">
        <v>0.0</v>
      </c>
      <c r="J4" s="2">
        <v>0.0</v>
      </c>
      <c r="K4" s="2">
        <v>394.2</v>
      </c>
      <c r="M4" s="2">
        <v>3285.0</v>
      </c>
      <c r="N4" s="2">
        <f t="shared" si="2"/>
        <v>0.9941685264</v>
      </c>
      <c r="O4" s="2">
        <f t="shared" si="1"/>
        <v>3284.005831</v>
      </c>
    </row>
    <row r="5">
      <c r="A5" s="2" t="s">
        <v>16</v>
      </c>
      <c r="C5" s="2">
        <f t="shared" si="3"/>
        <v>0</v>
      </c>
      <c r="D5" s="4">
        <f t="array" ref="D5">NPV(B7,J3:J22)+J2</f>
        <v>0</v>
      </c>
      <c r="F5" s="2">
        <v>3.0</v>
      </c>
      <c r="G5" s="2">
        <v>0.0</v>
      </c>
      <c r="H5" s="2">
        <v>210.24</v>
      </c>
      <c r="I5" s="2">
        <v>0.0</v>
      </c>
      <c r="J5" s="2">
        <v>0.0</v>
      </c>
      <c r="K5" s="2">
        <v>394.2</v>
      </c>
      <c r="M5" s="2">
        <v>3285.0</v>
      </c>
      <c r="N5" s="2">
        <f t="shared" si="2"/>
        <v>0.9912655543</v>
      </c>
      <c r="O5" s="2">
        <f t="shared" si="1"/>
        <v>3284.008734</v>
      </c>
    </row>
    <row r="6">
      <c r="A6" s="2" t="s">
        <v>17</v>
      </c>
      <c r="B6" s="2">
        <v>20.0</v>
      </c>
      <c r="F6" s="2">
        <v>4.0</v>
      </c>
      <c r="G6" s="2">
        <v>0.0</v>
      </c>
      <c r="H6" s="2">
        <v>210.24</v>
      </c>
      <c r="I6" s="2">
        <v>0.0</v>
      </c>
      <c r="J6" s="2">
        <v>0.0</v>
      </c>
      <c r="K6" s="2">
        <v>394.2</v>
      </c>
      <c r="M6" s="2">
        <v>3285.0</v>
      </c>
      <c r="N6" s="2">
        <f t="shared" si="2"/>
        <v>0.9883710589</v>
      </c>
      <c r="O6" s="2">
        <f t="shared" si="1"/>
        <v>3284.011629</v>
      </c>
    </row>
    <row r="7">
      <c r="A7" s="2" t="s">
        <v>18</v>
      </c>
      <c r="B7" s="6">
        <v>0.1</v>
      </c>
      <c r="F7" s="2">
        <v>5.0</v>
      </c>
      <c r="G7" s="2">
        <v>0.0</v>
      </c>
      <c r="H7" s="2">
        <v>210.24</v>
      </c>
      <c r="I7" s="2">
        <v>0.0</v>
      </c>
      <c r="J7" s="2">
        <v>0.0</v>
      </c>
      <c r="K7" s="2">
        <v>394.2</v>
      </c>
      <c r="M7" s="2">
        <v>3285.0</v>
      </c>
      <c r="N7" s="2">
        <f t="shared" si="2"/>
        <v>0.9854850154</v>
      </c>
      <c r="O7" s="2">
        <f t="shared" si="1"/>
        <v>3284.014515</v>
      </c>
    </row>
    <row r="8">
      <c r="A8" s="2" t="s">
        <v>31</v>
      </c>
      <c r="B8" s="2">
        <v>0.00292</v>
      </c>
      <c r="F8" s="2">
        <v>6.0</v>
      </c>
      <c r="G8" s="2">
        <v>0.0</v>
      </c>
      <c r="H8" s="2">
        <v>210.24</v>
      </c>
      <c r="I8" s="2">
        <v>0.0</v>
      </c>
      <c r="J8" s="2">
        <v>0.0</v>
      </c>
      <c r="K8" s="2">
        <v>394.2</v>
      </c>
      <c r="M8" s="2">
        <v>3285.0</v>
      </c>
      <c r="N8" s="2">
        <f t="shared" si="2"/>
        <v>0.9826073991</v>
      </c>
      <c r="O8" s="2">
        <f t="shared" si="1"/>
        <v>3284.017393</v>
      </c>
    </row>
    <row r="9">
      <c r="A9" s="2" t="s">
        <v>25</v>
      </c>
      <c r="C9" s="2">
        <v>0.12</v>
      </c>
      <c r="F9" s="2">
        <v>7.0</v>
      </c>
      <c r="G9" s="2">
        <v>0.0</v>
      </c>
      <c r="H9" s="2">
        <v>210.24</v>
      </c>
      <c r="I9" s="2">
        <v>0.0</v>
      </c>
      <c r="J9" s="2">
        <v>0.0</v>
      </c>
      <c r="K9" s="2">
        <v>394.2</v>
      </c>
      <c r="M9" s="2">
        <v>3285.0</v>
      </c>
      <c r="N9" s="2">
        <f t="shared" si="2"/>
        <v>0.9797381855</v>
      </c>
      <c r="O9" s="2">
        <f t="shared" si="1"/>
        <v>3284.020262</v>
      </c>
    </row>
    <row r="10">
      <c r="A10" s="2" t="s">
        <v>26</v>
      </c>
      <c r="C10" s="2">
        <f>C9*1*9*365</f>
        <v>394.2</v>
      </c>
      <c r="D10" s="7">
        <f t="array" ref="D10">NPV(B7,K3:K22)+K2</f>
        <v>3356.046818</v>
      </c>
      <c r="F10" s="2">
        <v>8.0</v>
      </c>
      <c r="G10" s="2">
        <v>0.0</v>
      </c>
      <c r="H10" s="2">
        <v>210.24</v>
      </c>
      <c r="I10" s="2">
        <v>0.0</v>
      </c>
      <c r="J10" s="2">
        <v>0.0</v>
      </c>
      <c r="K10" s="2">
        <v>394.2</v>
      </c>
      <c r="M10" s="2">
        <v>3285.0</v>
      </c>
      <c r="N10" s="2">
        <f t="shared" si="2"/>
        <v>0.97687735</v>
      </c>
      <c r="O10" s="2">
        <f t="shared" si="1"/>
        <v>3284.023123</v>
      </c>
    </row>
    <row r="11">
      <c r="F11" s="2">
        <v>9.0</v>
      </c>
      <c r="G11" s="2">
        <v>0.0</v>
      </c>
      <c r="H11" s="2">
        <v>210.24</v>
      </c>
      <c r="I11" s="2">
        <v>0.0</v>
      </c>
      <c r="J11" s="2">
        <v>0.0</v>
      </c>
      <c r="K11" s="2">
        <v>394.2</v>
      </c>
      <c r="M11" s="2">
        <v>3285.0</v>
      </c>
      <c r="N11" s="2">
        <f t="shared" si="2"/>
        <v>0.9740248682</v>
      </c>
      <c r="O11" s="2">
        <f t="shared" si="1"/>
        <v>3284.025975</v>
      </c>
    </row>
    <row r="12">
      <c r="A12" s="1" t="s">
        <v>13</v>
      </c>
      <c r="F12" s="2">
        <v>10.0</v>
      </c>
      <c r="G12" s="2">
        <v>0.0</v>
      </c>
      <c r="H12" s="2">
        <v>210.24</v>
      </c>
      <c r="I12" s="2">
        <v>0.0</v>
      </c>
      <c r="J12" s="2">
        <v>0.0</v>
      </c>
      <c r="K12" s="2">
        <v>394.2</v>
      </c>
      <c r="M12" s="2">
        <v>3285.0</v>
      </c>
      <c r="N12" s="2">
        <f t="shared" si="2"/>
        <v>0.9711807156</v>
      </c>
      <c r="O12" s="2">
        <f t="shared" si="1"/>
        <v>3284.028819</v>
      </c>
    </row>
    <row r="13">
      <c r="A13" s="2" t="s">
        <v>20</v>
      </c>
      <c r="B13" s="2">
        <v>1.0</v>
      </c>
      <c r="F13" s="2">
        <v>11.0</v>
      </c>
      <c r="G13" s="2">
        <v>0.0</v>
      </c>
      <c r="H13" s="2">
        <v>210.24</v>
      </c>
      <c r="I13" s="2">
        <v>0.0</v>
      </c>
      <c r="J13" s="2">
        <v>0.0</v>
      </c>
      <c r="K13" s="2">
        <v>394.2</v>
      </c>
      <c r="M13" s="2">
        <v>3285.0</v>
      </c>
      <c r="N13" s="2">
        <f t="shared" si="2"/>
        <v>0.9683448679</v>
      </c>
      <c r="O13" s="2">
        <f t="shared" si="1"/>
        <v>3284.031655</v>
      </c>
    </row>
    <row r="14">
      <c r="B14" s="13"/>
      <c r="F14" s="2">
        <v>12.0</v>
      </c>
      <c r="G14" s="2">
        <v>0.0</v>
      </c>
      <c r="H14" s="2">
        <v>210.24</v>
      </c>
      <c r="I14" s="2">
        <v>0.0</v>
      </c>
      <c r="J14" s="2">
        <v>0.0</v>
      </c>
      <c r="K14" s="2">
        <v>394.2</v>
      </c>
      <c r="M14" s="2">
        <v>3285.0</v>
      </c>
      <c r="N14" s="2">
        <f t="shared" si="2"/>
        <v>0.9655173009</v>
      </c>
      <c r="O14" s="2">
        <f t="shared" si="1"/>
        <v>3284.034483</v>
      </c>
    </row>
    <row r="15">
      <c r="A15" s="2" t="s">
        <v>32</v>
      </c>
      <c r="B15" s="2">
        <v>9.0</v>
      </c>
      <c r="F15" s="2">
        <v>13.0</v>
      </c>
      <c r="G15" s="2">
        <v>0.0</v>
      </c>
      <c r="H15" s="2">
        <v>210.24</v>
      </c>
      <c r="I15" s="2">
        <v>0.0</v>
      </c>
      <c r="J15" s="2">
        <v>0.0</v>
      </c>
      <c r="K15" s="2">
        <v>394.2</v>
      </c>
      <c r="M15" s="2">
        <v>3285.0</v>
      </c>
      <c r="N15" s="2">
        <f t="shared" si="2"/>
        <v>0.9626979903</v>
      </c>
      <c r="O15" s="2">
        <f t="shared" si="1"/>
        <v>3284.037302</v>
      </c>
    </row>
    <row r="16">
      <c r="F16" s="2">
        <v>14.0</v>
      </c>
      <c r="G16" s="2">
        <v>0.0</v>
      </c>
      <c r="H16" s="2">
        <v>210.24</v>
      </c>
      <c r="I16" s="2">
        <v>0.0</v>
      </c>
      <c r="J16" s="2">
        <v>0.0</v>
      </c>
      <c r="K16" s="2">
        <v>394.2</v>
      </c>
      <c r="M16" s="2">
        <v>3285.0</v>
      </c>
      <c r="N16" s="2">
        <f t="shared" si="2"/>
        <v>0.9598869122</v>
      </c>
      <c r="O16" s="2">
        <f t="shared" si="1"/>
        <v>3284.040113</v>
      </c>
    </row>
    <row r="17">
      <c r="A17" s="2" t="s">
        <v>22</v>
      </c>
      <c r="B17" s="2">
        <f>B13*B15*365</f>
        <v>3285</v>
      </c>
      <c r="D17" s="14">
        <f t="array" ref="D17">NPV(B7,O3:O22)+O2</f>
        <v>27958.72715</v>
      </c>
      <c r="F17" s="2">
        <v>15.0</v>
      </c>
      <c r="G17" s="2">
        <v>0.0</v>
      </c>
      <c r="H17" s="2">
        <v>210.24</v>
      </c>
      <c r="I17" s="2">
        <v>0.0</v>
      </c>
      <c r="J17" s="2">
        <v>0.0</v>
      </c>
      <c r="K17" s="2">
        <v>394.2</v>
      </c>
      <c r="M17" s="2">
        <v>3285.0</v>
      </c>
      <c r="N17" s="2">
        <f t="shared" si="2"/>
        <v>0.9570840424</v>
      </c>
      <c r="O17" s="2">
        <f t="shared" si="1"/>
        <v>3284.042916</v>
      </c>
    </row>
    <row r="18">
      <c r="F18" s="2">
        <v>16.0</v>
      </c>
      <c r="G18" s="2">
        <v>0.0</v>
      </c>
      <c r="H18" s="2">
        <v>210.24</v>
      </c>
      <c r="I18" s="2">
        <v>0.0</v>
      </c>
      <c r="J18" s="2">
        <v>0.0</v>
      </c>
      <c r="K18" s="2">
        <v>394.2</v>
      </c>
      <c r="M18" s="2">
        <v>3285.0</v>
      </c>
      <c r="N18" s="2">
        <f t="shared" si="2"/>
        <v>0.954289357</v>
      </c>
      <c r="O18" s="2">
        <f t="shared" si="1"/>
        <v>3284.045711</v>
      </c>
    </row>
    <row r="19">
      <c r="A19" s="8" t="s">
        <v>23</v>
      </c>
      <c r="B19" s="10">
        <f>SUM(D2,D3,D4,D5,D10)/(D17)</f>
        <v>0.4147520162</v>
      </c>
      <c r="F19" s="2">
        <v>17.0</v>
      </c>
      <c r="G19" s="2">
        <v>0.0</v>
      </c>
      <c r="H19" s="2">
        <v>210.24</v>
      </c>
      <c r="I19" s="2">
        <v>0.0</v>
      </c>
      <c r="J19" s="2">
        <v>0.0</v>
      </c>
      <c r="K19" s="2">
        <v>394.2</v>
      </c>
      <c r="M19" s="2">
        <v>3285.0</v>
      </c>
      <c r="N19" s="2">
        <f t="shared" si="2"/>
        <v>0.9515028321</v>
      </c>
      <c r="O19" s="2">
        <f t="shared" si="1"/>
        <v>3284.048497</v>
      </c>
    </row>
    <row r="20">
      <c r="F20" s="2">
        <v>18.0</v>
      </c>
      <c r="G20" s="2">
        <v>0.0</v>
      </c>
      <c r="H20" s="2">
        <v>210.24</v>
      </c>
      <c r="I20" s="2">
        <v>0.0</v>
      </c>
      <c r="J20" s="2">
        <v>0.0</v>
      </c>
      <c r="K20" s="2">
        <v>394.2</v>
      </c>
      <c r="M20" s="2">
        <v>3285.0</v>
      </c>
      <c r="N20" s="2">
        <f t="shared" si="2"/>
        <v>0.9487244438</v>
      </c>
      <c r="O20" s="2">
        <f t="shared" si="1"/>
        <v>3284.051276</v>
      </c>
    </row>
    <row r="21" ht="15.75" customHeight="1">
      <c r="F21" s="2">
        <v>19.0</v>
      </c>
      <c r="G21" s="2">
        <v>0.0</v>
      </c>
      <c r="H21" s="2">
        <v>210.24</v>
      </c>
      <c r="I21" s="2">
        <v>0.0</v>
      </c>
      <c r="J21" s="2">
        <v>0.0</v>
      </c>
      <c r="K21" s="2">
        <v>394.2</v>
      </c>
      <c r="M21" s="2">
        <v>3285.0</v>
      </c>
      <c r="N21" s="2">
        <f t="shared" si="2"/>
        <v>0.9459541685</v>
      </c>
      <c r="O21" s="2">
        <f t="shared" si="1"/>
        <v>3284.054046</v>
      </c>
    </row>
    <row r="22" ht="15.75" customHeight="1">
      <c r="F22" s="2">
        <v>20.0</v>
      </c>
      <c r="G22" s="2">
        <v>0.0</v>
      </c>
      <c r="H22" s="2">
        <v>210.24</v>
      </c>
      <c r="I22" s="2">
        <v>0.0</v>
      </c>
      <c r="J22" s="2">
        <v>0.0</v>
      </c>
      <c r="K22" s="2">
        <v>394.2</v>
      </c>
      <c r="M22" s="2">
        <v>3285.0</v>
      </c>
      <c r="N22" s="2">
        <f t="shared" si="2"/>
        <v>0.9431919823</v>
      </c>
      <c r="O22" s="2">
        <f t="shared" si="1"/>
        <v>3284.056808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29"/>
    <col customWidth="1" min="3" max="3" width="14.57"/>
    <col customWidth="1" min="4" max="4" width="17.71"/>
    <col customWidth="1" min="5" max="5" width="13.0"/>
    <col customWidth="1" min="6" max="6" width="15.43"/>
    <col customWidth="1" min="7" max="7" width="14.14"/>
    <col customWidth="1" min="8" max="8" width="11.14"/>
    <col customWidth="1" min="9" max="9" width="13.71"/>
    <col customWidth="1" min="10" max="10" width="16.86"/>
    <col customWidth="1" min="11" max="26" width="8.71"/>
  </cols>
  <sheetData>
    <row r="1">
      <c r="A1" s="15" t="s">
        <v>33</v>
      </c>
      <c r="B1" s="15" t="s">
        <v>34</v>
      </c>
      <c r="C1" s="15" t="s">
        <v>35</v>
      </c>
      <c r="D1" s="16" t="s">
        <v>36</v>
      </c>
      <c r="E1" s="15" t="s">
        <v>37</v>
      </c>
      <c r="F1" s="15" t="s">
        <v>38</v>
      </c>
      <c r="G1" s="17"/>
      <c r="H1" s="15" t="s">
        <v>39</v>
      </c>
      <c r="I1" s="15" t="s">
        <v>40</v>
      </c>
      <c r="J1" s="15" t="s">
        <v>41</v>
      </c>
      <c r="K1" s="15" t="s">
        <v>42</v>
      </c>
      <c r="L1" s="17" t="s">
        <v>43</v>
      </c>
      <c r="M1" s="17" t="s">
        <v>44</v>
      </c>
    </row>
    <row r="2">
      <c r="A2" s="17" t="s">
        <v>45</v>
      </c>
      <c r="B2" s="17" t="s">
        <v>46</v>
      </c>
      <c r="C2" s="17"/>
      <c r="D2" s="17" t="s">
        <v>47</v>
      </c>
      <c r="E2" s="18">
        <v>222.0</v>
      </c>
      <c r="F2" s="19" t="s">
        <v>48</v>
      </c>
      <c r="G2" s="17" t="s">
        <v>49</v>
      </c>
      <c r="H2" s="19" t="s">
        <v>50</v>
      </c>
      <c r="I2" s="19" t="s">
        <v>51</v>
      </c>
      <c r="J2" s="17" t="s">
        <v>52</v>
      </c>
      <c r="K2" s="18">
        <v>99.0</v>
      </c>
      <c r="L2" s="20" t="s">
        <v>53</v>
      </c>
      <c r="M2" s="21">
        <v>0.1583</v>
      </c>
    </row>
    <row r="3">
      <c r="A3" s="17"/>
      <c r="B3" s="17" t="s">
        <v>52</v>
      </c>
      <c r="C3" s="17"/>
      <c r="D3" s="17" t="s">
        <v>54</v>
      </c>
      <c r="E3" s="18">
        <v>225.0</v>
      </c>
      <c r="F3" s="19" t="s">
        <v>55</v>
      </c>
      <c r="G3" s="17" t="s">
        <v>56</v>
      </c>
      <c r="H3" s="17"/>
      <c r="I3" s="17"/>
      <c r="J3" s="19" t="s">
        <v>57</v>
      </c>
      <c r="K3" s="17"/>
      <c r="L3" s="17"/>
      <c r="M3" s="17"/>
    </row>
    <row r="4">
      <c r="A4" s="17"/>
      <c r="B4" s="17" t="s">
        <v>58</v>
      </c>
      <c r="C4" s="17"/>
      <c r="D4" s="17"/>
      <c r="E4" s="17"/>
      <c r="F4" s="17"/>
      <c r="G4" s="17"/>
      <c r="H4" s="17"/>
      <c r="I4" s="17"/>
      <c r="J4" s="17" t="s">
        <v>59</v>
      </c>
      <c r="K4" s="17"/>
      <c r="L4" s="17"/>
      <c r="M4" s="17"/>
    </row>
    <row r="5">
      <c r="A5" s="17"/>
      <c r="B5" s="17" t="s">
        <v>60</v>
      </c>
      <c r="C5" s="17"/>
      <c r="D5" s="22" t="s">
        <v>61</v>
      </c>
      <c r="E5" s="23">
        <v>447.0</v>
      </c>
      <c r="F5" s="17"/>
      <c r="G5" s="17"/>
      <c r="H5" s="17"/>
      <c r="I5" s="17"/>
      <c r="J5" s="17" t="s">
        <v>62</v>
      </c>
      <c r="K5" s="17"/>
      <c r="L5" s="17"/>
      <c r="M5" s="17"/>
    </row>
    <row r="6">
      <c r="A6" s="17"/>
      <c r="B6" s="17" t="s">
        <v>63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>
      <c r="A8" s="17" t="s">
        <v>64</v>
      </c>
      <c r="B8" s="17" t="s">
        <v>65</v>
      </c>
      <c r="C8" s="17"/>
      <c r="D8" s="17" t="s">
        <v>66</v>
      </c>
      <c r="E8" s="18">
        <v>430.0</v>
      </c>
      <c r="F8" s="18">
        <v>11.0</v>
      </c>
      <c r="G8" s="17" t="s">
        <v>49</v>
      </c>
      <c r="H8" s="18">
        <v>25.0</v>
      </c>
      <c r="I8" s="17" t="s">
        <v>67</v>
      </c>
      <c r="J8" s="18">
        <v>156.0</v>
      </c>
      <c r="K8" s="18">
        <v>97.0</v>
      </c>
      <c r="L8" s="17"/>
      <c r="M8" s="17"/>
    </row>
    <row r="9">
      <c r="A9" s="17"/>
      <c r="B9" s="17" t="s">
        <v>68</v>
      </c>
      <c r="C9" s="17"/>
      <c r="D9" s="17" t="s">
        <v>69</v>
      </c>
      <c r="E9" s="18">
        <v>13.0</v>
      </c>
      <c r="F9" s="18">
        <v>6.9</v>
      </c>
      <c r="G9" s="17" t="s">
        <v>56</v>
      </c>
      <c r="H9" s="17"/>
      <c r="I9" s="17" t="s">
        <v>70</v>
      </c>
      <c r="J9" s="17" t="s">
        <v>71</v>
      </c>
      <c r="K9" s="17"/>
      <c r="L9" s="17"/>
      <c r="M9" s="17"/>
    </row>
    <row r="10">
      <c r="A10" s="17"/>
      <c r="B10" s="17" t="s">
        <v>58</v>
      </c>
      <c r="C10" s="17"/>
      <c r="D10" s="17" t="s">
        <v>72</v>
      </c>
      <c r="E10" s="18">
        <v>11.0</v>
      </c>
      <c r="F10" s="17"/>
      <c r="G10" s="17"/>
      <c r="H10" s="17"/>
      <c r="I10" s="17"/>
      <c r="J10" s="17" t="s">
        <v>73</v>
      </c>
      <c r="K10" s="17"/>
      <c r="L10" s="17"/>
      <c r="M10" s="17"/>
    </row>
    <row r="11">
      <c r="A11" s="17"/>
      <c r="B11" s="17"/>
      <c r="C11" s="17"/>
      <c r="D11" s="17" t="s">
        <v>74</v>
      </c>
      <c r="E11" s="18">
        <v>53.0</v>
      </c>
      <c r="F11" s="17"/>
      <c r="G11" s="17"/>
      <c r="H11" s="17"/>
      <c r="I11" s="17"/>
      <c r="J11" s="17"/>
      <c r="K11" s="17"/>
      <c r="L11" s="17"/>
      <c r="M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>
      <c r="A13" s="17"/>
      <c r="B13" s="17"/>
      <c r="C13" s="17"/>
      <c r="D13" s="17" t="s">
        <v>75</v>
      </c>
      <c r="E13" s="18">
        <v>507.0</v>
      </c>
      <c r="F13" s="17"/>
      <c r="G13" s="17"/>
      <c r="H13" s="17"/>
      <c r="I13" s="17"/>
      <c r="J13" s="17"/>
      <c r="K13" s="17"/>
      <c r="L13" s="17"/>
      <c r="M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>
      <c r="A15" s="17" t="s">
        <v>76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>
      <c r="A16" s="17"/>
      <c r="B16" s="17" t="s">
        <v>78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>
      <c r="A19" s="17" t="s">
        <v>79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>
      <c r="A20" s="17"/>
      <c r="B20" s="17" t="s">
        <v>80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ht="15.75" customHeight="1">
      <c r="A22" s="17" t="s">
        <v>81</v>
      </c>
      <c r="B22" s="17" t="s">
        <v>77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57"/>
    <col customWidth="1" min="3" max="3" width="8.71"/>
    <col customWidth="1" min="4" max="4" width="15.29"/>
    <col customWidth="1" min="5" max="9" width="8.71"/>
    <col customWidth="1" min="10" max="10" width="12.29"/>
    <col customWidth="1" min="11" max="11" width="5.57"/>
    <col customWidth="1" min="12" max="12" width="15.29"/>
    <col customWidth="1" min="13" max="13" width="12.57"/>
    <col customWidth="1" min="14" max="17" width="8.71"/>
    <col customWidth="1" min="18" max="18" width="14.57"/>
    <col customWidth="1" min="19" max="19" width="10.71"/>
    <col customWidth="1" min="20" max="21" width="8.71"/>
    <col customWidth="1" min="22" max="22" width="11.14"/>
    <col customWidth="1" min="2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15</v>
      </c>
      <c r="I1" s="2" t="s">
        <v>15</v>
      </c>
      <c r="J1" s="2" t="s">
        <v>8</v>
      </c>
      <c r="L1" s="2" t="s">
        <v>11</v>
      </c>
      <c r="M1" s="2" t="s">
        <v>12</v>
      </c>
      <c r="N1" s="2" t="s">
        <v>13</v>
      </c>
      <c r="P1" s="2" t="s">
        <v>82</v>
      </c>
      <c r="Q1" s="2" t="s">
        <v>83</v>
      </c>
      <c r="R1" s="2" t="s">
        <v>84</v>
      </c>
      <c r="S1" s="2" t="s">
        <v>85</v>
      </c>
      <c r="V1" s="2" t="s">
        <v>86</v>
      </c>
    </row>
    <row r="2">
      <c r="A2" s="2" t="s">
        <v>14</v>
      </c>
      <c r="B2" s="2">
        <v>447.0</v>
      </c>
      <c r="C2" s="2">
        <f t="shared" ref="C2:C5" si="1">1.21*B2</f>
        <v>540.87</v>
      </c>
      <c r="D2" s="4">
        <f t="array" ref="D2">NPV(B7,G3:G22)+G2</f>
        <v>540.87</v>
      </c>
      <c r="F2" s="2">
        <v>0.0</v>
      </c>
      <c r="G2" s="2">
        <v>540.87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f t="shared" ref="N2:N22" si="2">L2-M2</f>
        <v>0</v>
      </c>
      <c r="P2" s="2">
        <f t="shared" ref="P2:P22" si="3">SUM(G2,H2,I2,J2)</f>
        <v>540.87</v>
      </c>
      <c r="Q2" s="2">
        <v>0.0</v>
      </c>
      <c r="R2" s="2">
        <f t="shared" ref="R2:R22" si="4">Q2-P2</f>
        <v>-540.87</v>
      </c>
      <c r="S2" s="2">
        <f>R2</f>
        <v>-540.87</v>
      </c>
    </row>
    <row r="3">
      <c r="A3" s="5" t="s">
        <v>15</v>
      </c>
      <c r="B3" s="5">
        <v>60.0</v>
      </c>
      <c r="C3" s="2">
        <f t="shared" si="1"/>
        <v>72.6</v>
      </c>
      <c r="D3" s="4">
        <f t="array" ref="D3">NPV(B7,H3:H22)+H2</f>
        <v>104.1322314</v>
      </c>
      <c r="F3" s="2">
        <v>1.0</v>
      </c>
      <c r="G3" s="2">
        <v>0.0</v>
      </c>
      <c r="H3" s="2">
        <v>60.0</v>
      </c>
      <c r="I3" s="2">
        <v>0.0</v>
      </c>
      <c r="J3" s="2">
        <v>0.0</v>
      </c>
      <c r="K3" s="2">
        <v>1.0</v>
      </c>
      <c r="L3" s="2">
        <v>1351.668</v>
      </c>
      <c r="M3" s="2">
        <f t="shared" ref="M3:M22" si="5">(1-0.004)^F3</f>
        <v>0.996</v>
      </c>
      <c r="N3" s="2">
        <f t="shared" si="2"/>
        <v>1350.672</v>
      </c>
      <c r="P3" s="2">
        <f t="shared" si="3"/>
        <v>60</v>
      </c>
      <c r="Q3" s="2">
        <v>180.0</v>
      </c>
      <c r="R3" s="2">
        <f t="shared" si="4"/>
        <v>120</v>
      </c>
      <c r="S3" s="2">
        <f t="shared" ref="S3:S22" si="6">S2+R3</f>
        <v>-420.87</v>
      </c>
    </row>
    <row r="4">
      <c r="A4" s="5" t="s">
        <v>15</v>
      </c>
      <c r="B4" s="5">
        <v>40.0</v>
      </c>
      <c r="C4" s="2">
        <f t="shared" si="1"/>
        <v>48.4</v>
      </c>
      <c r="D4" s="4">
        <f t="array" ref="D4">NPV(B7,I3:I22)+I2</f>
        <v>271.1210612</v>
      </c>
      <c r="F4" s="2">
        <v>2.0</v>
      </c>
      <c r="G4" s="2">
        <v>0.0</v>
      </c>
      <c r="H4" s="2">
        <v>60.0</v>
      </c>
      <c r="I4" s="2">
        <v>0.0</v>
      </c>
      <c r="J4" s="2">
        <v>0.0</v>
      </c>
      <c r="K4" s="2">
        <v>1.0</v>
      </c>
      <c r="L4" s="2">
        <v>1351.668</v>
      </c>
      <c r="M4" s="2">
        <f t="shared" si="5"/>
        <v>0.992016</v>
      </c>
      <c r="N4" s="2">
        <f t="shared" si="2"/>
        <v>1350.675984</v>
      </c>
      <c r="P4" s="2">
        <f t="shared" si="3"/>
        <v>60</v>
      </c>
      <c r="Q4" s="2">
        <v>180.0</v>
      </c>
      <c r="R4" s="2">
        <f t="shared" si="4"/>
        <v>120</v>
      </c>
      <c r="S4" s="2">
        <f t="shared" si="6"/>
        <v>-300.87</v>
      </c>
    </row>
    <row r="5">
      <c r="A5" s="2" t="s">
        <v>16</v>
      </c>
      <c r="B5" s="2">
        <v>51.0</v>
      </c>
      <c r="C5" s="2">
        <f t="shared" si="1"/>
        <v>61.71</v>
      </c>
      <c r="D5" s="4">
        <f t="array" ref="D5">NPV(B7,J3:J22)+J2</f>
        <v>12.20899452</v>
      </c>
      <c r="F5" s="2">
        <v>3.0</v>
      </c>
      <c r="G5" s="2">
        <v>0.0</v>
      </c>
      <c r="H5" s="2">
        <v>0.0</v>
      </c>
      <c r="I5" s="2">
        <v>40.0</v>
      </c>
      <c r="J5" s="2">
        <v>0.0</v>
      </c>
      <c r="K5" s="2">
        <v>1.0</v>
      </c>
      <c r="L5" s="2">
        <v>1351.668</v>
      </c>
      <c r="M5" s="2">
        <f t="shared" si="5"/>
        <v>0.988047936</v>
      </c>
      <c r="N5" s="2">
        <f t="shared" si="2"/>
        <v>1350.679952</v>
      </c>
      <c r="P5" s="2">
        <f t="shared" si="3"/>
        <v>40</v>
      </c>
      <c r="Q5" s="2">
        <v>180.0</v>
      </c>
      <c r="R5" s="2">
        <f t="shared" si="4"/>
        <v>140</v>
      </c>
      <c r="S5" s="2">
        <f t="shared" si="6"/>
        <v>-160.87</v>
      </c>
    </row>
    <row r="6">
      <c r="A6" s="2" t="s">
        <v>17</v>
      </c>
      <c r="B6" s="2">
        <v>20.0</v>
      </c>
      <c r="F6" s="2">
        <v>4.0</v>
      </c>
      <c r="G6" s="2">
        <v>0.0</v>
      </c>
      <c r="H6" s="2">
        <v>0.0</v>
      </c>
      <c r="I6" s="2">
        <v>40.0</v>
      </c>
      <c r="J6" s="2">
        <v>0.0</v>
      </c>
      <c r="K6" s="2">
        <v>1.0</v>
      </c>
      <c r="L6" s="2">
        <v>1351.668</v>
      </c>
      <c r="M6" s="2">
        <f t="shared" si="5"/>
        <v>0.9840957443</v>
      </c>
      <c r="N6" s="2">
        <f t="shared" si="2"/>
        <v>1350.683904</v>
      </c>
      <c r="P6" s="2">
        <f t="shared" si="3"/>
        <v>40</v>
      </c>
      <c r="Q6" s="2">
        <v>180.0</v>
      </c>
      <c r="R6" s="2">
        <f t="shared" si="4"/>
        <v>140</v>
      </c>
      <c r="S6" s="2">
        <f t="shared" si="6"/>
        <v>-20.87</v>
      </c>
    </row>
    <row r="7">
      <c r="A7" s="2" t="s">
        <v>18</v>
      </c>
      <c r="B7" s="6">
        <v>0.1</v>
      </c>
      <c r="F7" s="2">
        <v>5.0</v>
      </c>
      <c r="G7" s="2">
        <v>0.0</v>
      </c>
      <c r="H7" s="2">
        <v>0.0</v>
      </c>
      <c r="I7" s="2">
        <v>40.0</v>
      </c>
      <c r="J7" s="2">
        <v>0.0</v>
      </c>
      <c r="K7" s="2">
        <v>1.0</v>
      </c>
      <c r="L7" s="2">
        <v>1351.668</v>
      </c>
      <c r="M7" s="2">
        <f t="shared" si="5"/>
        <v>0.9801593613</v>
      </c>
      <c r="N7" s="2">
        <f t="shared" si="2"/>
        <v>1350.687841</v>
      </c>
      <c r="P7" s="2">
        <f t="shared" si="3"/>
        <v>40</v>
      </c>
      <c r="Q7" s="2">
        <v>180.0</v>
      </c>
      <c r="R7" s="2">
        <f t="shared" si="4"/>
        <v>140</v>
      </c>
      <c r="S7" s="2">
        <f t="shared" si="6"/>
        <v>119.13</v>
      </c>
    </row>
    <row r="8">
      <c r="A8" s="2" t="s">
        <v>19</v>
      </c>
      <c r="B8" s="2">
        <v>0.004</v>
      </c>
      <c r="F8" s="2">
        <v>6.0</v>
      </c>
      <c r="G8" s="2">
        <v>0.0</v>
      </c>
      <c r="H8" s="2">
        <v>0.0</v>
      </c>
      <c r="I8" s="2">
        <v>40.0</v>
      </c>
      <c r="J8" s="2">
        <v>0.0</v>
      </c>
      <c r="K8" s="2">
        <v>1.0</v>
      </c>
      <c r="L8" s="2">
        <v>1351.668</v>
      </c>
      <c r="M8" s="2">
        <f t="shared" si="5"/>
        <v>0.9762387238</v>
      </c>
      <c r="N8" s="2">
        <f t="shared" si="2"/>
        <v>1350.691761</v>
      </c>
      <c r="P8" s="2">
        <f t="shared" si="3"/>
        <v>40</v>
      </c>
      <c r="Q8" s="2">
        <v>180.0</v>
      </c>
      <c r="R8" s="2">
        <f t="shared" si="4"/>
        <v>140</v>
      </c>
      <c r="S8" s="2">
        <f t="shared" si="6"/>
        <v>259.13</v>
      </c>
    </row>
    <row r="9">
      <c r="F9" s="2">
        <v>7.0</v>
      </c>
      <c r="G9" s="2">
        <v>0.0</v>
      </c>
      <c r="H9" s="2">
        <v>0.0</v>
      </c>
      <c r="I9" s="2">
        <v>40.0</v>
      </c>
      <c r="J9" s="2">
        <v>0.0</v>
      </c>
      <c r="K9" s="2">
        <v>1.0</v>
      </c>
      <c r="L9" s="2">
        <v>1351.668</v>
      </c>
      <c r="M9" s="2">
        <f t="shared" si="5"/>
        <v>0.9723337689</v>
      </c>
      <c r="N9" s="2">
        <f t="shared" si="2"/>
        <v>1350.695666</v>
      </c>
      <c r="P9" s="2">
        <f t="shared" si="3"/>
        <v>40</v>
      </c>
      <c r="Q9" s="2">
        <v>180.0</v>
      </c>
      <c r="R9" s="2">
        <f t="shared" si="4"/>
        <v>140</v>
      </c>
      <c r="S9" s="2">
        <f t="shared" si="6"/>
        <v>399.13</v>
      </c>
    </row>
    <row r="10">
      <c r="A10" s="1" t="s">
        <v>13</v>
      </c>
      <c r="F10" s="2">
        <v>8.0</v>
      </c>
      <c r="G10" s="2">
        <v>0.0</v>
      </c>
      <c r="H10" s="2">
        <v>0.0</v>
      </c>
      <c r="I10" s="2">
        <v>40.0</v>
      </c>
      <c r="J10" s="2">
        <v>0.0</v>
      </c>
      <c r="K10" s="2">
        <v>1.0</v>
      </c>
      <c r="L10" s="2">
        <v>1351.668</v>
      </c>
      <c r="M10" s="2">
        <f t="shared" si="5"/>
        <v>0.9684444339</v>
      </c>
      <c r="N10" s="2">
        <f t="shared" si="2"/>
        <v>1350.699556</v>
      </c>
      <c r="P10" s="2">
        <f t="shared" si="3"/>
        <v>40</v>
      </c>
      <c r="Q10" s="2">
        <v>180.0</v>
      </c>
      <c r="R10" s="2">
        <f t="shared" si="4"/>
        <v>140</v>
      </c>
      <c r="S10" s="2">
        <f t="shared" si="6"/>
        <v>539.13</v>
      </c>
    </row>
    <row r="11">
      <c r="A11" s="2" t="s">
        <v>20</v>
      </c>
      <c r="B11" s="2">
        <v>1.0</v>
      </c>
      <c r="F11" s="2">
        <v>9.0</v>
      </c>
      <c r="G11" s="2">
        <v>0.0</v>
      </c>
      <c r="H11" s="2">
        <v>0.0</v>
      </c>
      <c r="I11" s="2">
        <v>40.0</v>
      </c>
      <c r="J11" s="2">
        <v>0.0</v>
      </c>
      <c r="K11" s="2">
        <v>1.0</v>
      </c>
      <c r="L11" s="2">
        <v>1351.668</v>
      </c>
      <c r="M11" s="2">
        <f t="shared" si="5"/>
        <v>0.9645706561</v>
      </c>
      <c r="N11" s="2">
        <f t="shared" si="2"/>
        <v>1350.703429</v>
      </c>
      <c r="P11" s="2">
        <f t="shared" si="3"/>
        <v>40</v>
      </c>
      <c r="Q11" s="2">
        <v>180.0</v>
      </c>
      <c r="R11" s="2">
        <f t="shared" si="4"/>
        <v>140</v>
      </c>
      <c r="S11" s="2">
        <f t="shared" si="6"/>
        <v>679.13</v>
      </c>
    </row>
    <row r="12">
      <c r="A12" s="2" t="s">
        <v>21</v>
      </c>
      <c r="B12" s="2">
        <v>0.1543</v>
      </c>
      <c r="F12" s="2">
        <v>10.0</v>
      </c>
      <c r="G12" s="2">
        <v>0.0</v>
      </c>
      <c r="H12" s="2">
        <v>0.0</v>
      </c>
      <c r="I12" s="2">
        <v>40.0</v>
      </c>
      <c r="J12" s="2">
        <v>0.0</v>
      </c>
      <c r="K12" s="2">
        <v>1.0</v>
      </c>
      <c r="L12" s="2">
        <v>1351.668</v>
      </c>
      <c r="M12" s="2">
        <f t="shared" si="5"/>
        <v>0.9607123735</v>
      </c>
      <c r="N12" s="2">
        <f t="shared" si="2"/>
        <v>1350.707288</v>
      </c>
      <c r="P12" s="2">
        <f t="shared" si="3"/>
        <v>40</v>
      </c>
      <c r="Q12" s="2">
        <v>180.0</v>
      </c>
      <c r="R12" s="2">
        <f t="shared" si="4"/>
        <v>140</v>
      </c>
      <c r="S12" s="2">
        <f t="shared" si="6"/>
        <v>819.13</v>
      </c>
    </row>
    <row r="13">
      <c r="A13" s="2" t="s">
        <v>22</v>
      </c>
      <c r="B13" s="2">
        <f>B11*B12*24*365</f>
        <v>1351.668</v>
      </c>
      <c r="D13" s="7">
        <f t="array" ref="D13">NPV(B7,N3:N22)+N2</f>
        <v>11499.24861</v>
      </c>
      <c r="F13" s="2">
        <v>11.0</v>
      </c>
      <c r="G13" s="2">
        <v>0.0</v>
      </c>
      <c r="H13" s="2">
        <v>0.0</v>
      </c>
      <c r="I13" s="2">
        <v>40.0</v>
      </c>
      <c r="J13" s="2">
        <v>0.0</v>
      </c>
      <c r="K13" s="2">
        <v>1.0</v>
      </c>
      <c r="L13" s="2">
        <v>1351.668</v>
      </c>
      <c r="M13" s="2">
        <f t="shared" si="5"/>
        <v>0.956869524</v>
      </c>
      <c r="N13" s="2">
        <f t="shared" si="2"/>
        <v>1350.71113</v>
      </c>
      <c r="P13" s="2">
        <f t="shared" si="3"/>
        <v>40</v>
      </c>
      <c r="Q13" s="2">
        <v>180.0</v>
      </c>
      <c r="R13" s="2">
        <f t="shared" si="4"/>
        <v>140</v>
      </c>
      <c r="S13" s="2">
        <f t="shared" si="6"/>
        <v>959.13</v>
      </c>
    </row>
    <row r="14">
      <c r="F14" s="2">
        <v>12.0</v>
      </c>
      <c r="G14" s="2">
        <v>0.0</v>
      </c>
      <c r="H14" s="2">
        <v>0.0</v>
      </c>
      <c r="I14" s="2">
        <v>40.0</v>
      </c>
      <c r="J14" s="2">
        <v>0.0</v>
      </c>
      <c r="K14" s="2">
        <v>1.0</v>
      </c>
      <c r="L14" s="2">
        <v>1351.668</v>
      </c>
      <c r="M14" s="2">
        <f t="shared" si="5"/>
        <v>0.9530420459</v>
      </c>
      <c r="N14" s="2">
        <f t="shared" si="2"/>
        <v>1350.714958</v>
      </c>
      <c r="P14" s="2">
        <f t="shared" si="3"/>
        <v>40</v>
      </c>
      <c r="Q14" s="2">
        <v>180.0</v>
      </c>
      <c r="R14" s="2">
        <f t="shared" si="4"/>
        <v>140</v>
      </c>
      <c r="S14" s="2">
        <f t="shared" si="6"/>
        <v>1099.13</v>
      </c>
    </row>
    <row r="15">
      <c r="F15" s="2">
        <v>13.0</v>
      </c>
      <c r="G15" s="2">
        <v>0.0</v>
      </c>
      <c r="H15" s="2">
        <v>0.0</v>
      </c>
      <c r="I15" s="2">
        <v>40.0</v>
      </c>
      <c r="J15" s="2">
        <v>0.0</v>
      </c>
      <c r="K15" s="2">
        <v>1.0</v>
      </c>
      <c r="L15" s="2">
        <v>1351.668</v>
      </c>
      <c r="M15" s="2">
        <f t="shared" si="5"/>
        <v>0.9492298777</v>
      </c>
      <c r="N15" s="2">
        <f t="shared" si="2"/>
        <v>1350.71877</v>
      </c>
      <c r="P15" s="2">
        <f t="shared" si="3"/>
        <v>40</v>
      </c>
      <c r="Q15" s="2">
        <v>180.0</v>
      </c>
      <c r="R15" s="2">
        <f t="shared" si="4"/>
        <v>140</v>
      </c>
      <c r="S15" s="2">
        <f t="shared" si="6"/>
        <v>1239.13</v>
      </c>
    </row>
    <row r="16">
      <c r="D16" s="7">
        <f t="array" ref="D16">NPV(B7,K3:K22)+K2</f>
        <v>8.51356372</v>
      </c>
      <c r="F16" s="2">
        <v>14.0</v>
      </c>
      <c r="G16" s="2">
        <v>0.0</v>
      </c>
      <c r="H16" s="2">
        <v>0.0</v>
      </c>
      <c r="I16" s="2">
        <v>40.0</v>
      </c>
      <c r="J16" s="2">
        <v>0.0</v>
      </c>
      <c r="K16" s="2">
        <v>1.0</v>
      </c>
      <c r="L16" s="2">
        <v>1351.668</v>
      </c>
      <c r="M16" s="2">
        <f t="shared" si="5"/>
        <v>0.9454329582</v>
      </c>
      <c r="N16" s="2">
        <f t="shared" si="2"/>
        <v>1350.722567</v>
      </c>
      <c r="P16" s="2">
        <f t="shared" si="3"/>
        <v>40</v>
      </c>
      <c r="Q16" s="2">
        <v>180.0</v>
      </c>
      <c r="R16" s="2">
        <f t="shared" si="4"/>
        <v>140</v>
      </c>
      <c r="S16" s="2">
        <f t="shared" si="6"/>
        <v>1379.13</v>
      </c>
    </row>
    <row r="17">
      <c r="A17" s="8" t="s">
        <v>23</v>
      </c>
      <c r="B17" s="9">
        <f>SUM(D2,D3,D4,D5)/(D13)</f>
        <v>0.08072982143</v>
      </c>
      <c r="F17" s="2">
        <v>15.0</v>
      </c>
      <c r="G17" s="2">
        <v>0.0</v>
      </c>
      <c r="H17" s="2">
        <v>0.0</v>
      </c>
      <c r="I17" s="2">
        <v>40.0</v>
      </c>
      <c r="J17" s="2">
        <v>51.0</v>
      </c>
      <c r="K17" s="2">
        <v>1.0</v>
      </c>
      <c r="L17" s="2">
        <v>1351.668</v>
      </c>
      <c r="M17" s="2">
        <f t="shared" si="5"/>
        <v>0.9416512264</v>
      </c>
      <c r="N17" s="2">
        <f t="shared" si="2"/>
        <v>1350.726349</v>
      </c>
      <c r="P17" s="2">
        <f t="shared" si="3"/>
        <v>91</v>
      </c>
      <c r="Q17" s="2">
        <v>180.0</v>
      </c>
      <c r="R17" s="2">
        <f t="shared" si="4"/>
        <v>89</v>
      </c>
      <c r="S17" s="2">
        <f t="shared" si="6"/>
        <v>1468.13</v>
      </c>
    </row>
    <row r="18">
      <c r="F18" s="2">
        <v>16.0</v>
      </c>
      <c r="G18" s="2">
        <v>0.0</v>
      </c>
      <c r="H18" s="2">
        <v>0.0</v>
      </c>
      <c r="I18" s="2">
        <v>40.0</v>
      </c>
      <c r="J18" s="2">
        <v>0.0</v>
      </c>
      <c r="K18" s="2">
        <v>1.0</v>
      </c>
      <c r="L18" s="2">
        <v>1351.668</v>
      </c>
      <c r="M18" s="2">
        <f t="shared" si="5"/>
        <v>0.9378846215</v>
      </c>
      <c r="N18" s="2">
        <f t="shared" si="2"/>
        <v>1350.730115</v>
      </c>
      <c r="P18" s="2">
        <f t="shared" si="3"/>
        <v>40</v>
      </c>
      <c r="Q18" s="2">
        <v>180.0</v>
      </c>
      <c r="R18" s="2">
        <f t="shared" si="4"/>
        <v>140</v>
      </c>
      <c r="S18" s="2">
        <f t="shared" si="6"/>
        <v>1608.13</v>
      </c>
    </row>
    <row r="19">
      <c r="F19" s="2">
        <v>17.0</v>
      </c>
      <c r="G19" s="2">
        <v>0.0</v>
      </c>
      <c r="H19" s="2">
        <v>0.0</v>
      </c>
      <c r="I19" s="2">
        <v>40.0</v>
      </c>
      <c r="J19" s="2">
        <v>0.0</v>
      </c>
      <c r="K19" s="2">
        <v>1.0</v>
      </c>
      <c r="L19" s="2">
        <v>1351.668</v>
      </c>
      <c r="M19" s="2">
        <f t="shared" si="5"/>
        <v>0.934133083</v>
      </c>
      <c r="N19" s="2">
        <f t="shared" si="2"/>
        <v>1350.733867</v>
      </c>
      <c r="P19" s="2">
        <f t="shared" si="3"/>
        <v>40</v>
      </c>
      <c r="Q19" s="2">
        <v>180.0</v>
      </c>
      <c r="R19" s="2">
        <f t="shared" si="4"/>
        <v>140</v>
      </c>
      <c r="S19" s="2">
        <f t="shared" si="6"/>
        <v>1748.13</v>
      </c>
    </row>
    <row r="20">
      <c r="B20" s="4">
        <f>B13*B17</f>
        <v>109.1199163</v>
      </c>
      <c r="F20" s="2">
        <v>18.0</v>
      </c>
      <c r="G20" s="2">
        <v>0.0</v>
      </c>
      <c r="H20" s="2">
        <v>0.0</v>
      </c>
      <c r="I20" s="2">
        <v>40.0</v>
      </c>
      <c r="J20" s="2">
        <v>0.0</v>
      </c>
      <c r="K20" s="2">
        <v>1.0</v>
      </c>
      <c r="L20" s="2">
        <v>1351.668</v>
      </c>
      <c r="M20" s="2">
        <f t="shared" si="5"/>
        <v>0.9303965507</v>
      </c>
      <c r="N20" s="2">
        <f t="shared" si="2"/>
        <v>1350.737603</v>
      </c>
      <c r="P20" s="2">
        <f t="shared" si="3"/>
        <v>40</v>
      </c>
      <c r="Q20" s="2">
        <v>180.0</v>
      </c>
      <c r="R20" s="2">
        <f t="shared" si="4"/>
        <v>140</v>
      </c>
      <c r="S20" s="2">
        <f t="shared" si="6"/>
        <v>1888.13</v>
      </c>
    </row>
    <row r="21" ht="15.75" customHeight="1">
      <c r="F21" s="2">
        <v>19.0</v>
      </c>
      <c r="G21" s="2">
        <v>0.0</v>
      </c>
      <c r="H21" s="2">
        <v>0.0</v>
      </c>
      <c r="I21" s="2">
        <v>40.0</v>
      </c>
      <c r="J21" s="2">
        <v>0.0</v>
      </c>
      <c r="K21" s="2">
        <v>1.0</v>
      </c>
      <c r="L21" s="2">
        <v>1351.668</v>
      </c>
      <c r="M21" s="2">
        <f t="shared" si="5"/>
        <v>0.9266749645</v>
      </c>
      <c r="N21" s="2">
        <f t="shared" si="2"/>
        <v>1350.741325</v>
      </c>
      <c r="P21" s="2">
        <f t="shared" si="3"/>
        <v>40</v>
      </c>
      <c r="Q21" s="2">
        <v>180.0</v>
      </c>
      <c r="R21" s="2">
        <f t="shared" si="4"/>
        <v>140</v>
      </c>
      <c r="S21" s="2">
        <f t="shared" si="6"/>
        <v>2028.13</v>
      </c>
    </row>
    <row r="22" ht="15.75" customHeight="1">
      <c r="A22" s="12" t="s">
        <v>87</v>
      </c>
      <c r="B22" s="12"/>
      <c r="F22" s="2">
        <v>20.0</v>
      </c>
      <c r="G22" s="2">
        <v>0.0</v>
      </c>
      <c r="H22" s="2">
        <v>0.0</v>
      </c>
      <c r="I22" s="2">
        <v>40.0</v>
      </c>
      <c r="J22" s="2">
        <v>0.0</v>
      </c>
      <c r="K22" s="2">
        <v>1.0</v>
      </c>
      <c r="L22" s="2">
        <v>1351.668</v>
      </c>
      <c r="M22" s="2">
        <f t="shared" si="5"/>
        <v>0.9229682646</v>
      </c>
      <c r="N22" s="2">
        <f t="shared" si="2"/>
        <v>1350.745032</v>
      </c>
      <c r="P22" s="2">
        <f t="shared" si="3"/>
        <v>40</v>
      </c>
      <c r="Q22" s="2">
        <v>180.0</v>
      </c>
      <c r="R22" s="2">
        <f t="shared" si="4"/>
        <v>140</v>
      </c>
      <c r="S22" s="2">
        <f t="shared" si="6"/>
        <v>2168.13</v>
      </c>
    </row>
    <row r="23" ht="15.75" customHeight="1">
      <c r="A23" s="12" t="s">
        <v>3</v>
      </c>
      <c r="B23" s="14">
        <f t="array" ref="B23">NPV(B7,R3:R22)+R2</f>
        <v>604.1091824</v>
      </c>
    </row>
    <row r="24" ht="15.75" customHeight="1">
      <c r="A24" s="12" t="s">
        <v>88</v>
      </c>
      <c r="B24" s="24">
        <f>IRR(R2:R22)</f>
        <v>0.2415485146</v>
      </c>
    </row>
    <row r="25" ht="15.75" customHeight="1">
      <c r="A25" s="12" t="s">
        <v>89</v>
      </c>
      <c r="B25" s="12">
        <f>LOOKUP(0,S2:S22,F2:F22)+1</f>
        <v>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