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70" windowWidth="19420" windowHeight="11020" tabRatio="793" firstSheet="1" activeTab="2"/>
  </bookViews>
  <sheets>
    <sheet name="kopia_prezentsacja" sheetId="46" state="hidden" r:id="rId1"/>
    <sheet name="bilans " sheetId="28" r:id="rId2"/>
    <sheet name="r-k zysków i strat" sheetId="29" r:id="rId3"/>
    <sheet name="cash-flow" sheetId="30" r:id="rId4"/>
    <sheet name="wskaźniki" sheetId="38" r:id="rId5"/>
  </sheets>
  <externalReferences>
    <externalReference r:id="rId6"/>
  </externalReferences>
  <definedNames>
    <definedName name="_xlnm.Print_Area" localSheetId="1">'bilans '!$A$1:$F$75,'bilans '!$A$77:$F$126</definedName>
    <definedName name="_xlnm.Print_Area" localSheetId="3">'cash-flow'!$A$1:$F$65</definedName>
    <definedName name="_xlnm.Print_Area" localSheetId="0">kopia_prezentsacja!$A$1:$F$75,kopia_prezentsacja!$A$77:$F$126</definedName>
    <definedName name="_xlnm.Print_Area" localSheetId="2">'r-k zysków i strat'!$A$1:$F$50</definedName>
    <definedName name="_xlnm.Print_Area" localSheetId="4">wskaźniki!$A$1:$G$48</definedName>
    <definedName name="wrn.pawel." localSheetId="4" hidden="1">{"pawel",#N/A,TRUE,"Bilans"}</definedName>
    <definedName name="wrn.pawel." hidden="1">{"pawel",#N/A,TRUE,"Bilans"}</definedName>
  </definedNames>
  <calcPr calcId="124519" concurrentCalc="0"/>
  <customWorkbookViews>
    <customWorkbookView name="pawel" guid="{D900EF00-7E0D-11D6-AD7D-0050BAD4DC9B}" maximized="1" windowWidth="1020" windowHeight="606" tabRatio="904" activeSheetId="1"/>
  </customWorkbookViews>
</workbook>
</file>

<file path=xl/calcChain.xml><?xml version="1.0" encoding="utf-8"?>
<calcChain xmlns="http://schemas.openxmlformats.org/spreadsheetml/2006/main">
  <c r="Q16" i="28"/>
  <c r="M126"/>
  <c r="L126"/>
  <c r="K126"/>
  <c r="J126"/>
  <c r="I126"/>
  <c r="H126"/>
  <c r="M124"/>
  <c r="L124"/>
  <c r="K124"/>
  <c r="J124"/>
  <c r="I124"/>
  <c r="H124"/>
  <c r="H119"/>
  <c r="I119"/>
  <c r="J119"/>
  <c r="K119"/>
  <c r="L119"/>
  <c r="M119"/>
  <c r="H120"/>
  <c r="I120"/>
  <c r="J120"/>
  <c r="K120"/>
  <c r="L120"/>
  <c r="M120"/>
  <c r="H121"/>
  <c r="I121"/>
  <c r="J121"/>
  <c r="K121"/>
  <c r="L121"/>
  <c r="M121"/>
  <c r="H122"/>
  <c r="I122"/>
  <c r="J122"/>
  <c r="K122"/>
  <c r="L122"/>
  <c r="M122"/>
  <c r="M118"/>
  <c r="L118"/>
  <c r="K118"/>
  <c r="J118"/>
  <c r="I118"/>
  <c r="H118"/>
  <c r="M114"/>
  <c r="L114"/>
  <c r="K114"/>
  <c r="J114"/>
  <c r="I114"/>
  <c r="H114"/>
  <c r="M110"/>
  <c r="L110"/>
  <c r="K110"/>
  <c r="J110"/>
  <c r="I110"/>
  <c r="H110"/>
  <c r="M105"/>
  <c r="L105"/>
  <c r="K105"/>
  <c r="J105"/>
  <c r="I105"/>
  <c r="H105"/>
  <c r="M98"/>
  <c r="L98"/>
  <c r="K98"/>
  <c r="J98"/>
  <c r="I98"/>
  <c r="H98"/>
  <c r="M101"/>
  <c r="L101"/>
  <c r="K101"/>
  <c r="J101"/>
  <c r="I101"/>
  <c r="H101"/>
  <c r="M100"/>
  <c r="L100"/>
  <c r="K100"/>
  <c r="J100"/>
  <c r="I100"/>
  <c r="H100"/>
  <c r="M93"/>
  <c r="L93"/>
  <c r="K93"/>
  <c r="J93"/>
  <c r="I93"/>
  <c r="H93"/>
  <c r="M92"/>
  <c r="L92"/>
  <c r="K92"/>
  <c r="J92"/>
  <c r="I92"/>
  <c r="H92"/>
  <c r="M90"/>
  <c r="L90"/>
  <c r="K90"/>
  <c r="J90"/>
  <c r="I90"/>
  <c r="H90"/>
  <c r="M89"/>
  <c r="L89"/>
  <c r="K89"/>
  <c r="J89"/>
  <c r="I89"/>
  <c r="H89"/>
  <c r="M87"/>
  <c r="L87"/>
  <c r="K87"/>
  <c r="J87"/>
  <c r="I87"/>
  <c r="H87"/>
  <c r="M86"/>
  <c r="L86"/>
  <c r="K86"/>
  <c r="J86"/>
  <c r="I86"/>
  <c r="H86"/>
  <c r="M84"/>
  <c r="L84"/>
  <c r="K84"/>
  <c r="J84"/>
  <c r="I84"/>
  <c r="H84"/>
  <c r="M83"/>
  <c r="L83"/>
  <c r="K83"/>
  <c r="J83"/>
  <c r="I83"/>
  <c r="H83"/>
  <c r="H80"/>
  <c r="I80"/>
  <c r="J80"/>
  <c r="K80"/>
  <c r="L80"/>
  <c r="M80"/>
  <c r="I79"/>
  <c r="J79"/>
  <c r="K79"/>
  <c r="L79"/>
  <c r="M79"/>
  <c r="H79"/>
  <c r="H75"/>
  <c r="I75"/>
  <c r="J75"/>
  <c r="K75"/>
  <c r="L75"/>
  <c r="M75"/>
  <c r="H70"/>
  <c r="I70"/>
  <c r="J70"/>
  <c r="K70"/>
  <c r="L70"/>
  <c r="M70"/>
  <c r="M74"/>
  <c r="L74"/>
  <c r="K74"/>
  <c r="J74"/>
  <c r="I74"/>
  <c r="H74"/>
  <c r="M69"/>
  <c r="L69"/>
  <c r="K69"/>
  <c r="J69"/>
  <c r="I69"/>
  <c r="H69"/>
  <c r="M58"/>
  <c r="L58"/>
  <c r="K58"/>
  <c r="J58"/>
  <c r="I58"/>
  <c r="H58"/>
  <c r="H52"/>
  <c r="I52"/>
  <c r="J52"/>
  <c r="K52"/>
  <c r="L52"/>
  <c r="M52"/>
  <c r="H53"/>
  <c r="I53"/>
  <c r="J53"/>
  <c r="K53"/>
  <c r="L53"/>
  <c r="M53"/>
  <c r="H54"/>
  <c r="I54"/>
  <c r="J54"/>
  <c r="K54"/>
  <c r="L54"/>
  <c r="M54"/>
  <c r="M51"/>
  <c r="L51"/>
  <c r="K51"/>
  <c r="J51"/>
  <c r="I51"/>
  <c r="H51"/>
  <c r="M46"/>
  <c r="L46"/>
  <c r="K46"/>
  <c r="J46"/>
  <c r="I46"/>
  <c r="H46"/>
  <c r="H40"/>
  <c r="I40"/>
  <c r="J40"/>
  <c r="K40"/>
  <c r="L40"/>
  <c r="M40"/>
  <c r="H41"/>
  <c r="I41"/>
  <c r="J41"/>
  <c r="K41"/>
  <c r="L41"/>
  <c r="M41"/>
  <c r="H42"/>
  <c r="I42"/>
  <c r="J42"/>
  <c r="K42"/>
  <c r="L42"/>
  <c r="M42"/>
  <c r="M39"/>
  <c r="L39"/>
  <c r="K39"/>
  <c r="J39"/>
  <c r="I39"/>
  <c r="H39"/>
  <c r="H11"/>
  <c r="I11"/>
  <c r="J11"/>
  <c r="K11"/>
  <c r="L11"/>
  <c r="M11"/>
  <c r="H12"/>
  <c r="I12"/>
  <c r="J12"/>
  <c r="K12"/>
  <c r="L12"/>
  <c r="M12"/>
  <c r="H13"/>
  <c r="I13"/>
  <c r="J13"/>
  <c r="K13"/>
  <c r="L13"/>
  <c r="M13"/>
  <c r="H14"/>
  <c r="I14"/>
  <c r="J14"/>
  <c r="K14"/>
  <c r="L14"/>
  <c r="M14"/>
  <c r="H15"/>
  <c r="I15"/>
  <c r="J15"/>
  <c r="K15"/>
  <c r="L15"/>
  <c r="M15"/>
  <c r="H16"/>
  <c r="I16"/>
  <c r="J16"/>
  <c r="K16"/>
  <c r="L16"/>
  <c r="M16"/>
  <c r="H17"/>
  <c r="I17"/>
  <c r="J17"/>
  <c r="K17"/>
  <c r="L17"/>
  <c r="M17"/>
  <c r="H18"/>
  <c r="I18"/>
  <c r="J18"/>
  <c r="K18"/>
  <c r="L18"/>
  <c r="M18"/>
  <c r="H19"/>
  <c r="I19"/>
  <c r="J19"/>
  <c r="K19"/>
  <c r="L19"/>
  <c r="M19"/>
  <c r="H20"/>
  <c r="I20"/>
  <c r="J20"/>
  <c r="K20"/>
  <c r="L20"/>
  <c r="M20"/>
  <c r="H21"/>
  <c r="I21"/>
  <c r="J21"/>
  <c r="K21"/>
  <c r="L21"/>
  <c r="M21"/>
  <c r="H22"/>
  <c r="I22"/>
  <c r="J22"/>
  <c r="K22"/>
  <c r="L22"/>
  <c r="M22"/>
  <c r="H23"/>
  <c r="I23"/>
  <c r="J23"/>
  <c r="K23"/>
  <c r="L23"/>
  <c r="M23"/>
  <c r="H24"/>
  <c r="I24"/>
  <c r="J24"/>
  <c r="K24"/>
  <c r="L24"/>
  <c r="M24"/>
  <c r="H25"/>
  <c r="I25"/>
  <c r="J25"/>
  <c r="K25"/>
  <c r="L25"/>
  <c r="M25"/>
  <c r="H26"/>
  <c r="I26"/>
  <c r="J26"/>
  <c r="K26"/>
  <c r="L26"/>
  <c r="M26"/>
  <c r="H27"/>
  <c r="I27"/>
  <c r="J27"/>
  <c r="K27"/>
  <c r="L27"/>
  <c r="M27"/>
  <c r="H28"/>
  <c r="I28"/>
  <c r="J28"/>
  <c r="K28"/>
  <c r="L28"/>
  <c r="M28"/>
  <c r="H29"/>
  <c r="I29"/>
  <c r="J29"/>
  <c r="K29"/>
  <c r="L29"/>
  <c r="M29"/>
  <c r="H30"/>
  <c r="I30"/>
  <c r="J30"/>
  <c r="K30"/>
  <c r="L30"/>
  <c r="M30"/>
  <c r="H31"/>
  <c r="I31"/>
  <c r="J31"/>
  <c r="K31"/>
  <c r="L31"/>
  <c r="M31"/>
  <c r="H32"/>
  <c r="I32"/>
  <c r="J32"/>
  <c r="K32"/>
  <c r="L32"/>
  <c r="M32"/>
  <c r="H33"/>
  <c r="I33"/>
  <c r="J33"/>
  <c r="K33"/>
  <c r="L33"/>
  <c r="M33"/>
  <c r="H34"/>
  <c r="I34"/>
  <c r="J34"/>
  <c r="K34"/>
  <c r="L34"/>
  <c r="M34"/>
  <c r="H35"/>
  <c r="I35"/>
  <c r="J35"/>
  <c r="K35"/>
  <c r="L35"/>
  <c r="M35"/>
  <c r="H36"/>
  <c r="I36"/>
  <c r="J36"/>
  <c r="K36"/>
  <c r="L36"/>
  <c r="M36"/>
  <c r="H37"/>
  <c r="I37"/>
  <c r="J37"/>
  <c r="K37"/>
  <c r="L37"/>
  <c r="M37"/>
  <c r="H10"/>
  <c r="I10"/>
  <c r="J10"/>
  <c r="M10"/>
  <c r="L10"/>
  <c r="K10"/>
  <c r="C4" i="38" l="1"/>
  <c r="E81" i="30"/>
  <c r="E60"/>
  <c r="E7"/>
  <c r="P12"/>
  <c r="P11"/>
  <c r="Q11"/>
  <c r="F31" i="29"/>
  <c r="E36"/>
  <c r="F35"/>
  <c r="F27"/>
  <c r="F41"/>
  <c r="E35"/>
  <c r="E41"/>
  <c r="E45"/>
  <c r="E26"/>
  <c r="F92" i="28"/>
  <c r="F90"/>
  <c r="E92"/>
  <c r="E90"/>
  <c r="E110"/>
  <c r="E105"/>
  <c r="E89"/>
  <c r="E95"/>
  <c r="E83"/>
  <c r="E47"/>
  <c r="E51"/>
  <c r="E46"/>
  <c r="E40"/>
  <c r="E59"/>
  <c r="E64"/>
  <c r="E69"/>
  <c r="E58"/>
  <c r="E39"/>
  <c r="E8"/>
  <c r="E5"/>
  <c r="E11"/>
  <c r="E10"/>
  <c r="E19"/>
  <c r="E25"/>
  <c r="E30"/>
  <c r="E22"/>
  <c r="E36"/>
  <c r="E4"/>
  <c r="E75"/>
  <c r="F30"/>
  <c r="G30"/>
  <c r="F25"/>
  <c r="F22"/>
  <c r="F83"/>
  <c r="B47"/>
  <c r="C47"/>
  <c r="D47"/>
  <c r="F47"/>
  <c r="G47"/>
  <c r="R47"/>
  <c r="F51"/>
  <c r="F46"/>
  <c r="P45"/>
  <c r="Q45"/>
  <c r="R45"/>
  <c r="Q44"/>
  <c r="R44"/>
  <c r="P44"/>
  <c r="P43"/>
  <c r="Q43"/>
  <c r="R43"/>
  <c r="F130" i="30"/>
  <c r="E130"/>
  <c r="D130"/>
  <c r="F110"/>
  <c r="D106"/>
  <c r="I81"/>
  <c r="I85"/>
  <c r="F81"/>
  <c r="E83" i="29"/>
  <c r="D67"/>
  <c r="B75"/>
  <c r="N18" i="28"/>
  <c r="O18"/>
  <c r="P18"/>
  <c r="Q18"/>
  <c r="R18"/>
  <c r="N27"/>
  <c r="O27"/>
  <c r="P27"/>
  <c r="Q27"/>
  <c r="R27"/>
  <c r="N28"/>
  <c r="O28"/>
  <c r="P28"/>
  <c r="Q28"/>
  <c r="R28"/>
  <c r="N29"/>
  <c r="O29"/>
  <c r="P29"/>
  <c r="Q29"/>
  <c r="R29"/>
  <c r="N30"/>
  <c r="O30"/>
  <c r="P30"/>
  <c r="Q30"/>
  <c r="N31"/>
  <c r="O31"/>
  <c r="P31"/>
  <c r="Q31"/>
  <c r="R31"/>
  <c r="N32"/>
  <c r="O32"/>
  <c r="P32"/>
  <c r="Q32"/>
  <c r="R32"/>
  <c r="N33"/>
  <c r="O33"/>
  <c r="P33"/>
  <c r="Q33"/>
  <c r="R33"/>
  <c r="N34"/>
  <c r="O34"/>
  <c r="P34"/>
  <c r="Q34"/>
  <c r="R34"/>
  <c r="N35"/>
  <c r="O35"/>
  <c r="P35"/>
  <c r="Q35"/>
  <c r="R35"/>
  <c r="R26"/>
  <c r="Q26"/>
  <c r="P26"/>
  <c r="O26"/>
  <c r="N26"/>
  <c r="Q25"/>
  <c r="P25"/>
  <c r="O25"/>
  <c r="N25"/>
  <c r="R24"/>
  <c r="Q24"/>
  <c r="P24"/>
  <c r="O24"/>
  <c r="N24"/>
  <c r="R23"/>
  <c r="Q23"/>
  <c r="P23"/>
  <c r="O23"/>
  <c r="N23"/>
  <c r="R21"/>
  <c r="Q21"/>
  <c r="P21"/>
  <c r="O21"/>
  <c r="N21"/>
  <c r="R20"/>
  <c r="Q20"/>
  <c r="P20"/>
  <c r="O20"/>
  <c r="N20"/>
  <c r="F43" i="30"/>
  <c r="F49"/>
  <c r="F59"/>
  <c r="R59"/>
  <c r="E43"/>
  <c r="E49"/>
  <c r="E59"/>
  <c r="Q59"/>
  <c r="D43"/>
  <c r="D49"/>
  <c r="D59"/>
  <c r="P59"/>
  <c r="C43"/>
  <c r="C49"/>
  <c r="C59"/>
  <c r="O59"/>
  <c r="B43"/>
  <c r="B49"/>
  <c r="B59"/>
  <c r="N59"/>
  <c r="N58"/>
  <c r="I58"/>
  <c r="H58"/>
  <c r="R57"/>
  <c r="Q57"/>
  <c r="P57"/>
  <c r="O57"/>
  <c r="N57"/>
  <c r="M57"/>
  <c r="L57"/>
  <c r="K57"/>
  <c r="J57"/>
  <c r="I57"/>
  <c r="H57"/>
  <c r="R53"/>
  <c r="Q53"/>
  <c r="P53"/>
  <c r="O53"/>
  <c r="N53"/>
  <c r="M53"/>
  <c r="L53"/>
  <c r="K53"/>
  <c r="J53"/>
  <c r="I53"/>
  <c r="H53"/>
  <c r="R52"/>
  <c r="M52"/>
  <c r="R49"/>
  <c r="Q49"/>
  <c r="P49"/>
  <c r="O49"/>
  <c r="N49"/>
  <c r="M49"/>
  <c r="L49"/>
  <c r="K49"/>
  <c r="J49"/>
  <c r="I49"/>
  <c r="H49"/>
  <c r="O46"/>
  <c r="I46"/>
  <c r="R43"/>
  <c r="Q43"/>
  <c r="P43"/>
  <c r="O43"/>
  <c r="N43"/>
  <c r="M43"/>
  <c r="M59"/>
  <c r="L43"/>
  <c r="L59"/>
  <c r="K43"/>
  <c r="K59"/>
  <c r="J43"/>
  <c r="J59"/>
  <c r="I43"/>
  <c r="I59"/>
  <c r="H43"/>
  <c r="H59"/>
  <c r="F20"/>
  <c r="F32"/>
  <c r="F41"/>
  <c r="R41"/>
  <c r="E20"/>
  <c r="E32"/>
  <c r="E41"/>
  <c r="Q41"/>
  <c r="D20"/>
  <c r="D32"/>
  <c r="D41"/>
  <c r="P41"/>
  <c r="C20"/>
  <c r="C32"/>
  <c r="C41"/>
  <c r="O41"/>
  <c r="B20"/>
  <c r="B32"/>
  <c r="B41"/>
  <c r="N41"/>
  <c r="R40"/>
  <c r="R33"/>
  <c r="Q33"/>
  <c r="P33"/>
  <c r="O33"/>
  <c r="N33"/>
  <c r="M33"/>
  <c r="L33"/>
  <c r="K33"/>
  <c r="J33"/>
  <c r="I33"/>
  <c r="H33"/>
  <c r="R32"/>
  <c r="Q32"/>
  <c r="P32"/>
  <c r="O32"/>
  <c r="N32"/>
  <c r="M32"/>
  <c r="L32"/>
  <c r="K32"/>
  <c r="J32"/>
  <c r="I32"/>
  <c r="H32"/>
  <c r="I31"/>
  <c r="R21"/>
  <c r="Q21"/>
  <c r="P21"/>
  <c r="O21"/>
  <c r="N21"/>
  <c r="M21"/>
  <c r="L21"/>
  <c r="R20"/>
  <c r="Q20"/>
  <c r="P20"/>
  <c r="O20"/>
  <c r="N20"/>
  <c r="M20"/>
  <c r="M41"/>
  <c r="L20"/>
  <c r="L41"/>
  <c r="K20"/>
  <c r="K41"/>
  <c r="J20"/>
  <c r="J41"/>
  <c r="I20"/>
  <c r="I41"/>
  <c r="H20"/>
  <c r="H41"/>
  <c r="F7"/>
  <c r="F18"/>
  <c r="R18"/>
  <c r="E18"/>
  <c r="Q18"/>
  <c r="D7"/>
  <c r="D18"/>
  <c r="P18"/>
  <c r="C7"/>
  <c r="C18"/>
  <c r="O18"/>
  <c r="B7"/>
  <c r="B18"/>
  <c r="N18"/>
  <c r="R17"/>
  <c r="Q17"/>
  <c r="P17"/>
  <c r="O17"/>
  <c r="N17"/>
  <c r="M17"/>
  <c r="L17"/>
  <c r="K17"/>
  <c r="J17"/>
  <c r="I17"/>
  <c r="H17"/>
  <c r="R16"/>
  <c r="Q16"/>
  <c r="P16"/>
  <c r="O16"/>
  <c r="N16"/>
  <c r="M16"/>
  <c r="L16"/>
  <c r="K16"/>
  <c r="J16"/>
  <c r="I16"/>
  <c r="H16"/>
  <c r="R15"/>
  <c r="Q15"/>
  <c r="P15"/>
  <c r="O15"/>
  <c r="N15"/>
  <c r="M15"/>
  <c r="L15"/>
  <c r="K15"/>
  <c r="J15"/>
  <c r="I15"/>
  <c r="H15"/>
  <c r="R14"/>
  <c r="Q14"/>
  <c r="P14"/>
  <c r="O14"/>
  <c r="N14"/>
  <c r="M14"/>
  <c r="L14"/>
  <c r="K14"/>
  <c r="J14"/>
  <c r="I14"/>
  <c r="H14"/>
  <c r="R13"/>
  <c r="Q13"/>
  <c r="P13"/>
  <c r="O13"/>
  <c r="N13"/>
  <c r="M13"/>
  <c r="L13"/>
  <c r="K13"/>
  <c r="J13"/>
  <c r="I13"/>
  <c r="H13"/>
  <c r="R12"/>
  <c r="Q12"/>
  <c r="M12"/>
  <c r="L12"/>
  <c r="K12"/>
  <c r="R11"/>
  <c r="O11"/>
  <c r="M11"/>
  <c r="L11"/>
  <c r="I11"/>
  <c r="R10"/>
  <c r="Q10"/>
  <c r="P10"/>
  <c r="O10"/>
  <c r="N10"/>
  <c r="M10"/>
  <c r="L10"/>
  <c r="K10"/>
  <c r="J10"/>
  <c r="I10"/>
  <c r="H10"/>
  <c r="R8"/>
  <c r="Q8"/>
  <c r="P8"/>
  <c r="O8"/>
  <c r="N8"/>
  <c r="M8"/>
  <c r="L8"/>
  <c r="K8"/>
  <c r="J8"/>
  <c r="I8"/>
  <c r="H8"/>
  <c r="R7"/>
  <c r="Q7"/>
  <c r="P7"/>
  <c r="O7"/>
  <c r="N7"/>
  <c r="M7"/>
  <c r="L7"/>
  <c r="K7"/>
  <c r="J7"/>
  <c r="I7"/>
  <c r="H7"/>
  <c r="R6"/>
  <c r="Q6"/>
  <c r="P6"/>
  <c r="O6"/>
  <c r="N6"/>
  <c r="M6"/>
  <c r="M18"/>
  <c r="L6"/>
  <c r="L18"/>
  <c r="K6"/>
  <c r="K18"/>
  <c r="J6"/>
  <c r="J18"/>
  <c r="I6"/>
  <c r="I18"/>
  <c r="H6"/>
  <c r="H18"/>
  <c r="M4"/>
  <c r="L4"/>
  <c r="K4"/>
  <c r="J4"/>
  <c r="I4"/>
  <c r="H4"/>
  <c r="R124" i="28"/>
  <c r="Q124"/>
  <c r="P124"/>
  <c r="O124"/>
  <c r="N124"/>
  <c r="R121"/>
  <c r="Q121"/>
  <c r="P121"/>
  <c r="O121"/>
  <c r="N121"/>
  <c r="R120"/>
  <c r="Q120"/>
  <c r="P120"/>
  <c r="O120"/>
  <c r="N120"/>
  <c r="R119"/>
  <c r="Q119"/>
  <c r="P119"/>
  <c r="O119"/>
  <c r="N119"/>
  <c r="R118"/>
  <c r="Q118"/>
  <c r="P118"/>
  <c r="O118"/>
  <c r="N118"/>
  <c r="R114"/>
  <c r="Q114"/>
  <c r="P114"/>
  <c r="O114"/>
  <c r="N114"/>
  <c r="R101"/>
  <c r="Q101"/>
  <c r="P101"/>
  <c r="O101"/>
  <c r="N101"/>
  <c r="R93"/>
  <c r="Q93"/>
  <c r="P93"/>
  <c r="O93"/>
  <c r="N93"/>
  <c r="R87"/>
  <c r="Q87"/>
  <c r="P87"/>
  <c r="O87"/>
  <c r="N87"/>
  <c r="R86"/>
  <c r="Q86"/>
  <c r="P86"/>
  <c r="O86"/>
  <c r="N86"/>
  <c r="R84"/>
  <c r="Q84"/>
  <c r="P84"/>
  <c r="O84"/>
  <c r="N84"/>
  <c r="R83"/>
  <c r="Q83"/>
  <c r="P83"/>
  <c r="O83"/>
  <c r="N83"/>
  <c r="R80"/>
  <c r="Q80"/>
  <c r="P80"/>
  <c r="O80"/>
  <c r="N80"/>
  <c r="R74"/>
  <c r="Q74"/>
  <c r="P74"/>
  <c r="O74"/>
  <c r="N74"/>
  <c r="R70"/>
  <c r="Q70"/>
  <c r="P70"/>
  <c r="O70"/>
  <c r="N70"/>
  <c r="R54"/>
  <c r="Q54"/>
  <c r="P54"/>
  <c r="O54"/>
  <c r="N54"/>
  <c r="R53"/>
  <c r="Q53"/>
  <c r="P53"/>
  <c r="O53"/>
  <c r="N53"/>
  <c r="R52"/>
  <c r="Q52"/>
  <c r="P52"/>
  <c r="O52"/>
  <c r="N52"/>
  <c r="N47"/>
  <c r="R42"/>
  <c r="Q42"/>
  <c r="P42"/>
  <c r="O42"/>
  <c r="N42"/>
  <c r="R41"/>
  <c r="Q41"/>
  <c r="P41"/>
  <c r="O41"/>
  <c r="N41"/>
  <c r="R37"/>
  <c r="Q37"/>
  <c r="P37"/>
  <c r="O37"/>
  <c r="N37"/>
  <c r="R17"/>
  <c r="Q17"/>
  <c r="P17"/>
  <c r="O17"/>
  <c r="N17"/>
  <c r="R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M3"/>
  <c r="L3"/>
  <c r="K3"/>
  <c r="J3"/>
  <c r="I3"/>
  <c r="H3"/>
  <c r="G5"/>
  <c r="G11"/>
  <c r="G10"/>
  <c r="G19"/>
  <c r="G25"/>
  <c r="G36"/>
  <c r="G40"/>
  <c r="G51"/>
  <c r="G59"/>
  <c r="G64"/>
  <c r="G69"/>
  <c r="G78"/>
  <c r="M78"/>
  <c r="G79"/>
  <c r="G92"/>
  <c r="G95"/>
  <c r="G100"/>
  <c r="G106"/>
  <c r="G105"/>
  <c r="G122"/>
  <c r="G98"/>
  <c r="G90"/>
  <c r="G58"/>
  <c r="G46"/>
  <c r="R30"/>
  <c r="G22"/>
  <c r="R25"/>
  <c r="G89"/>
  <c r="G39"/>
  <c r="G4"/>
  <c r="G75"/>
  <c r="M4"/>
  <c r="G126"/>
  <c r="G128"/>
  <c r="D79"/>
  <c r="E18" i="29"/>
  <c r="F18"/>
  <c r="G18"/>
  <c r="E5"/>
  <c r="E10"/>
  <c r="E14"/>
  <c r="E17"/>
  <c r="E22"/>
  <c r="F5"/>
  <c r="F10"/>
  <c r="F14"/>
  <c r="F17"/>
  <c r="F22"/>
  <c r="F26"/>
  <c r="G5"/>
  <c r="G10"/>
  <c r="G14"/>
  <c r="G17"/>
  <c r="G22"/>
  <c r="G26"/>
  <c r="F100" i="28"/>
  <c r="F98"/>
  <c r="D19"/>
  <c r="D69"/>
  <c r="F69"/>
  <c r="D40"/>
  <c r="B19"/>
  <c r="Q69"/>
  <c r="R69"/>
  <c r="P69"/>
  <c r="R98"/>
  <c r="R100"/>
  <c r="R92"/>
  <c r="I80" i="30"/>
  <c r="I79"/>
  <c r="E61"/>
  <c r="F122"/>
  <c r="E122"/>
  <c r="F116"/>
  <c r="E116"/>
  <c r="F108"/>
  <c r="F105"/>
  <c r="E110"/>
  <c r="E108"/>
  <c r="E105"/>
  <c r="F98"/>
  <c r="F96"/>
  <c r="F93"/>
  <c r="E98"/>
  <c r="E96"/>
  <c r="E93"/>
  <c r="D122"/>
  <c r="C122"/>
  <c r="B122"/>
  <c r="D116"/>
  <c r="C116"/>
  <c r="B116"/>
  <c r="D110"/>
  <c r="D108"/>
  <c r="D105"/>
  <c r="C110"/>
  <c r="C108"/>
  <c r="C105"/>
  <c r="B110"/>
  <c r="B108"/>
  <c r="D98"/>
  <c r="D96"/>
  <c r="D93"/>
  <c r="C98"/>
  <c r="C96"/>
  <c r="C93"/>
  <c r="B98"/>
  <c r="B96"/>
  <c r="B93"/>
  <c r="C80"/>
  <c r="C91"/>
  <c r="I78" i="29"/>
  <c r="I79"/>
  <c r="I77"/>
  <c r="I89"/>
  <c r="C75"/>
  <c r="D75"/>
  <c r="E75"/>
  <c r="F75"/>
  <c r="P74"/>
  <c r="F69"/>
  <c r="C80"/>
  <c r="B80"/>
  <c r="B76"/>
  <c r="B84"/>
  <c r="B87"/>
  <c r="B89"/>
  <c r="B92"/>
  <c r="C76"/>
  <c r="D76"/>
  <c r="E76"/>
  <c r="F76"/>
  <c r="C69"/>
  <c r="D69"/>
  <c r="E69"/>
  <c r="B69"/>
  <c r="C66"/>
  <c r="D66"/>
  <c r="B66"/>
  <c r="F66"/>
  <c r="E66"/>
  <c r="B69" i="28"/>
  <c r="E114" i="30"/>
  <c r="C132"/>
  <c r="C114"/>
  <c r="C84" i="29"/>
  <c r="C87"/>
  <c r="C89"/>
  <c r="C92"/>
  <c r="I81"/>
  <c r="D82"/>
  <c r="D80"/>
  <c r="D84"/>
  <c r="D87"/>
  <c r="D89"/>
  <c r="D92"/>
  <c r="D5" i="28"/>
  <c r="I83" i="30"/>
  <c r="D81"/>
  <c r="D80"/>
  <c r="D91"/>
  <c r="F80"/>
  <c r="F91"/>
  <c r="E132"/>
  <c r="D132"/>
  <c r="F60"/>
  <c r="D114"/>
  <c r="F132"/>
  <c r="B105"/>
  <c r="B114"/>
  <c r="B132"/>
  <c r="B80"/>
  <c r="B91"/>
  <c r="F114"/>
  <c r="C133"/>
  <c r="C134"/>
  <c r="B133"/>
  <c r="B137"/>
  <c r="I83" i="29"/>
  <c r="F82"/>
  <c r="F80"/>
  <c r="F84"/>
  <c r="F87"/>
  <c r="F89"/>
  <c r="F92"/>
  <c r="I84" i="30"/>
  <c r="E80"/>
  <c r="E91"/>
  <c r="E133"/>
  <c r="E134"/>
  <c r="I82" i="29"/>
  <c r="E82"/>
  <c r="E80"/>
  <c r="E84"/>
  <c r="E87"/>
  <c r="E89"/>
  <c r="E92"/>
  <c r="F133" i="30"/>
  <c r="F137"/>
  <c r="D133"/>
  <c r="D134"/>
  <c r="F61"/>
  <c r="C137"/>
  <c r="B134"/>
  <c r="D137"/>
  <c r="F134"/>
  <c r="E137"/>
  <c r="E27" i="29"/>
  <c r="G27"/>
  <c r="D27"/>
  <c r="Q20"/>
  <c r="P20"/>
  <c r="F110" i="28"/>
  <c r="R110"/>
  <c r="B52" i="29"/>
  <c r="E122" i="28"/>
  <c r="E106"/>
  <c r="E100"/>
  <c r="E79"/>
  <c r="E78"/>
  <c r="K78"/>
  <c r="E110" i="46"/>
  <c r="F110"/>
  <c r="G110"/>
  <c r="E92"/>
  <c r="F92"/>
  <c r="E59"/>
  <c r="F59"/>
  <c r="P19" i="28"/>
  <c r="P40"/>
  <c r="P79"/>
  <c r="Q92"/>
  <c r="E98"/>
  <c r="Q100"/>
  <c r="Q110"/>
  <c r="Q98"/>
  <c r="R124" i="46"/>
  <c r="Q124"/>
  <c r="P124"/>
  <c r="O124"/>
  <c r="N124"/>
  <c r="F122"/>
  <c r="E122"/>
  <c r="Q122"/>
  <c r="G122"/>
  <c r="R122"/>
  <c r="D122"/>
  <c r="C122"/>
  <c r="O122"/>
  <c r="B122"/>
  <c r="N122"/>
  <c r="R121"/>
  <c r="Q121"/>
  <c r="P121"/>
  <c r="O121"/>
  <c r="N121"/>
  <c r="R120"/>
  <c r="Q120"/>
  <c r="P120"/>
  <c r="O120"/>
  <c r="N120"/>
  <c r="R119"/>
  <c r="Q119"/>
  <c r="P119"/>
  <c r="O119"/>
  <c r="N119"/>
  <c r="R118"/>
  <c r="Q118"/>
  <c r="P118"/>
  <c r="O118"/>
  <c r="N118"/>
  <c r="R114"/>
  <c r="Q114"/>
  <c r="P114"/>
  <c r="O114"/>
  <c r="N114"/>
  <c r="R110"/>
  <c r="Q110"/>
  <c r="D110"/>
  <c r="D106"/>
  <c r="D105"/>
  <c r="C110"/>
  <c r="B110"/>
  <c r="G106"/>
  <c r="F106"/>
  <c r="F105"/>
  <c r="E106"/>
  <c r="E105"/>
  <c r="C106"/>
  <c r="B106"/>
  <c r="B105"/>
  <c r="G105"/>
  <c r="R101"/>
  <c r="Q101"/>
  <c r="P101"/>
  <c r="O101"/>
  <c r="N101"/>
  <c r="G100"/>
  <c r="F100"/>
  <c r="E100"/>
  <c r="D100"/>
  <c r="P100"/>
  <c r="C100"/>
  <c r="B100"/>
  <c r="G98"/>
  <c r="E98"/>
  <c r="C98"/>
  <c r="G95"/>
  <c r="F95"/>
  <c r="F90"/>
  <c r="G90"/>
  <c r="R90"/>
  <c r="E95"/>
  <c r="D95"/>
  <c r="C95"/>
  <c r="B95"/>
  <c r="B92"/>
  <c r="B90"/>
  <c r="R93"/>
  <c r="Q93"/>
  <c r="P93"/>
  <c r="O93"/>
  <c r="N93"/>
  <c r="R92"/>
  <c r="D92"/>
  <c r="P92"/>
  <c r="C92"/>
  <c r="O92"/>
  <c r="R87"/>
  <c r="Q87"/>
  <c r="P87"/>
  <c r="O87"/>
  <c r="N87"/>
  <c r="R86"/>
  <c r="Q86"/>
  <c r="P86"/>
  <c r="O86"/>
  <c r="N86"/>
  <c r="R84"/>
  <c r="Q84"/>
  <c r="P84"/>
  <c r="O84"/>
  <c r="N84"/>
  <c r="R83"/>
  <c r="Q83"/>
  <c r="P83"/>
  <c r="O83"/>
  <c r="N83"/>
  <c r="R80"/>
  <c r="Q80"/>
  <c r="P80"/>
  <c r="O80"/>
  <c r="N80"/>
  <c r="G79"/>
  <c r="F79"/>
  <c r="E79"/>
  <c r="D79"/>
  <c r="C79"/>
  <c r="B79"/>
  <c r="G78"/>
  <c r="M78"/>
  <c r="D78"/>
  <c r="J78"/>
  <c r="C78"/>
  <c r="I78"/>
  <c r="F78"/>
  <c r="L78"/>
  <c r="E78"/>
  <c r="K78"/>
  <c r="B78"/>
  <c r="H78"/>
  <c r="R74"/>
  <c r="Q74"/>
  <c r="P74"/>
  <c r="O74"/>
  <c r="N74"/>
  <c r="R70"/>
  <c r="Q70"/>
  <c r="P70"/>
  <c r="O70"/>
  <c r="N70"/>
  <c r="G69"/>
  <c r="F69"/>
  <c r="E69"/>
  <c r="D69"/>
  <c r="C69"/>
  <c r="O69"/>
  <c r="B69"/>
  <c r="G64"/>
  <c r="F64"/>
  <c r="E64"/>
  <c r="D64"/>
  <c r="D59"/>
  <c r="D58"/>
  <c r="C64"/>
  <c r="B64"/>
  <c r="G59"/>
  <c r="G58"/>
  <c r="C59"/>
  <c r="C58"/>
  <c r="B59"/>
  <c r="B58"/>
  <c r="R54"/>
  <c r="Q54"/>
  <c r="P54"/>
  <c r="O54"/>
  <c r="N54"/>
  <c r="R53"/>
  <c r="Q53"/>
  <c r="P53"/>
  <c r="O53"/>
  <c r="N53"/>
  <c r="R52"/>
  <c r="Q52"/>
  <c r="P52"/>
  <c r="O52"/>
  <c r="N52"/>
  <c r="G51"/>
  <c r="E51"/>
  <c r="Q51"/>
  <c r="D51"/>
  <c r="C51"/>
  <c r="B51"/>
  <c r="G47"/>
  <c r="E47"/>
  <c r="E46"/>
  <c r="D47"/>
  <c r="D46"/>
  <c r="C47"/>
  <c r="B47"/>
  <c r="R42"/>
  <c r="Q42"/>
  <c r="P42"/>
  <c r="O42"/>
  <c r="N42"/>
  <c r="R41"/>
  <c r="Q41"/>
  <c r="P41"/>
  <c r="O41"/>
  <c r="N41"/>
  <c r="G40"/>
  <c r="F40"/>
  <c r="E40"/>
  <c r="D40"/>
  <c r="C40"/>
  <c r="B40"/>
  <c r="N40"/>
  <c r="R37"/>
  <c r="Q37"/>
  <c r="P37"/>
  <c r="O37"/>
  <c r="N37"/>
  <c r="G36"/>
  <c r="F36"/>
  <c r="R36"/>
  <c r="E36"/>
  <c r="D36"/>
  <c r="C36"/>
  <c r="O36"/>
  <c r="B36"/>
  <c r="N36"/>
  <c r="G30"/>
  <c r="F30"/>
  <c r="E30"/>
  <c r="D30"/>
  <c r="C30"/>
  <c r="C25"/>
  <c r="C22"/>
  <c r="B30"/>
  <c r="B25"/>
  <c r="B22"/>
  <c r="G25"/>
  <c r="F25"/>
  <c r="E25"/>
  <c r="E22"/>
  <c r="D25"/>
  <c r="D22"/>
  <c r="G22"/>
  <c r="F22"/>
  <c r="G19"/>
  <c r="F19"/>
  <c r="E19"/>
  <c r="C19"/>
  <c r="B19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G11"/>
  <c r="F11"/>
  <c r="E11"/>
  <c r="D11"/>
  <c r="P11"/>
  <c r="D10"/>
  <c r="C11"/>
  <c r="B11"/>
  <c r="B10"/>
  <c r="G10"/>
  <c r="C10"/>
  <c r="G5"/>
  <c r="F5"/>
  <c r="E5"/>
  <c r="D5"/>
  <c r="C5"/>
  <c r="B5"/>
  <c r="M3"/>
  <c r="L3"/>
  <c r="K3"/>
  <c r="J3"/>
  <c r="I3"/>
  <c r="H3"/>
  <c r="S79"/>
  <c r="R79"/>
  <c r="Q69"/>
  <c r="F58"/>
  <c r="R58"/>
  <c r="R51"/>
  <c r="F46"/>
  <c r="Q46"/>
  <c r="R40"/>
  <c r="D39"/>
  <c r="Q11"/>
  <c r="R69"/>
  <c r="Q40"/>
  <c r="G46"/>
  <c r="D90"/>
  <c r="E90"/>
  <c r="P90"/>
  <c r="R100"/>
  <c r="P110"/>
  <c r="D98"/>
  <c r="P98"/>
  <c r="O51"/>
  <c r="Q92"/>
  <c r="E10"/>
  <c r="E58"/>
  <c r="E39"/>
  <c r="P39"/>
  <c r="O79"/>
  <c r="B4"/>
  <c r="E4"/>
  <c r="N10"/>
  <c r="R11"/>
  <c r="P36"/>
  <c r="P10"/>
  <c r="Q36"/>
  <c r="P40"/>
  <c r="N58"/>
  <c r="P79"/>
  <c r="G89"/>
  <c r="Q105"/>
  <c r="R105"/>
  <c r="P105"/>
  <c r="N110"/>
  <c r="C105"/>
  <c r="O10"/>
  <c r="O40"/>
  <c r="P46"/>
  <c r="B98"/>
  <c r="O105"/>
  <c r="G4"/>
  <c r="D4"/>
  <c r="B46"/>
  <c r="B39"/>
  <c r="N51"/>
  <c r="O58"/>
  <c r="P69"/>
  <c r="Q79"/>
  <c r="O110"/>
  <c r="N11"/>
  <c r="C46"/>
  <c r="N47"/>
  <c r="D89"/>
  <c r="Q100"/>
  <c r="F98"/>
  <c r="C4"/>
  <c r="O11"/>
  <c r="F10"/>
  <c r="C39"/>
  <c r="G39"/>
  <c r="P51"/>
  <c r="E89"/>
  <c r="C90"/>
  <c r="N92"/>
  <c r="O98"/>
  <c r="N100"/>
  <c r="P122"/>
  <c r="N69"/>
  <c r="N79"/>
  <c r="Q90"/>
  <c r="O100"/>
  <c r="C52" i="29"/>
  <c r="B35"/>
  <c r="N20"/>
  <c r="B5"/>
  <c r="F5" i="28"/>
  <c r="F11"/>
  <c r="F19"/>
  <c r="F36"/>
  <c r="F40"/>
  <c r="F59"/>
  <c r="F64"/>
  <c r="F79"/>
  <c r="F106"/>
  <c r="F105"/>
  <c r="F122"/>
  <c r="B71" i="30"/>
  <c r="C27" i="29"/>
  <c r="D110" i="28"/>
  <c r="B5"/>
  <c r="C5"/>
  <c r="B11"/>
  <c r="C11"/>
  <c r="D11"/>
  <c r="C19"/>
  <c r="B36"/>
  <c r="C36"/>
  <c r="D36"/>
  <c r="B40"/>
  <c r="C40"/>
  <c r="B51"/>
  <c r="C51"/>
  <c r="D51"/>
  <c r="B59"/>
  <c r="C59"/>
  <c r="D59"/>
  <c r="B64"/>
  <c r="C64"/>
  <c r="D64"/>
  <c r="C69"/>
  <c r="B78"/>
  <c r="H78"/>
  <c r="C78"/>
  <c r="I78"/>
  <c r="D78"/>
  <c r="J78"/>
  <c r="F78"/>
  <c r="L78"/>
  <c r="B79"/>
  <c r="B92"/>
  <c r="C92"/>
  <c r="D92"/>
  <c r="B100"/>
  <c r="C100"/>
  <c r="D100"/>
  <c r="B106"/>
  <c r="C106"/>
  <c r="D106"/>
  <c r="B110"/>
  <c r="C110"/>
  <c r="B122"/>
  <c r="C122"/>
  <c r="D122"/>
  <c r="F71" i="30"/>
  <c r="B70"/>
  <c r="C70"/>
  <c r="D70"/>
  <c r="E70"/>
  <c r="F70"/>
  <c r="H4" i="29"/>
  <c r="I4"/>
  <c r="J4"/>
  <c r="K4"/>
  <c r="L4"/>
  <c r="M4"/>
  <c r="H12"/>
  <c r="C5"/>
  <c r="D5"/>
  <c r="J30"/>
  <c r="K21"/>
  <c r="L12"/>
  <c r="M12"/>
  <c r="H8"/>
  <c r="N8"/>
  <c r="O8"/>
  <c r="P8"/>
  <c r="Q8"/>
  <c r="R8"/>
  <c r="B10"/>
  <c r="H10"/>
  <c r="C10"/>
  <c r="C14"/>
  <c r="D10"/>
  <c r="J12"/>
  <c r="N12"/>
  <c r="O12"/>
  <c r="P12"/>
  <c r="Q12"/>
  <c r="R12"/>
  <c r="B14"/>
  <c r="H14"/>
  <c r="D14"/>
  <c r="D17"/>
  <c r="J17"/>
  <c r="J14"/>
  <c r="N16"/>
  <c r="O16"/>
  <c r="P16"/>
  <c r="Q16"/>
  <c r="R16"/>
  <c r="B18"/>
  <c r="H18"/>
  <c r="C18"/>
  <c r="D18"/>
  <c r="K18"/>
  <c r="L18"/>
  <c r="I19"/>
  <c r="J19"/>
  <c r="N19"/>
  <c r="O19"/>
  <c r="P19"/>
  <c r="Q19"/>
  <c r="R19"/>
  <c r="N21"/>
  <c r="O21"/>
  <c r="P21"/>
  <c r="Q21"/>
  <c r="R21"/>
  <c r="B22"/>
  <c r="H22"/>
  <c r="C22"/>
  <c r="D22"/>
  <c r="J22"/>
  <c r="H24"/>
  <c r="N24"/>
  <c r="O24"/>
  <c r="P24"/>
  <c r="Q24"/>
  <c r="R24"/>
  <c r="N25"/>
  <c r="O25"/>
  <c r="P25"/>
  <c r="Q25"/>
  <c r="R25"/>
  <c r="B27"/>
  <c r="E50"/>
  <c r="F12" i="38"/>
  <c r="H27" i="29"/>
  <c r="I30"/>
  <c r="K30"/>
  <c r="N30"/>
  <c r="O30"/>
  <c r="P30"/>
  <c r="Q30"/>
  <c r="R30"/>
  <c r="C35"/>
  <c r="D35"/>
  <c r="G35"/>
  <c r="N36"/>
  <c r="O36"/>
  <c r="P36"/>
  <c r="Q36"/>
  <c r="R36"/>
  <c r="B42"/>
  <c r="C42"/>
  <c r="D42"/>
  <c r="E42"/>
  <c r="F42"/>
  <c r="G42"/>
  <c r="H42"/>
  <c r="K42"/>
  <c r="L42"/>
  <c r="Q42"/>
  <c r="H43"/>
  <c r="K43"/>
  <c r="L43"/>
  <c r="N43"/>
  <c r="O43"/>
  <c r="P43"/>
  <c r="Q43"/>
  <c r="R43"/>
  <c r="H44"/>
  <c r="L44"/>
  <c r="N44"/>
  <c r="O44"/>
  <c r="P44"/>
  <c r="Q44"/>
  <c r="R44"/>
  <c r="N46"/>
  <c r="O46"/>
  <c r="P46"/>
  <c r="Q46"/>
  <c r="R46"/>
  <c r="D52"/>
  <c r="E52"/>
  <c r="F52"/>
  <c r="G52"/>
  <c r="C30" i="38"/>
  <c r="D30"/>
  <c r="E30"/>
  <c r="F30"/>
  <c r="G30"/>
  <c r="O122" i="28"/>
  <c r="P122"/>
  <c r="N122"/>
  <c r="N110"/>
  <c r="D98"/>
  <c r="O100"/>
  <c r="P100"/>
  <c r="N100"/>
  <c r="O92"/>
  <c r="P92"/>
  <c r="N92"/>
  <c r="N69"/>
  <c r="O69"/>
  <c r="O51"/>
  <c r="P51"/>
  <c r="N51"/>
  <c r="N40"/>
  <c r="O40"/>
  <c r="O36"/>
  <c r="P36"/>
  <c r="N36"/>
  <c r="N19"/>
  <c r="O19"/>
  <c r="D10"/>
  <c r="O11"/>
  <c r="P11"/>
  <c r="N11"/>
  <c r="O110"/>
  <c r="P110"/>
  <c r="Q122"/>
  <c r="R122"/>
  <c r="Q105"/>
  <c r="R105"/>
  <c r="Q79"/>
  <c r="R79"/>
  <c r="Q51"/>
  <c r="R51"/>
  <c r="Q40"/>
  <c r="R40"/>
  <c r="Q36"/>
  <c r="R36"/>
  <c r="Q19"/>
  <c r="R19"/>
  <c r="Q11"/>
  <c r="R11"/>
  <c r="K4"/>
  <c r="H35" i="29"/>
  <c r="D58" i="28"/>
  <c r="F58"/>
  <c r="B22"/>
  <c r="C10"/>
  <c r="F10"/>
  <c r="B10"/>
  <c r="C98"/>
  <c r="B98"/>
  <c r="R27" i="29"/>
  <c r="M44"/>
  <c r="M43"/>
  <c r="K27"/>
  <c r="M35"/>
  <c r="M24"/>
  <c r="M18"/>
  <c r="M46"/>
  <c r="M19"/>
  <c r="M36"/>
  <c r="M30"/>
  <c r="M25"/>
  <c r="M22"/>
  <c r="M10"/>
  <c r="F50"/>
  <c r="G12" i="38"/>
  <c r="L10" i="29"/>
  <c r="L36"/>
  <c r="L27"/>
  <c r="L24"/>
  <c r="Q5"/>
  <c r="Q58" i="46"/>
  <c r="P58"/>
  <c r="F39"/>
  <c r="S39"/>
  <c r="R46"/>
  <c r="N39"/>
  <c r="N46"/>
  <c r="G126"/>
  <c r="F4"/>
  <c r="S4"/>
  <c r="Q10"/>
  <c r="D126"/>
  <c r="J89"/>
  <c r="N98"/>
  <c r="G75"/>
  <c r="M4"/>
  <c r="O39"/>
  <c r="E75"/>
  <c r="K4"/>
  <c r="P4"/>
  <c r="P89"/>
  <c r="E126"/>
  <c r="K89"/>
  <c r="N90"/>
  <c r="C89"/>
  <c r="O89"/>
  <c r="O46"/>
  <c r="Q98"/>
  <c r="F89"/>
  <c r="O90"/>
  <c r="R98"/>
  <c r="B75"/>
  <c r="D75"/>
  <c r="O4"/>
  <c r="J4"/>
  <c r="B89"/>
  <c r="M39"/>
  <c r="C75"/>
  <c r="I4"/>
  <c r="N4"/>
  <c r="N105"/>
  <c r="R10"/>
  <c r="H36" i="29"/>
  <c r="B50"/>
  <c r="C12" i="38"/>
  <c r="B17" i="29"/>
  <c r="H17"/>
  <c r="D105" i="28"/>
  <c r="D22"/>
  <c r="C22"/>
  <c r="B105"/>
  <c r="B90"/>
  <c r="B46"/>
  <c r="E73" i="30"/>
  <c r="E71"/>
  <c r="D71"/>
  <c r="C17" i="29"/>
  <c r="I17"/>
  <c r="I14"/>
  <c r="D50"/>
  <c r="J46"/>
  <c r="J44"/>
  <c r="J35"/>
  <c r="J25"/>
  <c r="J24"/>
  <c r="J21"/>
  <c r="O5"/>
  <c r="J36"/>
  <c r="J16"/>
  <c r="J10"/>
  <c r="J8"/>
  <c r="J43"/>
  <c r="I24"/>
  <c r="I22"/>
  <c r="I18"/>
  <c r="I46"/>
  <c r="I43"/>
  <c r="I36"/>
  <c r="I35"/>
  <c r="I10"/>
  <c r="I44"/>
  <c r="I25"/>
  <c r="C105" i="28"/>
  <c r="Q35" i="29"/>
  <c r="L35"/>
  <c r="G26" i="38"/>
  <c r="B58" i="28"/>
  <c r="C46"/>
  <c r="K35" i="29"/>
  <c r="P35"/>
  <c r="K22"/>
  <c r="P22"/>
  <c r="P10"/>
  <c r="K10"/>
  <c r="J42"/>
  <c r="O42"/>
  <c r="O27"/>
  <c r="J27"/>
  <c r="Q14"/>
  <c r="E12" i="38"/>
  <c r="Q22" i="29"/>
  <c r="L22"/>
  <c r="F26" i="38"/>
  <c r="R42" i="29"/>
  <c r="M42"/>
  <c r="N42"/>
  <c r="I42"/>
  <c r="N35"/>
  <c r="R35"/>
  <c r="P27"/>
  <c r="M27"/>
  <c r="G50"/>
  <c r="I27"/>
  <c r="N27"/>
  <c r="C50"/>
  <c r="N22"/>
  <c r="R22"/>
  <c r="J18"/>
  <c r="O18"/>
  <c r="P5"/>
  <c r="K12"/>
  <c r="K16"/>
  <c r="K19"/>
  <c r="K25"/>
  <c r="K46"/>
  <c r="K24"/>
  <c r="K36"/>
  <c r="K44"/>
  <c r="L46"/>
  <c r="H46"/>
  <c r="O35"/>
  <c r="Q27"/>
  <c r="L25"/>
  <c r="H25"/>
  <c r="O22"/>
  <c r="M21"/>
  <c r="I21"/>
  <c r="L19"/>
  <c r="H19"/>
  <c r="N18"/>
  <c r="M16"/>
  <c r="I16"/>
  <c r="I12"/>
  <c r="L8"/>
  <c r="D73" i="30"/>
  <c r="D90" i="28"/>
  <c r="P42" i="29"/>
  <c r="L30"/>
  <c r="H30"/>
  <c r="L21"/>
  <c r="H21"/>
  <c r="Q18"/>
  <c r="L16"/>
  <c r="H16"/>
  <c r="N14"/>
  <c r="R10"/>
  <c r="N10"/>
  <c r="R5"/>
  <c r="N5"/>
  <c r="C90" i="28"/>
  <c r="P18" i="29"/>
  <c r="C58" i="28"/>
  <c r="D46"/>
  <c r="R18" i="29"/>
  <c r="N17"/>
  <c r="C26"/>
  <c r="I26"/>
  <c r="O17"/>
  <c r="Q10"/>
  <c r="O10"/>
  <c r="O14"/>
  <c r="D26"/>
  <c r="M8"/>
  <c r="K8"/>
  <c r="I8"/>
  <c r="O46" i="28"/>
  <c r="P46"/>
  <c r="N58"/>
  <c r="N90"/>
  <c r="O90"/>
  <c r="N46"/>
  <c r="N105"/>
  <c r="C4"/>
  <c r="N22"/>
  <c r="O22"/>
  <c r="P22"/>
  <c r="O105"/>
  <c r="P105"/>
  <c r="Q22"/>
  <c r="R22"/>
  <c r="Q46"/>
  <c r="R46"/>
  <c r="N98"/>
  <c r="Q10"/>
  <c r="R10"/>
  <c r="N10"/>
  <c r="Q58"/>
  <c r="R58"/>
  <c r="O58"/>
  <c r="P58"/>
  <c r="O10"/>
  <c r="P10"/>
  <c r="O98"/>
  <c r="P98"/>
  <c r="D89"/>
  <c r="R14" i="29"/>
  <c r="B4" i="28"/>
  <c r="F4"/>
  <c r="C26" i="38"/>
  <c r="G14"/>
  <c r="F39" i="28"/>
  <c r="M14" i="29"/>
  <c r="L14"/>
  <c r="S89" i="46"/>
  <c r="F126"/>
  <c r="S126"/>
  <c r="S78"/>
  <c r="R89"/>
  <c r="Q39"/>
  <c r="R39"/>
  <c r="R4"/>
  <c r="M75"/>
  <c r="H52"/>
  <c r="H70"/>
  <c r="H74"/>
  <c r="H54"/>
  <c r="H42"/>
  <c r="H37"/>
  <c r="H14"/>
  <c r="H36"/>
  <c r="H17"/>
  <c r="H15"/>
  <c r="H53"/>
  <c r="H40"/>
  <c r="H16"/>
  <c r="H12"/>
  <c r="H41"/>
  <c r="H13"/>
  <c r="H10"/>
  <c r="H51"/>
  <c r="H58"/>
  <c r="H69"/>
  <c r="H11"/>
  <c r="I70"/>
  <c r="I53"/>
  <c r="I74"/>
  <c r="I51"/>
  <c r="N75"/>
  <c r="I15"/>
  <c r="I37"/>
  <c r="I16"/>
  <c r="I12"/>
  <c r="I42"/>
  <c r="I69"/>
  <c r="I54"/>
  <c r="I52"/>
  <c r="I41"/>
  <c r="I36"/>
  <c r="I17"/>
  <c r="I13"/>
  <c r="I14"/>
  <c r="I11"/>
  <c r="I10"/>
  <c r="I40"/>
  <c r="I58"/>
  <c r="H4"/>
  <c r="H46"/>
  <c r="Q4"/>
  <c r="F75"/>
  <c r="M124"/>
  <c r="M121"/>
  <c r="M114"/>
  <c r="M93"/>
  <c r="M87"/>
  <c r="M80"/>
  <c r="M118"/>
  <c r="M101"/>
  <c r="M83"/>
  <c r="M119"/>
  <c r="M90"/>
  <c r="M84"/>
  <c r="M122"/>
  <c r="M92"/>
  <c r="M86"/>
  <c r="M110"/>
  <c r="M79"/>
  <c r="M120"/>
  <c r="M105"/>
  <c r="M100"/>
  <c r="M98"/>
  <c r="I39"/>
  <c r="I75"/>
  <c r="B126"/>
  <c r="B128"/>
  <c r="P126"/>
  <c r="K119"/>
  <c r="K84"/>
  <c r="K120"/>
  <c r="K86"/>
  <c r="K124"/>
  <c r="K121"/>
  <c r="K114"/>
  <c r="K100"/>
  <c r="K93"/>
  <c r="K87"/>
  <c r="K80"/>
  <c r="K118"/>
  <c r="K98"/>
  <c r="K101"/>
  <c r="K83"/>
  <c r="K79"/>
  <c r="K126"/>
  <c r="K90"/>
  <c r="K122"/>
  <c r="K92"/>
  <c r="K105"/>
  <c r="K110"/>
  <c r="C126"/>
  <c r="I89"/>
  <c r="N89"/>
  <c r="J74"/>
  <c r="J54"/>
  <c r="O75"/>
  <c r="J69"/>
  <c r="J52"/>
  <c r="D128"/>
  <c r="J16"/>
  <c r="J12"/>
  <c r="J58"/>
  <c r="J46"/>
  <c r="J53"/>
  <c r="J41"/>
  <c r="J17"/>
  <c r="J13"/>
  <c r="J70"/>
  <c r="J15"/>
  <c r="J11"/>
  <c r="J42"/>
  <c r="J37"/>
  <c r="J14"/>
  <c r="J51"/>
  <c r="J36"/>
  <c r="J40"/>
  <c r="J39"/>
  <c r="J75"/>
  <c r="J10"/>
  <c r="Q89"/>
  <c r="P75"/>
  <c r="E128"/>
  <c r="K70"/>
  <c r="K53"/>
  <c r="K41"/>
  <c r="K17"/>
  <c r="K13"/>
  <c r="K40"/>
  <c r="K74"/>
  <c r="K54"/>
  <c r="K52"/>
  <c r="K42"/>
  <c r="K37"/>
  <c r="K14"/>
  <c r="K12"/>
  <c r="K15"/>
  <c r="K11"/>
  <c r="K16"/>
  <c r="K10"/>
  <c r="K39"/>
  <c r="K75"/>
  <c r="K58"/>
  <c r="K51"/>
  <c r="K69"/>
  <c r="K36"/>
  <c r="K46"/>
  <c r="G128"/>
  <c r="M70"/>
  <c r="M53"/>
  <c r="M74"/>
  <c r="M51"/>
  <c r="M54"/>
  <c r="M52"/>
  <c r="M15"/>
  <c r="M37"/>
  <c r="M69"/>
  <c r="M16"/>
  <c r="M12"/>
  <c r="M14"/>
  <c r="M41"/>
  <c r="M36"/>
  <c r="M17"/>
  <c r="M13"/>
  <c r="M42"/>
  <c r="M40"/>
  <c r="M11"/>
  <c r="M10"/>
  <c r="M58"/>
  <c r="M46"/>
  <c r="J118"/>
  <c r="J101"/>
  <c r="J83"/>
  <c r="O126"/>
  <c r="J119"/>
  <c r="J84"/>
  <c r="J120"/>
  <c r="J86"/>
  <c r="J79"/>
  <c r="J126"/>
  <c r="J105"/>
  <c r="J80"/>
  <c r="J121"/>
  <c r="J100"/>
  <c r="J93"/>
  <c r="J114"/>
  <c r="J124"/>
  <c r="J87"/>
  <c r="J98"/>
  <c r="J122"/>
  <c r="J90"/>
  <c r="J92"/>
  <c r="J110"/>
  <c r="M89"/>
  <c r="M126"/>
  <c r="I46"/>
  <c r="H39"/>
  <c r="C89" i="28"/>
  <c r="B26" i="29"/>
  <c r="F13" i="38"/>
  <c r="G37"/>
  <c r="G43"/>
  <c r="B89" i="28"/>
  <c r="D39"/>
  <c r="C14" i="38"/>
  <c r="C37"/>
  <c r="C43"/>
  <c r="C73" i="30"/>
  <c r="C71"/>
  <c r="C79" i="28"/>
  <c r="D37" i="38"/>
  <c r="D43"/>
  <c r="C39" i="28"/>
  <c r="D4"/>
  <c r="F10" i="38"/>
  <c r="E66" i="30"/>
  <c r="F73"/>
  <c r="F37" i="38"/>
  <c r="F43"/>
  <c r="E14"/>
  <c r="E37"/>
  <c r="E43"/>
  <c r="F14"/>
  <c r="B66" i="30"/>
  <c r="C10" i="38"/>
  <c r="C66" i="30"/>
  <c r="D10" i="38"/>
  <c r="E10"/>
  <c r="D66" i="30"/>
  <c r="P14" i="29"/>
  <c r="K14"/>
  <c r="B39" i="28"/>
  <c r="F4" i="38"/>
  <c r="C13"/>
  <c r="D13"/>
  <c r="C19"/>
  <c r="D12"/>
  <c r="D14"/>
  <c r="D19"/>
  <c r="E19"/>
  <c r="E13"/>
  <c r="B73" i="30"/>
  <c r="C41" i="29"/>
  <c r="C45"/>
  <c r="C55"/>
  <c r="F66" i="30"/>
  <c r="G10" i="38"/>
  <c r="F19"/>
  <c r="G13"/>
  <c r="G19"/>
  <c r="D20"/>
  <c r="C7"/>
  <c r="C20"/>
  <c r="F6"/>
  <c r="D60" i="30"/>
  <c r="D64"/>
  <c r="E64"/>
  <c r="F64"/>
  <c r="D72"/>
  <c r="D74"/>
  <c r="F72"/>
  <c r="O26" i="29"/>
  <c r="D41"/>
  <c r="J26"/>
  <c r="D55"/>
  <c r="B60" i="30"/>
  <c r="B64"/>
  <c r="B72"/>
  <c r="C60"/>
  <c r="C72"/>
  <c r="E72"/>
  <c r="E74"/>
  <c r="O4" i="28"/>
  <c r="P4"/>
  <c r="N39"/>
  <c r="N79"/>
  <c r="O79"/>
  <c r="E8" i="38"/>
  <c r="E34"/>
  <c r="O39" i="28"/>
  <c r="P39"/>
  <c r="N89"/>
  <c r="G9" i="38"/>
  <c r="Q39" i="28"/>
  <c r="R39"/>
  <c r="G6" i="38"/>
  <c r="Q4" i="28"/>
  <c r="R4"/>
  <c r="D17" i="38"/>
  <c r="O89" i="28"/>
  <c r="N4"/>
  <c r="H26" i="29"/>
  <c r="B55"/>
  <c r="C17" i="38"/>
  <c r="G17"/>
  <c r="C64" i="30"/>
  <c r="C61"/>
  <c r="C6" i="38"/>
  <c r="C11"/>
  <c r="G8"/>
  <c r="G34"/>
  <c r="G15"/>
  <c r="G4"/>
  <c r="G20"/>
  <c r="F75" i="28"/>
  <c r="C5" i="38"/>
  <c r="C18"/>
  <c r="D11"/>
  <c r="D9"/>
  <c r="E26"/>
  <c r="D126" i="28"/>
  <c r="M17" i="29"/>
  <c r="L17"/>
  <c r="R17"/>
  <c r="L89" i="46"/>
  <c r="L4"/>
  <c r="S75"/>
  <c r="R75"/>
  <c r="C128"/>
  <c r="H75"/>
  <c r="L120"/>
  <c r="L110"/>
  <c r="L92"/>
  <c r="L86"/>
  <c r="L124"/>
  <c r="L121"/>
  <c r="L114"/>
  <c r="L93"/>
  <c r="L87"/>
  <c r="L80"/>
  <c r="L118"/>
  <c r="L101"/>
  <c r="L83"/>
  <c r="Q126"/>
  <c r="L119"/>
  <c r="L90"/>
  <c r="L84"/>
  <c r="L100"/>
  <c r="L122"/>
  <c r="L105"/>
  <c r="L79"/>
  <c r="L98"/>
  <c r="R126"/>
  <c r="I124"/>
  <c r="I121"/>
  <c r="I114"/>
  <c r="I93"/>
  <c r="I87"/>
  <c r="I80"/>
  <c r="I118"/>
  <c r="I101"/>
  <c r="I83"/>
  <c r="N126"/>
  <c r="I119"/>
  <c r="I84"/>
  <c r="I120"/>
  <c r="I122"/>
  <c r="I92"/>
  <c r="I86"/>
  <c r="I110"/>
  <c r="I79"/>
  <c r="I126"/>
  <c r="I100"/>
  <c r="I98"/>
  <c r="I90"/>
  <c r="I105"/>
  <c r="H120"/>
  <c r="H86"/>
  <c r="H124"/>
  <c r="H121"/>
  <c r="H114"/>
  <c r="H93"/>
  <c r="H87"/>
  <c r="H80"/>
  <c r="H118"/>
  <c r="H101"/>
  <c r="H83"/>
  <c r="H90"/>
  <c r="H84"/>
  <c r="H119"/>
  <c r="H100"/>
  <c r="H110"/>
  <c r="H92"/>
  <c r="H122"/>
  <c r="H79"/>
  <c r="H105"/>
  <c r="H98"/>
  <c r="H89"/>
  <c r="Q75"/>
  <c r="L52"/>
  <c r="F128"/>
  <c r="L70"/>
  <c r="L74"/>
  <c r="L54"/>
  <c r="L53"/>
  <c r="L42"/>
  <c r="L37"/>
  <c r="L14"/>
  <c r="L41"/>
  <c r="L13"/>
  <c r="L15"/>
  <c r="L12"/>
  <c r="L36"/>
  <c r="L40"/>
  <c r="L16"/>
  <c r="L17"/>
  <c r="L51"/>
  <c r="L58"/>
  <c r="L69"/>
  <c r="L46"/>
  <c r="L11"/>
  <c r="L39"/>
  <c r="L10"/>
  <c r="N26" i="29"/>
  <c r="B41"/>
  <c r="H41"/>
  <c r="B126" i="28"/>
  <c r="F15" i="38"/>
  <c r="E6"/>
  <c r="E9"/>
  <c r="C25"/>
  <c r="E7"/>
  <c r="E17"/>
  <c r="C15"/>
  <c r="B75" i="28"/>
  <c r="C9" i="38"/>
  <c r="C8"/>
  <c r="C34"/>
  <c r="G18"/>
  <c r="F9"/>
  <c r="F18"/>
  <c r="F8"/>
  <c r="F34"/>
  <c r="B74" i="30"/>
  <c r="F74"/>
  <c r="C74"/>
  <c r="D26" i="38"/>
  <c r="D7"/>
  <c r="D6"/>
  <c r="E25"/>
  <c r="E5"/>
  <c r="E15"/>
  <c r="D25"/>
  <c r="D5"/>
  <c r="C126" i="28"/>
  <c r="D8" i="38"/>
  <c r="D34"/>
  <c r="C75" i="28"/>
  <c r="D18" i="38"/>
  <c r="E18"/>
  <c r="D4"/>
  <c r="E4"/>
  <c r="E11"/>
  <c r="E20"/>
  <c r="D75" i="28"/>
  <c r="F17" i="38"/>
  <c r="F20"/>
  <c r="D15"/>
  <c r="P17" i="29"/>
  <c r="K17"/>
  <c r="Q17"/>
  <c r="I41"/>
  <c r="J41"/>
  <c r="D45"/>
  <c r="O41"/>
  <c r="D61" i="30"/>
  <c r="B61"/>
  <c r="O75" i="28"/>
  <c r="P75"/>
  <c r="N75"/>
  <c r="N126"/>
  <c r="O126"/>
  <c r="G16" i="38"/>
  <c r="Q75" i="28"/>
  <c r="R75"/>
  <c r="I4"/>
  <c r="H4"/>
  <c r="L4"/>
  <c r="J4"/>
  <c r="D128"/>
  <c r="M26" i="29"/>
  <c r="G55"/>
  <c r="G41"/>
  <c r="R26"/>
  <c r="F55"/>
  <c r="L26"/>
  <c r="L126" i="46"/>
  <c r="L75"/>
  <c r="H126"/>
  <c r="B45" i="29"/>
  <c r="H45"/>
  <c r="N41"/>
  <c r="E24" i="38"/>
  <c r="E35"/>
  <c r="E46"/>
  <c r="B128" i="28"/>
  <c r="C24" i="38"/>
  <c r="C35"/>
  <c r="C46"/>
  <c r="C128" i="28"/>
  <c r="C16" i="38"/>
  <c r="C38"/>
  <c r="D16"/>
  <c r="D42"/>
  <c r="D24"/>
  <c r="D35"/>
  <c r="D46"/>
  <c r="E16"/>
  <c r="E38"/>
  <c r="F16"/>
  <c r="F42"/>
  <c r="E55" i="29"/>
  <c r="K26"/>
  <c r="P26"/>
  <c r="Q26"/>
  <c r="D29" i="38"/>
  <c r="I45" i="29"/>
  <c r="D27" i="38"/>
  <c r="D45"/>
  <c r="C48" i="29"/>
  <c r="G38" i="38"/>
  <c r="G42"/>
  <c r="J45" i="29"/>
  <c r="D48"/>
  <c r="O45"/>
  <c r="E27" i="38"/>
  <c r="E29"/>
  <c r="E45"/>
  <c r="M41" i="29"/>
  <c r="G45"/>
  <c r="L41"/>
  <c r="R41"/>
  <c r="F45"/>
  <c r="B48"/>
  <c r="N45"/>
  <c r="C45" i="38"/>
  <c r="C27"/>
  <c r="C29"/>
  <c r="C42"/>
  <c r="D38"/>
  <c r="F38"/>
  <c r="E42"/>
  <c r="K41" i="29"/>
  <c r="P41"/>
  <c r="Q41"/>
  <c r="C53"/>
  <c r="D22" i="38"/>
  <c r="D36"/>
  <c r="D44"/>
  <c r="D47"/>
  <c r="D48"/>
  <c r="D28"/>
  <c r="D21"/>
  <c r="D23"/>
  <c r="I48" i="29"/>
  <c r="J48"/>
  <c r="O48"/>
  <c r="D53"/>
  <c r="E21" i="38"/>
  <c r="E22"/>
  <c r="E36"/>
  <c r="E23"/>
  <c r="E28"/>
  <c r="H48" i="29"/>
  <c r="B53"/>
  <c r="G48"/>
  <c r="M45"/>
  <c r="F48"/>
  <c r="R45"/>
  <c r="L45"/>
  <c r="G27" i="38"/>
  <c r="G45"/>
  <c r="G29"/>
  <c r="C22"/>
  <c r="C36"/>
  <c r="C44"/>
  <c r="C47"/>
  <c r="C48"/>
  <c r="C21"/>
  <c r="C23"/>
  <c r="N48" i="29"/>
  <c r="C28" i="38"/>
  <c r="D39"/>
  <c r="D40"/>
  <c r="F45"/>
  <c r="K45" i="29"/>
  <c r="F29" i="38"/>
  <c r="F27"/>
  <c r="E48" i="29"/>
  <c r="Q45"/>
  <c r="P45"/>
  <c r="E44" i="38"/>
  <c r="E47"/>
  <c r="E48"/>
  <c r="E39"/>
  <c r="E40"/>
  <c r="M48" i="29"/>
  <c r="G53"/>
  <c r="F53"/>
  <c r="G28" i="38"/>
  <c r="G21"/>
  <c r="R48" i="29"/>
  <c r="G22" i="38"/>
  <c r="G36"/>
  <c r="L48" i="29"/>
  <c r="G23" i="38"/>
  <c r="C39"/>
  <c r="C40"/>
  <c r="E53" i="29"/>
  <c r="F28" i="38"/>
  <c r="F23"/>
  <c r="F21"/>
  <c r="K48" i="29"/>
  <c r="F22" i="38"/>
  <c r="F36"/>
  <c r="Q48" i="29"/>
  <c r="P48"/>
  <c r="G44" i="38"/>
  <c r="F44"/>
  <c r="F95" i="28"/>
  <c r="R90"/>
  <c r="F89"/>
  <c r="R89"/>
  <c r="G5" i="38"/>
  <c r="F126" i="28"/>
  <c r="R126"/>
  <c r="G11" i="38"/>
  <c r="G7"/>
  <c r="G25"/>
  <c r="F128" i="28"/>
  <c r="G24" i="38"/>
  <c r="G35"/>
  <c r="G39"/>
  <c r="G40"/>
  <c r="G46"/>
  <c r="G47"/>
  <c r="G48"/>
  <c r="E126" i="28"/>
  <c r="E128"/>
  <c r="P90"/>
  <c r="F5" i="38"/>
  <c r="F25"/>
  <c r="F7"/>
  <c r="F11"/>
  <c r="P89" i="28"/>
  <c r="P126"/>
  <c r="F24" i="38"/>
  <c r="F35"/>
  <c r="F46"/>
  <c r="F47"/>
  <c r="F48"/>
  <c r="F39"/>
  <c r="F40"/>
  <c r="Q126" i="28"/>
  <c r="Q89"/>
  <c r="Q90"/>
</calcChain>
</file>

<file path=xl/sharedStrings.xml><?xml version="1.0" encoding="utf-8"?>
<sst xmlns="http://schemas.openxmlformats.org/spreadsheetml/2006/main" count="571" uniqueCount="275">
  <si>
    <t>A. Kapitał (fundusz) własny</t>
  </si>
  <si>
    <t>I. Wartości niematerialne i prawne</t>
  </si>
  <si>
    <t>Wartość firmy</t>
  </si>
  <si>
    <t>Inne wartości niematerialne i prawne</t>
  </si>
  <si>
    <t>Materiały</t>
  </si>
  <si>
    <t>Półprodukty i produkty w toku</t>
  </si>
  <si>
    <t>Produkty gotowe</t>
  </si>
  <si>
    <t>Towary</t>
  </si>
  <si>
    <t>Koszt wytworzenia sprzedanych produktów</t>
  </si>
  <si>
    <t>Dotacje</t>
  </si>
  <si>
    <t>Amortyzacja</t>
  </si>
  <si>
    <t>Zmiana stanu zapasów</t>
  </si>
  <si>
    <t>Zmiana stanu rozliczeń międzyokresowych</t>
  </si>
  <si>
    <t>D. Koszty sprzedaży</t>
  </si>
  <si>
    <t>E. Koszty ogólnego zarządu</t>
  </si>
  <si>
    <t>G. Pozostałe przychody operacyjne</t>
  </si>
  <si>
    <t>H. Pozostałe koszty operacyjne</t>
  </si>
  <si>
    <t>J. Przychody finansowe</t>
  </si>
  <si>
    <t>K. Koszty finansowe</t>
  </si>
  <si>
    <t>C. Przepływy środków pieniężnych z działalności finansowej</t>
  </si>
  <si>
    <t>Operacyjna</t>
  </si>
  <si>
    <t>Inwestycyjna</t>
  </si>
  <si>
    <t>Finansowa</t>
  </si>
  <si>
    <t>Zmiana stanu środków pieniężnych</t>
  </si>
  <si>
    <t>sprzedaż netto</t>
  </si>
  <si>
    <t>Struktura [%]</t>
  </si>
  <si>
    <t>Dynamika [%]</t>
  </si>
  <si>
    <t xml:space="preserve">BILANS </t>
  </si>
  <si>
    <t>Aktywa</t>
  </si>
  <si>
    <t>A. Aktywa trwałe</t>
  </si>
  <si>
    <t>Koszty zakończonych prac rozwojowych</t>
  </si>
  <si>
    <t>Zaliczki na wartości niematerialne i prawne</t>
  </si>
  <si>
    <t>II. Rzeczowe aktywa trwałe</t>
  </si>
  <si>
    <t>Środki trwałe</t>
  </si>
  <si>
    <t>grunty (w tym prawo użytkowania wieczystego gruntu)</t>
  </si>
  <si>
    <t>budynki, lokale i obiekty inżynierii lądowej i wodnej</t>
  </si>
  <si>
    <t>urządzenia techniczne i maszyny</t>
  </si>
  <si>
    <t>środki transportu</t>
  </si>
  <si>
    <t>inne środki trwałe</t>
  </si>
  <si>
    <t>Środki trwałe w budowie</t>
  </si>
  <si>
    <t>Zaliczki na środki trwałe w budowie</t>
  </si>
  <si>
    <t>III. Należności długoterminowe</t>
  </si>
  <si>
    <t>Od jednostek powiązanych</t>
  </si>
  <si>
    <t>Od pozostałych jednostek</t>
  </si>
  <si>
    <t>IV. Inwestycje długoterminowe</t>
  </si>
  <si>
    <t>Nieruchomości</t>
  </si>
  <si>
    <t>Wartości niematerialne i prawne</t>
  </si>
  <si>
    <t>Długoterminowe aktywa finansowe w jednostkach powiązanych</t>
  </si>
  <si>
    <t>udziały lub akcje</t>
  </si>
  <si>
    <t>inne papiery wartościowe</t>
  </si>
  <si>
    <t>udzielone pożyczki</t>
  </si>
  <si>
    <t>inne długoterminowe aktywa finansowe</t>
  </si>
  <si>
    <t>Długoterminowe aktywa finansowe w pozostałych jednostkach</t>
  </si>
  <si>
    <t>Inne inwestycje długoterminowe</t>
  </si>
  <si>
    <t>V. Długoterminowe rozliczenia międzyokresowe</t>
  </si>
  <si>
    <t>Aktywa z tytułu odroczonego podatku dochodowego</t>
  </si>
  <si>
    <t>Inne rozliczenia międzyokresowe</t>
  </si>
  <si>
    <t>B. Aktywa obrotowe</t>
  </si>
  <si>
    <t>l. Zapasy</t>
  </si>
  <si>
    <t>Zaliczki na dostawy</t>
  </si>
  <si>
    <t>II. Należności krótkoterminowe</t>
  </si>
  <si>
    <t>Należności od jednostek powiązanych</t>
  </si>
  <si>
    <t>z tytułu dostaw i usług, o okresie spłaty do 12 msc</t>
  </si>
  <si>
    <t>z tytułu dostaw i usług, o okresie spłaty pow. 12 msc</t>
  </si>
  <si>
    <t>inne</t>
  </si>
  <si>
    <t>Należności od pozostałych jednostek</t>
  </si>
  <si>
    <t xml:space="preserve">z tytułu podatków, dotacji, ceł, ubezpieczeń społecznych </t>
  </si>
  <si>
    <t xml:space="preserve">  i zdrowotnych oraz innych świadczeń</t>
  </si>
  <si>
    <t>dochodzone na drodze sądowej</t>
  </si>
  <si>
    <t>III. Inwestycje krótkoterminowe</t>
  </si>
  <si>
    <t>Krótkoterminowe aktywa finansowe w jednostkach powiązanych</t>
  </si>
  <si>
    <t>inne krótkoterminowe aktywa finansowe</t>
  </si>
  <si>
    <t>Krótkoterminowe aktywa finansowe w pozostałych jednostkach</t>
  </si>
  <si>
    <t>Środki pieniężne i inne aktywa pieniężne</t>
  </si>
  <si>
    <t>środki pieniężne w kasie i na rachunkach</t>
  </si>
  <si>
    <t xml:space="preserve"> inne środki pieniężne</t>
  </si>
  <si>
    <t xml:space="preserve">inne aktywa pieniężne </t>
  </si>
  <si>
    <t>Inne inwestycje krótkoterminowe</t>
  </si>
  <si>
    <t xml:space="preserve">IV. Krótkoterminowe rozliczenia międzyokresowe </t>
  </si>
  <si>
    <t>Aktywa razem</t>
  </si>
  <si>
    <t>Pasywa</t>
  </si>
  <si>
    <t>Kapitał (fundusz) podstawowy</t>
  </si>
  <si>
    <t>Należne wpłaty na kapitał podstawowy (wielkość ujemna)</t>
  </si>
  <si>
    <t>Udziały (akcje) własne (wielkość ujemna)</t>
  </si>
  <si>
    <t>Kapitał (fundusz) zapasowy</t>
  </si>
  <si>
    <t>Kapitał (fundusz) z aktualizacji wyceny</t>
  </si>
  <si>
    <t>Pozostałe kapitały (fundusze) rezerwowe</t>
  </si>
  <si>
    <t>Zysk (strata) z lat ubiegłych</t>
  </si>
  <si>
    <t>Zysk (strata) netto</t>
  </si>
  <si>
    <t>Odpisy z zysku netto w ciągu roku obrotowego (wlk ujemna)</t>
  </si>
  <si>
    <t>B. Zobowiązania i rezerwy na zobowiązania</t>
  </si>
  <si>
    <t>I. Rezerwy na zobowiązania</t>
  </si>
  <si>
    <t>Rezerwa z tytułu odroczonego podatku dochodowego</t>
  </si>
  <si>
    <t>Rezerwa na świadczenia emerytalne i podobne</t>
  </si>
  <si>
    <t>długoterminowa</t>
  </si>
  <si>
    <t>krótkoterminowa</t>
  </si>
  <si>
    <t xml:space="preserve"> Pozostałe rezerwy</t>
  </si>
  <si>
    <t>krótkoterminowe</t>
  </si>
  <si>
    <t>II. Zobowiązania długoterminowe</t>
  </si>
  <si>
    <t>Wobec jednostek powiązanych</t>
  </si>
  <si>
    <t>Wobec pozostałych jednostek</t>
  </si>
  <si>
    <t>kredyty i pożyczki</t>
  </si>
  <si>
    <t>z tytułu emisji dłużnych papierów wartościowych</t>
  </si>
  <si>
    <t>inne zobowiązania finansowe</t>
  </si>
  <si>
    <t>III. Zobowiązania krótkoterminowe</t>
  </si>
  <si>
    <t>z tytułu dostaw i usług, o okresie wymagalności do 12 msc</t>
  </si>
  <si>
    <t>z tytułu dostaw i usług, o okresie wymagalności pow. 12 msc</t>
  </si>
  <si>
    <t>zaliczki otrzymane na dostawy</t>
  </si>
  <si>
    <t>zobowiązania wekslowe</t>
  </si>
  <si>
    <t>z tytułu podatków, ceł, ubezpieczeń i innych świadczeń</t>
  </si>
  <si>
    <t>z tytułu wynagrodzeń</t>
  </si>
  <si>
    <t>Fundusze specjalne</t>
  </si>
  <si>
    <t>IV. Rozliczenia międzyokresowe</t>
  </si>
  <si>
    <t>Ujemna wartość firmy</t>
  </si>
  <si>
    <t>Inne rozliczenia międzyokresowe długoterminowe</t>
  </si>
  <si>
    <t>Inne rozliczenia międzyokresowe krótkoterminowe</t>
  </si>
  <si>
    <t>Pasywa razem</t>
  </si>
  <si>
    <t>RACHUNEK ZYSKÓW I STRAT (wersja kalkulacyjna)</t>
  </si>
  <si>
    <t xml:space="preserve">A. Przychody netto ze sprzedaży produktów, </t>
  </si>
  <si>
    <t xml:space="preserve">    towarów i materiałów, w tym:</t>
  </si>
  <si>
    <t>– od jednostek powiązanych</t>
  </si>
  <si>
    <t>Przychody netto ze sprzedaży produktów</t>
  </si>
  <si>
    <t>Przychody netto ze sprzedaży towarów i materiałów</t>
  </si>
  <si>
    <t>B. Koszty sprzedanych produktów, towarów i materiałów, w tym:</t>
  </si>
  <si>
    <t>– jednostkom powiązanym</t>
  </si>
  <si>
    <t>Wartość sprzedanych towarów i materiałów</t>
  </si>
  <si>
    <t>C. Zysk (strata) brutto ze sprzedaży (A–B)</t>
  </si>
  <si>
    <t>F. Zysk (strata) ze sprzedaży (C–D–E)</t>
  </si>
  <si>
    <t>Zysk ze zbycia niefinansowych aktywów trwałych</t>
  </si>
  <si>
    <t>Inne przychody operacyjne</t>
  </si>
  <si>
    <t>Strata ze zbycia niefinansowych aktywów trwałych</t>
  </si>
  <si>
    <t>Aktualizacja wartości aktywów niefinansowych</t>
  </si>
  <si>
    <t>Inne koszty operacyjne</t>
  </si>
  <si>
    <t>l. Zysk (strata) z działalności operacyjnej (F+G–H)</t>
  </si>
  <si>
    <t>Dywidendy i udziały w zyskach, w tym:</t>
  </si>
  <si>
    <t>Odsetki, w tym:</t>
  </si>
  <si>
    <t>Zysk ze zbycia inwestycji</t>
  </si>
  <si>
    <t>Aktualizacja wartości inwestycji</t>
  </si>
  <si>
    <t>Inne</t>
  </si>
  <si>
    <t>– dla jednostek powiązanych</t>
  </si>
  <si>
    <t>Strata ze zbycia inwestycji</t>
  </si>
  <si>
    <t>L. Zysk (strata) z działalności gospodarczej (I+J–K)</t>
  </si>
  <si>
    <t xml:space="preserve">M. Wynik zdarzeń nadzwyczajnych </t>
  </si>
  <si>
    <t>Zyski nadzwyczajne</t>
  </si>
  <si>
    <t>Straty nadzwyczajne</t>
  </si>
  <si>
    <t>N. Zysk (strata) brutto (L±M)</t>
  </si>
  <si>
    <t>O. Podatek dochodowy</t>
  </si>
  <si>
    <t>P. Pozostałe obowiązkowe zmniejszenia zysku (zwiększenia straty)</t>
  </si>
  <si>
    <t>R. Zysk (strata) netto (N–O–P)</t>
  </si>
  <si>
    <t>RACHUNEK PRZEPŁYWÓW PIENIĘŻNYCH</t>
  </si>
  <si>
    <t>A. Przepływy środków pieniężnych z działalności operacyjnej</t>
  </si>
  <si>
    <t>l. Zysk (strata) netto</t>
  </si>
  <si>
    <t>II. Korekty razem</t>
  </si>
  <si>
    <t>Zyski (straty) z tytułu różnic kursowych</t>
  </si>
  <si>
    <t>Odsetki i udziały w zyskach (dywidendy)</t>
  </si>
  <si>
    <t>Zysk (strata) z działalności inwestycyjnej</t>
  </si>
  <si>
    <t>Zmiana stanu rezerw</t>
  </si>
  <si>
    <t>Zmiana stanu należności</t>
  </si>
  <si>
    <t>Zmiana stanu zobowiązań krótkoterminowych, z wyjątkiem pożyczek i kredytów</t>
  </si>
  <si>
    <t>Inne korekty</t>
  </si>
  <si>
    <t>III. Przepływy pieniężne netto z działalności operacyjnej (l±ll)</t>
  </si>
  <si>
    <t>B. Przepływy środków pieniężnych z działalności inwestycyjnej</t>
  </si>
  <si>
    <t>l. Wpływy</t>
  </si>
  <si>
    <t>Zbycie wartości niematerialnych i prawnych oraz rzeczowych aktywów trwałych</t>
  </si>
  <si>
    <t>Zbycie inwestycji w nieruchomości oraz wartości niematerialne i prawne</t>
  </si>
  <si>
    <t>Z aktywów finansowych, w tym:</t>
  </si>
  <si>
    <t>w jednostkach powiązanych</t>
  </si>
  <si>
    <t>w pozostałych jednostkach</t>
  </si>
  <si>
    <t>– zbycie aktywów finansowych</t>
  </si>
  <si>
    <t>– dywidendy i udziały w zyskach</t>
  </si>
  <si>
    <t>– spłata udzielonych pożyczek długoterminowych</t>
  </si>
  <si>
    <t>– odsetki</t>
  </si>
  <si>
    <t>– inne wpływy z aktywów finansowych</t>
  </si>
  <si>
    <t>Inne wpływy inwestycyjne</t>
  </si>
  <si>
    <t>II. Wydatki</t>
  </si>
  <si>
    <t>Nabycie wartości niematerialnych i prawnych oraz rzeczowych aktywów trwałych</t>
  </si>
  <si>
    <t>Inwestycje w nieruchomości oraz wartości niematerialne i prawne</t>
  </si>
  <si>
    <t>Na aktywa finansowe, w tym:</t>
  </si>
  <si>
    <t>– nabycie aktywów finansowych</t>
  </si>
  <si>
    <t>– udzielone pożyczki długoterminowe</t>
  </si>
  <si>
    <t>Inne wydatki inwestycyjne</t>
  </si>
  <si>
    <t>III. Przepływy pieniężne netto z działalności inwestycyjnej (I–II)</t>
  </si>
  <si>
    <t xml:space="preserve">Wpływy netto z wydania udziałów (emisji akcji) i innych instrumentów </t>
  </si>
  <si>
    <t xml:space="preserve"> kapitałowych oraz dopłat do kapitału</t>
  </si>
  <si>
    <t>Kredyty i pożyczki</t>
  </si>
  <si>
    <t>Emisja dłużnych papierów wartościowych</t>
  </si>
  <si>
    <t>Inne wpływy finansowe</t>
  </si>
  <si>
    <t>Nabycie udziałów (akcji) własnych</t>
  </si>
  <si>
    <t>Dywidendy i inne wypłaty na rzecz właścicieli</t>
  </si>
  <si>
    <t>Inne, niż wypłaty na rzecz właścicieli, wydatki z tytułu podziału zysku</t>
  </si>
  <si>
    <t>Spłaty kredytów i pożyczek</t>
  </si>
  <si>
    <t>Wykup dłużnych papierów wartościowych</t>
  </si>
  <si>
    <t>Z tytułu innych zobowiązań finansowych</t>
  </si>
  <si>
    <t>Płatności zobowiązań z tytułu umów leasingu finansowego</t>
  </si>
  <si>
    <t>Odsetki</t>
  </si>
  <si>
    <t>Inne wydatki finansowe</t>
  </si>
  <si>
    <t>III. Przepływy pieniężne netto z działalności finansowej (l–ll)</t>
  </si>
  <si>
    <t>D. Przepływy pieniężne netto, razem (A.III±B.III±C.III)</t>
  </si>
  <si>
    <t>E. Bilansowa zmiana stanu środków pieniężnych, w tym:</t>
  </si>
  <si>
    <t>– zmiana stanu środków pieniężnych z tytułu różnic kursowych</t>
  </si>
  <si>
    <t>F. Środki pieniężne na początek okresu</t>
  </si>
  <si>
    <t>G. Środki pieniężne na koniec okresu (F±D), w tym:</t>
  </si>
  <si>
    <t>– o ograniczonej możliwości dysponowania</t>
  </si>
  <si>
    <t>Stan na 31.12.</t>
  </si>
  <si>
    <t>Tytuły wpływów/ wydatków</t>
  </si>
  <si>
    <t>Płynność</t>
  </si>
  <si>
    <t>Kapitał obrotowy w dniach obrotu</t>
  </si>
  <si>
    <t>Rentowność</t>
  </si>
  <si>
    <t>Zadłużenie</t>
  </si>
  <si>
    <t>Cykl środków pieniężnych</t>
  </si>
  <si>
    <t>Produktywność środków trwałych</t>
  </si>
  <si>
    <t>EBIT</t>
  </si>
  <si>
    <t>Wskaźnik</t>
  </si>
  <si>
    <t>Analiza bilansu</t>
  </si>
  <si>
    <t>Płynność bieżąca</t>
  </si>
  <si>
    <t>Płynność gotówkowa</t>
  </si>
  <si>
    <t>Płynność szybka</t>
  </si>
  <si>
    <t>Cykl zapasów w dniach</t>
  </si>
  <si>
    <t>Cykl należności w dniach</t>
  </si>
  <si>
    <t>Cykl zobowiązań w dniach</t>
  </si>
  <si>
    <t>Obrót aktywami</t>
  </si>
  <si>
    <t>Rotacja środków trwałych</t>
  </si>
  <si>
    <t>Rotacja aktywów obrotowych</t>
  </si>
  <si>
    <t>Rotacja środków płynnych</t>
  </si>
  <si>
    <t>Sprawność działania</t>
  </si>
  <si>
    <t>Pokrycie obsługi długu I</t>
  </si>
  <si>
    <t>Pokrycie obsługi długu II</t>
  </si>
  <si>
    <t>Pokrycie zobowiązań odsetkowych</t>
  </si>
  <si>
    <t>Pokrycie obsługi kredytu z cash flow</t>
  </si>
  <si>
    <t>Metody dyskryminacyjne</t>
  </si>
  <si>
    <t>Analiza wskaźnikowa</t>
  </si>
  <si>
    <t>Model Hołdy</t>
  </si>
  <si>
    <t>Model Gajdki i Stosa</t>
  </si>
  <si>
    <t>Z (wartość graniczna 0)</t>
  </si>
  <si>
    <t>Z (wartośc graniczna 0,45)</t>
  </si>
  <si>
    <t>Złota reguła bilansa %</t>
  </si>
  <si>
    <t>Srebrna reguła bilansowa %</t>
  </si>
  <si>
    <t>Rentowność sprzedaży netto %</t>
  </si>
  <si>
    <t>Rentowność majątku %</t>
  </si>
  <si>
    <t>Rentowność kapitału %</t>
  </si>
  <si>
    <t>Zadłużenie długoterminowe</t>
  </si>
  <si>
    <t>Zadłużenie ogółem</t>
  </si>
  <si>
    <t>Zadłużenie kapitału własnego</t>
  </si>
  <si>
    <r>
      <t>Podstawowy wskaźnik struktury aktywów (</t>
    </r>
    <r>
      <rPr>
        <i/>
        <sz val="8"/>
        <rFont val="Times New Roman"/>
        <family val="1"/>
      </rPr>
      <t>A</t>
    </r>
    <r>
      <rPr>
        <sz val="8"/>
        <rFont val="Times New Roman"/>
        <family val="1"/>
      </rPr>
      <t>) %</t>
    </r>
  </si>
  <si>
    <r>
      <t>Podstawowy wskaźnik struktury pasywów (</t>
    </r>
    <r>
      <rPr>
        <i/>
        <sz val="8"/>
        <rFont val="Times New Roman"/>
        <family val="1"/>
      </rPr>
      <t>B</t>
    </r>
    <r>
      <rPr>
        <sz val="8"/>
        <rFont val="Times New Roman"/>
        <family val="1"/>
      </rPr>
      <t>) %</t>
    </r>
  </si>
  <si>
    <r>
      <t>X</t>
    </r>
    <r>
      <rPr>
        <i/>
        <vertAlign val="subscript"/>
        <sz val="8"/>
        <rFont val="Times New Roman CE"/>
        <family val="1"/>
        <charset val="238"/>
      </rPr>
      <t>1</t>
    </r>
  </si>
  <si>
    <r>
      <t>X</t>
    </r>
    <r>
      <rPr>
        <i/>
        <vertAlign val="subscript"/>
        <sz val="8"/>
        <rFont val="Times New Roman CE"/>
        <family val="1"/>
        <charset val="238"/>
      </rPr>
      <t>2</t>
    </r>
    <r>
      <rPr>
        <sz val="10"/>
        <rFont val="Courier New CE"/>
        <charset val="238"/>
      </rPr>
      <t/>
    </r>
  </si>
  <si>
    <r>
      <t>X</t>
    </r>
    <r>
      <rPr>
        <i/>
        <vertAlign val="subscript"/>
        <sz val="8"/>
        <rFont val="Times New Roman CE"/>
        <family val="1"/>
        <charset val="238"/>
      </rPr>
      <t>3</t>
    </r>
    <r>
      <rPr>
        <sz val="10"/>
        <rFont val="Courier New CE"/>
        <charset val="238"/>
      </rPr>
      <t/>
    </r>
  </si>
  <si>
    <r>
      <t>X</t>
    </r>
    <r>
      <rPr>
        <i/>
        <vertAlign val="subscript"/>
        <sz val="8"/>
        <rFont val="Times New Roman CE"/>
        <family val="1"/>
        <charset val="238"/>
      </rPr>
      <t>4</t>
    </r>
    <r>
      <rPr>
        <sz val="10"/>
        <rFont val="Courier New CE"/>
        <charset val="238"/>
      </rPr>
      <t/>
    </r>
  </si>
  <si>
    <r>
      <t>X</t>
    </r>
    <r>
      <rPr>
        <i/>
        <vertAlign val="subscript"/>
        <sz val="8"/>
        <rFont val="Times New Roman CE"/>
        <family val="1"/>
        <charset val="238"/>
      </rPr>
      <t>5</t>
    </r>
    <r>
      <rPr>
        <sz val="10"/>
        <rFont val="Courier New CE"/>
        <charset val="238"/>
      </rPr>
      <t/>
    </r>
  </si>
  <si>
    <t>2012/2011</t>
  </si>
  <si>
    <t>2013/2012</t>
  </si>
  <si>
    <t>2014/2013</t>
  </si>
  <si>
    <t>2015/2014</t>
  </si>
  <si>
    <t>2016/2015</t>
  </si>
  <si>
    <t>ROK</t>
  </si>
  <si>
    <t>A. Przychody netto ze sprzedaży produktów, towarów i materiałów, w tym:</t>
  </si>
  <si>
    <t>B. Koszty sprzedanych produktów, towarów i materiałów:</t>
  </si>
  <si>
    <t>KREDYT W WALUCIE [ZŁ]</t>
  </si>
  <si>
    <t>ZAKUP MATERIAŁÓW</t>
  </si>
  <si>
    <t>REKLAMA</t>
  </si>
  <si>
    <t>projekty</t>
  </si>
  <si>
    <t xml:space="preserve">Przychody netto ze sprzedazy </t>
  </si>
  <si>
    <t>Koszt wyworzenia sprzedanych produktów</t>
  </si>
  <si>
    <t xml:space="preserve">Amortyzacja mebli </t>
  </si>
  <si>
    <t>Amortyzacja routerów</t>
  </si>
  <si>
    <t>amortyzacja od 1.01.2013</t>
  </si>
  <si>
    <t>stawka 7%</t>
  </si>
  <si>
    <t xml:space="preserve">ODSETKI </t>
  </si>
  <si>
    <t xml:space="preserve">REKLAMA I PROJEKTY </t>
  </si>
  <si>
    <t>WARTOŚĆ</t>
  </si>
  <si>
    <t>Zaliczki na wartości niematerialne i prawne (WN w budowie)</t>
  </si>
  <si>
    <t>grunty (w tym prawo użytkowania wieczystego gruntu) łącznie z budynkami i budowlami</t>
  </si>
  <si>
    <t>Kapitał (fundusz) zapasowy (+kapitał z emisji akcji pow. Wartości nominalnej + inne składniki kapitału)</t>
  </si>
  <si>
    <t>Inne korekty (zapłacony podatek dochodowy)</t>
  </si>
</sst>
</file>

<file path=xl/styles.xml><?xml version="1.0" encoding="utf-8"?>
<styleSheet xmlns="http://schemas.openxmlformats.org/spreadsheetml/2006/main">
  <numFmts count="4">
    <numFmt numFmtId="44" formatCode="_-* #,##0.00\ &quot;zł&quot;_-;\-* #,##0.00\ &quot;zł&quot;_-;_-* &quot;-&quot;??\ &quot;zł&quot;_-;_-@_-"/>
    <numFmt numFmtId="164" formatCode="0.0%"/>
    <numFmt numFmtId="165" formatCode="#.00,"/>
    <numFmt numFmtId="166" formatCode="#,##0.00;\-\ #,##0.00;* @_-_-_-_-"/>
  </numFmts>
  <fonts count="33">
    <font>
      <sz val="10"/>
      <name val="Courier New CE"/>
      <charset val="238"/>
    </font>
    <font>
      <sz val="8"/>
      <name val="Times New Roman CE"/>
      <family val="1"/>
      <charset val="238"/>
    </font>
    <font>
      <b/>
      <sz val="8"/>
      <name val="Times New Roman CE"/>
      <family val="1"/>
      <charset val="238"/>
    </font>
    <font>
      <sz val="8"/>
      <color indexed="10"/>
      <name val="Times New Roman CE"/>
      <family val="1"/>
      <charset val="238"/>
    </font>
    <font>
      <b/>
      <sz val="8"/>
      <name val="Times New Roman"/>
      <family val="1"/>
    </font>
    <font>
      <sz val="8"/>
      <name val="Times New Roman"/>
      <family val="1"/>
    </font>
    <font>
      <b/>
      <sz val="8"/>
      <color indexed="10"/>
      <name val="Times New Roman CE"/>
      <family val="1"/>
      <charset val="238"/>
    </font>
    <font>
      <b/>
      <sz val="8"/>
      <color indexed="10"/>
      <name val="Times New Roman"/>
      <family val="1"/>
    </font>
    <font>
      <b/>
      <i/>
      <sz val="8"/>
      <name val="Times New Roman"/>
      <family val="1"/>
    </font>
    <font>
      <sz val="8"/>
      <name val="Courier New CE"/>
      <charset val="238"/>
    </font>
    <font>
      <b/>
      <i/>
      <sz val="8"/>
      <name val="Times New Roman CE"/>
      <family val="1"/>
      <charset val="238"/>
    </font>
    <font>
      <i/>
      <sz val="8"/>
      <name val="Times New Roman"/>
      <family val="1"/>
    </font>
    <font>
      <i/>
      <sz val="8"/>
      <name val="Times New Roman CE"/>
      <family val="1"/>
      <charset val="238"/>
    </font>
    <font>
      <i/>
      <vertAlign val="subscript"/>
      <sz val="8"/>
      <name val="Times New Roman CE"/>
      <family val="1"/>
      <charset val="238"/>
    </font>
    <font>
      <i/>
      <sz val="8"/>
      <color indexed="48"/>
      <name val="Times New Roman CE"/>
      <family val="1"/>
      <charset val="238"/>
    </font>
    <font>
      <i/>
      <sz val="8"/>
      <color indexed="12"/>
      <name val="Times New Roman CE"/>
      <family val="1"/>
      <charset val="238"/>
    </font>
    <font>
      <sz val="8"/>
      <name val="Times New Roman"/>
      <family val="1"/>
      <charset val="238"/>
    </font>
    <font>
      <sz val="10"/>
      <name val="Courier New CE"/>
      <charset val="238"/>
    </font>
    <font>
      <sz val="18"/>
      <name val="Arial"/>
      <family val="2"/>
      <charset val="238"/>
    </font>
    <font>
      <b/>
      <sz val="7"/>
      <color rgb="FF000000"/>
      <name val="Arial"/>
      <family val="2"/>
      <charset val="238"/>
    </font>
    <font>
      <sz val="5"/>
      <color rgb="FF000000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7.5"/>
      <color rgb="FF000000"/>
      <name val="Times New Roman"/>
      <family val="1"/>
      <charset val="238"/>
    </font>
    <font>
      <sz val="7.5"/>
      <color rgb="FF000000"/>
      <name val="Times New Roman"/>
      <family val="1"/>
      <charset val="238"/>
    </font>
    <font>
      <sz val="9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b/>
      <sz val="8"/>
      <name val="Times New Roman"/>
      <family val="1"/>
      <charset val="238"/>
    </font>
    <font>
      <sz val="7"/>
      <color rgb="FF000000"/>
      <name val="Arial"/>
      <family val="2"/>
      <charset val="238"/>
    </font>
    <font>
      <sz val="8"/>
      <name val="Calibri"/>
      <family val="2"/>
      <charset val="238"/>
      <scheme val="minor"/>
    </font>
    <font>
      <sz val="7"/>
      <name val="Calibri"/>
      <family val="2"/>
      <charset val="238"/>
      <scheme val="minor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11"/>
      <color theme="1"/>
      <name val="Czcionka tekstu podstawowego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BEF83"/>
        <bgColor indexed="64"/>
      </patternFill>
    </fill>
    <fill>
      <patternFill patternType="solid">
        <fgColor rgb="FFD6D34D"/>
        <bgColor indexed="64"/>
      </patternFill>
    </fill>
    <fill>
      <patternFill patternType="solid">
        <fgColor rgb="FFDC3C9B"/>
        <bgColor indexed="64"/>
      </patternFill>
    </fill>
    <fill>
      <patternFill patternType="solid">
        <fgColor rgb="FFF2F2F2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</borders>
  <cellStyleXfs count="3">
    <xf numFmtId="0" fontId="0" fillId="0" borderId="0"/>
    <xf numFmtId="44" fontId="17" fillId="0" borderId="0" applyFont="0" applyFill="0" applyBorder="0" applyAlignment="0" applyProtection="0"/>
    <xf numFmtId="0" fontId="32" fillId="0" borderId="0"/>
  </cellStyleXfs>
  <cellXfs count="244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Fill="1" applyBorder="1" applyAlignment="1" applyProtection="1">
      <alignment horizontal="left"/>
      <protection locked="0"/>
    </xf>
    <xf numFmtId="3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Border="1"/>
    <xf numFmtId="165" fontId="4" fillId="0" borderId="0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Fill="1" applyBorder="1" applyAlignment="1"/>
    <xf numFmtId="165" fontId="4" fillId="0" borderId="2" xfId="0" applyNumberFormat="1" applyFont="1" applyFill="1" applyBorder="1" applyAlignment="1" applyProtection="1">
      <alignment horizontal="right"/>
      <protection locked="0"/>
    </xf>
    <xf numFmtId="164" fontId="4" fillId="0" borderId="2" xfId="0" applyNumberFormat="1" applyFont="1" applyFill="1" applyBorder="1" applyAlignment="1" applyProtection="1">
      <alignment horizontal="right"/>
      <protection locked="0"/>
    </xf>
    <xf numFmtId="166" fontId="5" fillId="0" borderId="0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</xf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 applyBorder="1" applyAlignment="1">
      <alignment horizontal="right"/>
    </xf>
    <xf numFmtId="4" fontId="4" fillId="0" borderId="4" xfId="0" applyNumberFormat="1" applyFont="1" applyFill="1" applyBorder="1" applyAlignment="1"/>
    <xf numFmtId="4" fontId="4" fillId="0" borderId="0" xfId="0" applyNumberFormat="1" applyFont="1" applyFill="1" applyBorder="1" applyAlignment="1"/>
    <xf numFmtId="4" fontId="5" fillId="0" borderId="4" xfId="0" applyNumberFormat="1" applyFont="1" applyFill="1" applyBorder="1" applyAlignment="1" applyProtection="1">
      <alignment horizontal="right"/>
      <protection locked="0"/>
    </xf>
    <xf numFmtId="4" fontId="5" fillId="0" borderId="0" xfId="0" applyNumberFormat="1" applyFont="1" applyFill="1" applyBorder="1" applyAlignment="1"/>
    <xf numFmtId="4" fontId="5" fillId="0" borderId="0" xfId="0" applyNumberFormat="1" applyFont="1" applyFill="1" applyBorder="1"/>
    <xf numFmtId="4" fontId="2" fillId="0" borderId="4" xfId="0" applyNumberFormat="1" applyFont="1" applyFill="1" applyBorder="1" applyAlignment="1"/>
    <xf numFmtId="4" fontId="2" fillId="0" borderId="0" xfId="0" applyNumberFormat="1" applyFont="1" applyFill="1" applyBorder="1" applyAlignment="1"/>
    <xf numFmtId="4" fontId="5" fillId="0" borderId="4" xfId="0" applyNumberFormat="1" applyFont="1" applyFill="1" applyBorder="1" applyAlignment="1"/>
    <xf numFmtId="4" fontId="5" fillId="0" borderId="4" xfId="0" applyNumberFormat="1" applyFont="1" applyFill="1" applyBorder="1"/>
    <xf numFmtId="4" fontId="5" fillId="0" borderId="0" xfId="0" applyNumberFormat="1" applyFont="1" applyFill="1" applyBorder="1" applyAlignment="1" applyProtection="1">
      <alignment horizontal="right"/>
      <protection locked="0"/>
    </xf>
    <xf numFmtId="4" fontId="4" fillId="0" borderId="4" xfId="0" applyNumberFormat="1" applyFont="1" applyFill="1" applyBorder="1" applyAlignment="1" applyProtection="1">
      <alignment horizontal="right"/>
      <protection locked="0"/>
    </xf>
    <xf numFmtId="4" fontId="4" fillId="0" borderId="0" xfId="0" applyNumberFormat="1" applyFont="1" applyFill="1" applyBorder="1" applyAlignment="1" applyProtection="1">
      <alignment horizontal="right"/>
      <protection locked="0"/>
    </xf>
    <xf numFmtId="4" fontId="4" fillId="0" borderId="5" xfId="0" applyNumberFormat="1" applyFont="1" applyFill="1" applyBorder="1" applyAlignment="1" applyProtection="1">
      <alignment horizontal="right"/>
      <protection locked="0"/>
    </xf>
    <xf numFmtId="4" fontId="4" fillId="0" borderId="3" xfId="0" applyNumberFormat="1" applyFont="1" applyFill="1" applyBorder="1" applyAlignment="1" applyProtection="1">
      <alignment horizontal="right"/>
      <protection locked="0"/>
    </xf>
    <xf numFmtId="4" fontId="4" fillId="0" borderId="4" xfId="0" applyNumberFormat="1" applyFont="1" applyFill="1" applyBorder="1"/>
    <xf numFmtId="4" fontId="4" fillId="0" borderId="0" xfId="0" applyNumberFormat="1" applyFont="1" applyFill="1" applyBorder="1"/>
    <xf numFmtId="4" fontId="4" fillId="0" borderId="5" xfId="0" applyNumberFormat="1" applyFont="1" applyFill="1" applyBorder="1"/>
    <xf numFmtId="4" fontId="4" fillId="0" borderId="3" xfId="0" applyNumberFormat="1" applyFont="1" applyFill="1" applyBorder="1"/>
    <xf numFmtId="2" fontId="5" fillId="0" borderId="0" xfId="0" applyNumberFormat="1" applyFont="1" applyFill="1" applyBorder="1" applyAlignment="1"/>
    <xf numFmtId="2" fontId="7" fillId="0" borderId="0" xfId="0" applyNumberFormat="1" applyFont="1" applyFill="1" applyBorder="1"/>
    <xf numFmtId="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0" fontId="4" fillId="0" borderId="6" xfId="0" applyNumberFormat="1" applyFont="1" applyFill="1" applyBorder="1"/>
    <xf numFmtId="10" fontId="4" fillId="0" borderId="0" xfId="0" applyNumberFormat="1" applyFont="1" applyFill="1" applyBorder="1"/>
    <xf numFmtId="10" fontId="4" fillId="0" borderId="7" xfId="0" applyNumberFormat="1" applyFont="1" applyFill="1" applyBorder="1"/>
    <xf numFmtId="10" fontId="5" fillId="0" borderId="4" xfId="0" applyNumberFormat="1" applyFont="1" applyFill="1" applyBorder="1"/>
    <xf numFmtId="10" fontId="5" fillId="0" borderId="0" xfId="0" applyNumberFormat="1" applyFont="1" applyFill="1" applyBorder="1"/>
    <xf numFmtId="10" fontId="5" fillId="0" borderId="8" xfId="0" applyNumberFormat="1" applyFont="1" applyFill="1" applyBorder="1"/>
    <xf numFmtId="10" fontId="4" fillId="0" borderId="4" xfId="0" applyNumberFormat="1" applyFont="1" applyFill="1" applyBorder="1"/>
    <xf numFmtId="10" fontId="4" fillId="0" borderId="8" xfId="0" applyNumberFormat="1" applyFont="1" applyFill="1" applyBorder="1"/>
    <xf numFmtId="10" fontId="4" fillId="0" borderId="5" xfId="0" applyNumberFormat="1" applyFont="1" applyFill="1" applyBorder="1"/>
    <xf numFmtId="10" fontId="4" fillId="0" borderId="3" xfId="0" applyNumberFormat="1" applyFont="1" applyFill="1" applyBorder="1"/>
    <xf numFmtId="10" fontId="4" fillId="0" borderId="9" xfId="0" applyNumberFormat="1" applyFont="1" applyFill="1" applyBorder="1"/>
    <xf numFmtId="10" fontId="4" fillId="0" borderId="10" xfId="0" applyNumberFormat="1" applyFont="1" applyFill="1" applyBorder="1"/>
    <xf numFmtId="10" fontId="2" fillId="0" borderId="4" xfId="0" applyNumberFormat="1" applyFont="1" applyFill="1" applyBorder="1"/>
    <xf numFmtId="10" fontId="2" fillId="0" borderId="0" xfId="0" applyNumberFormat="1" applyFont="1" applyFill="1" applyBorder="1"/>
    <xf numFmtId="10" fontId="4" fillId="0" borderId="5" xfId="0" applyNumberFormat="1" applyFont="1" applyFill="1" applyBorder="1" applyAlignment="1" applyProtection="1">
      <alignment horizontal="right"/>
      <protection locked="0"/>
    </xf>
    <xf numFmtId="10" fontId="4" fillId="0" borderId="3" xfId="0" applyNumberFormat="1" applyFont="1" applyFill="1" applyBorder="1" applyAlignment="1" applyProtection="1">
      <alignment horizontal="right"/>
      <protection locked="0"/>
    </xf>
    <xf numFmtId="0" fontId="4" fillId="0" borderId="11" xfId="0" applyFont="1" applyFill="1" applyBorder="1" applyAlignment="1" applyProtection="1">
      <alignment horizontal="left"/>
      <protection locked="0"/>
    </xf>
    <xf numFmtId="0" fontId="4" fillId="0" borderId="11" xfId="0" applyNumberFormat="1" applyFont="1" applyFill="1" applyBorder="1" applyAlignment="1" applyProtection="1">
      <alignment horizontal="left"/>
      <protection locked="0"/>
    </xf>
    <xf numFmtId="0" fontId="5" fillId="0" borderId="11" xfId="0" applyFont="1" applyFill="1" applyBorder="1" applyAlignment="1"/>
    <xf numFmtId="0" fontId="2" fillId="0" borderId="11" xfId="0" applyNumberFormat="1" applyFont="1" applyFill="1" applyBorder="1" applyAlignment="1" applyProtection="1">
      <alignment horizontal="left"/>
      <protection locked="0"/>
    </xf>
    <xf numFmtId="0" fontId="5" fillId="0" borderId="11" xfId="0" applyFont="1" applyFill="1" applyBorder="1" applyAlignment="1">
      <alignment horizontal="left" indent="1"/>
    </xf>
    <xf numFmtId="0" fontId="4" fillId="0" borderId="11" xfId="0" applyFont="1" applyFill="1" applyBorder="1" applyAlignment="1"/>
    <xf numFmtId="0" fontId="4" fillId="0" borderId="12" xfId="0" applyFont="1" applyFill="1" applyBorder="1" applyAlignment="1" applyProtection="1">
      <alignment horizontal="left"/>
      <protection locked="0"/>
    </xf>
    <xf numFmtId="4" fontId="4" fillId="0" borderId="8" xfId="0" applyNumberFormat="1" applyFont="1" applyFill="1" applyBorder="1" applyAlignment="1"/>
    <xf numFmtId="4" fontId="5" fillId="0" borderId="8" xfId="0" applyNumberFormat="1" applyFont="1" applyFill="1" applyBorder="1"/>
    <xf numFmtId="4" fontId="4" fillId="0" borderId="8" xfId="0" applyNumberFormat="1" applyFont="1" applyFill="1" applyBorder="1" applyAlignment="1" applyProtection="1">
      <alignment horizontal="right"/>
      <protection locked="0"/>
    </xf>
    <xf numFmtId="4" fontId="4" fillId="0" borderId="8" xfId="0" applyNumberFormat="1" applyFont="1" applyFill="1" applyBorder="1"/>
    <xf numFmtId="4" fontId="4" fillId="0" borderId="9" xfId="0" applyNumberFormat="1" applyFont="1" applyFill="1" applyBorder="1" applyAlignment="1" applyProtection="1">
      <alignment horizontal="right"/>
      <protection locked="0"/>
    </xf>
    <xf numFmtId="4" fontId="8" fillId="0" borderId="0" xfId="0" applyNumberFormat="1" applyFont="1" applyFill="1" applyBorder="1"/>
    <xf numFmtId="0" fontId="4" fillId="0" borderId="4" xfId="0" applyFont="1" applyFill="1" applyBorder="1" applyAlignment="1" applyProtection="1">
      <alignment horizontal="left" vertical="center"/>
    </xf>
    <xf numFmtId="0" fontId="4" fillId="0" borderId="4" xfId="0" applyFont="1" applyFill="1" applyBorder="1"/>
    <xf numFmtId="0" fontId="5" fillId="0" borderId="4" xfId="0" applyFont="1" applyFill="1" applyBorder="1"/>
    <xf numFmtId="0" fontId="5" fillId="0" borderId="4" xfId="0" applyFont="1" applyFill="1" applyBorder="1" applyAlignment="1">
      <alignment horizontal="left" indent="1"/>
    </xf>
    <xf numFmtId="0" fontId="5" fillId="0" borderId="4" xfId="0" applyFont="1" applyFill="1" applyBorder="1" applyAlignment="1">
      <alignment vertical="top"/>
    </xf>
    <xf numFmtId="0" fontId="5" fillId="0" borderId="5" xfId="0" applyFont="1" applyFill="1" applyBorder="1"/>
    <xf numFmtId="4" fontId="5" fillId="0" borderId="3" xfId="0" applyNumberFormat="1" applyFont="1" applyFill="1" applyBorder="1"/>
    <xf numFmtId="0" fontId="4" fillId="0" borderId="0" xfId="0" applyFont="1" applyFill="1" applyBorder="1" applyAlignment="1">
      <alignment horizontal="center"/>
    </xf>
    <xf numFmtId="4" fontId="4" fillId="0" borderId="7" xfId="0" applyNumberFormat="1" applyFont="1" applyFill="1" applyBorder="1" applyAlignment="1" applyProtection="1">
      <alignment horizontal="right"/>
      <protection locked="0"/>
    </xf>
    <xf numFmtId="0" fontId="5" fillId="0" borderId="10" xfId="0" applyFont="1" applyFill="1" applyBorder="1"/>
    <xf numFmtId="0" fontId="0" fillId="0" borderId="8" xfId="0" applyBorder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2" fontId="1" fillId="0" borderId="0" xfId="0" applyNumberFormat="1" applyFon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1" xfId="0" quotePrefix="1" applyFont="1" applyBorder="1" applyAlignment="1">
      <alignment horizontal="left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3" fontId="1" fillId="0" borderId="1" xfId="0" applyNumberFormat="1" applyFont="1" applyBorder="1"/>
    <xf numFmtId="0" fontId="1" fillId="0" borderId="1" xfId="0" applyFont="1" applyBorder="1"/>
    <xf numFmtId="0" fontId="9" fillId="0" borderId="0" xfId="0" applyFont="1" applyBorder="1"/>
    <xf numFmtId="0" fontId="1" fillId="0" borderId="0" xfId="0" quotePrefix="1" applyFont="1" applyBorder="1" applyAlignment="1">
      <alignment horizontal="left"/>
    </xf>
    <xf numFmtId="4" fontId="1" fillId="0" borderId="0" xfId="0" applyNumberFormat="1" applyFont="1" applyBorder="1"/>
    <xf numFmtId="0" fontId="12" fillId="0" borderId="1" xfId="0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" fillId="0" borderId="0" xfId="0" applyFont="1" applyBorder="1"/>
    <xf numFmtId="4" fontId="14" fillId="0" borderId="1" xfId="0" applyNumberFormat="1" applyFont="1" applyBorder="1" applyAlignment="1">
      <alignment horizontal="center"/>
    </xf>
    <xf numFmtId="2" fontId="10" fillId="0" borderId="1" xfId="0" quotePrefix="1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right"/>
    </xf>
    <xf numFmtId="2" fontId="5" fillId="0" borderId="0" xfId="0" applyNumberFormat="1" applyFont="1" applyFill="1" applyBorder="1"/>
    <xf numFmtId="4" fontId="16" fillId="0" borderId="4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Fill="1" applyBorder="1" applyAlignment="1"/>
    <xf numFmtId="0" fontId="2" fillId="0" borderId="1" xfId="0" applyFont="1" applyBorder="1" applyAlignment="1">
      <alignment horizontal="center"/>
    </xf>
    <xf numFmtId="0" fontId="24" fillId="0" borderId="1" xfId="0" applyFont="1" applyBorder="1" applyAlignment="1">
      <alignment horizontal="right"/>
    </xf>
    <xf numFmtId="44" fontId="24" fillId="0" borderId="1" xfId="0" applyNumberFormat="1" applyFont="1" applyBorder="1" applyAlignment="1">
      <alignment horizontal="right"/>
    </xf>
    <xf numFmtId="0" fontId="25" fillId="0" borderId="1" xfId="0" applyFont="1" applyBorder="1" applyAlignment="1">
      <alignment horizontal="right" wrapText="1"/>
    </xf>
    <xf numFmtId="10" fontId="5" fillId="2" borderId="0" xfId="0" applyNumberFormat="1" applyFont="1" applyFill="1" applyBorder="1"/>
    <xf numFmtId="10" fontId="26" fillId="3" borderId="0" xfId="0" applyNumberFormat="1" applyFont="1" applyFill="1" applyBorder="1"/>
    <xf numFmtId="10" fontId="5" fillId="3" borderId="0" xfId="0" applyNumberFormat="1" applyFont="1" applyFill="1" applyBorder="1"/>
    <xf numFmtId="4" fontId="5" fillId="3" borderId="0" xfId="0" applyNumberFormat="1" applyFont="1" applyFill="1" applyBorder="1"/>
    <xf numFmtId="44" fontId="5" fillId="0" borderId="0" xfId="1" applyFont="1" applyFill="1" applyBorder="1"/>
    <xf numFmtId="4" fontId="5" fillId="2" borderId="0" xfId="0" applyNumberFormat="1" applyFont="1" applyFill="1" applyBorder="1"/>
    <xf numFmtId="44" fontId="5" fillId="0" borderId="0" xfId="0" applyNumberFormat="1" applyFont="1" applyFill="1" applyBorder="1"/>
    <xf numFmtId="4" fontId="7" fillId="0" borderId="0" xfId="0" applyNumberFormat="1" applyFont="1" applyFill="1" applyBorder="1"/>
    <xf numFmtId="4" fontId="7" fillId="0" borderId="13" xfId="0" applyNumberFormat="1" applyFont="1" applyFill="1" applyBorder="1"/>
    <xf numFmtId="4" fontId="5" fillId="8" borderId="0" xfId="0" applyNumberFormat="1" applyFont="1" applyFill="1" applyBorder="1"/>
    <xf numFmtId="4" fontId="1" fillId="4" borderId="0" xfId="0" applyNumberFormat="1" applyFont="1" applyFill="1" applyBorder="1"/>
    <xf numFmtId="0" fontId="4" fillId="0" borderId="16" xfId="0" applyFont="1" applyFill="1" applyBorder="1" applyAlignment="1">
      <alignment horizontal="center"/>
    </xf>
    <xf numFmtId="4" fontId="4" fillId="0" borderId="16" xfId="0" applyNumberFormat="1" applyFont="1" applyFill="1" applyBorder="1" applyAlignment="1"/>
    <xf numFmtId="4" fontId="5" fillId="0" borderId="16" xfId="0" applyNumberFormat="1" applyFont="1" applyFill="1" applyBorder="1" applyAlignment="1" applyProtection="1">
      <alignment horizontal="right"/>
      <protection locked="0"/>
    </xf>
    <xf numFmtId="4" fontId="5" fillId="0" borderId="16" xfId="0" applyNumberFormat="1" applyFont="1" applyFill="1" applyBorder="1" applyAlignment="1"/>
    <xf numFmtId="4" fontId="5" fillId="0" borderId="16" xfId="0" applyNumberFormat="1" applyFont="1" applyFill="1" applyBorder="1"/>
    <xf numFmtId="4" fontId="5" fillId="5" borderId="16" xfId="0" applyNumberFormat="1" applyFont="1" applyFill="1" applyBorder="1" applyAlignment="1"/>
    <xf numFmtId="4" fontId="5" fillId="5" borderId="16" xfId="0" applyNumberFormat="1" applyFont="1" applyFill="1" applyBorder="1"/>
    <xf numFmtId="4" fontId="4" fillId="0" borderId="16" xfId="0" applyNumberFormat="1" applyFont="1" applyFill="1" applyBorder="1" applyAlignment="1" applyProtection="1">
      <alignment horizontal="right"/>
      <protection locked="0"/>
    </xf>
    <xf numFmtId="4" fontId="5" fillId="3" borderId="16" xfId="0" applyNumberFormat="1" applyFont="1" applyFill="1" applyBorder="1" applyAlignment="1" applyProtection="1">
      <alignment horizontal="right"/>
      <protection locked="0"/>
    </xf>
    <xf numFmtId="4" fontId="4" fillId="0" borderId="16" xfId="0" applyNumberFormat="1" applyFont="1" applyFill="1" applyBorder="1"/>
    <xf numFmtId="44" fontId="28" fillId="0" borderId="0" xfId="1" applyFont="1" applyFill="1" applyBorder="1"/>
    <xf numFmtId="0" fontId="28" fillId="0" borderId="0" xfId="0" applyFont="1" applyFill="1" applyBorder="1"/>
    <xf numFmtId="44" fontId="28" fillId="0" borderId="0" xfId="0" applyNumberFormat="1" applyFont="1" applyFill="1" applyBorder="1"/>
    <xf numFmtId="4" fontId="5" fillId="3" borderId="16" xfId="0" applyNumberFormat="1" applyFont="1" applyFill="1" applyBorder="1"/>
    <xf numFmtId="4" fontId="4" fillId="5" borderId="16" xfId="0" applyNumberFormat="1" applyFont="1" applyFill="1" applyBorder="1" applyAlignment="1"/>
    <xf numFmtId="4" fontId="5" fillId="5" borderId="16" xfId="0" applyNumberFormat="1" applyFont="1" applyFill="1" applyBorder="1" applyAlignment="1" applyProtection="1">
      <alignment horizontal="right"/>
      <protection locked="0"/>
    </xf>
    <xf numFmtId="0" fontId="4" fillId="0" borderId="21" xfId="0" applyFont="1" applyFill="1" applyBorder="1" applyAlignment="1">
      <alignment horizontal="center"/>
    </xf>
    <xf numFmtId="0" fontId="4" fillId="0" borderId="20" xfId="0" applyFont="1" applyFill="1" applyBorder="1" applyAlignment="1" applyProtection="1">
      <alignment horizontal="left"/>
      <protection locked="0"/>
    </xf>
    <xf numFmtId="4" fontId="4" fillId="0" borderId="21" xfId="0" applyNumberFormat="1" applyFont="1" applyFill="1" applyBorder="1" applyAlignment="1" applyProtection="1">
      <alignment horizontal="right"/>
      <protection locked="0"/>
    </xf>
    <xf numFmtId="0" fontId="5" fillId="0" borderId="20" xfId="0" applyFont="1" applyFill="1" applyBorder="1" applyAlignment="1"/>
    <xf numFmtId="4" fontId="5" fillId="0" borderId="21" xfId="0" applyNumberFormat="1" applyFont="1" applyFill="1" applyBorder="1"/>
    <xf numFmtId="4" fontId="4" fillId="0" borderId="21" xfId="0" applyNumberFormat="1" applyFont="1" applyFill="1" applyBorder="1" applyAlignment="1"/>
    <xf numFmtId="0" fontId="4" fillId="0" borderId="20" xfId="0" applyNumberFormat="1" applyFont="1" applyFill="1" applyBorder="1" applyAlignment="1" applyProtection="1">
      <alignment horizontal="left"/>
      <protection locked="0"/>
    </xf>
    <xf numFmtId="4" fontId="5" fillId="0" borderId="21" xfId="0" applyNumberFormat="1" applyFont="1" applyFill="1" applyBorder="1" applyAlignment="1" applyProtection="1">
      <alignment horizontal="right"/>
      <protection locked="0"/>
    </xf>
    <xf numFmtId="0" fontId="5" fillId="0" borderId="20" xfId="0" applyFont="1" applyFill="1" applyBorder="1" applyAlignment="1">
      <alignment horizontal="left" indent="1"/>
    </xf>
    <xf numFmtId="4" fontId="5" fillId="0" borderId="21" xfId="0" applyNumberFormat="1" applyFont="1" applyFill="1" applyBorder="1" applyAlignment="1"/>
    <xf numFmtId="0" fontId="4" fillId="0" borderId="22" xfId="0" applyFont="1" applyFill="1" applyBorder="1" applyAlignment="1" applyProtection="1">
      <alignment horizontal="left"/>
      <protection locked="0"/>
    </xf>
    <xf numFmtId="4" fontId="4" fillId="0" borderId="23" xfId="0" applyNumberFormat="1" applyFont="1" applyFill="1" applyBorder="1" applyAlignment="1" applyProtection="1">
      <alignment horizontal="right"/>
      <protection locked="0"/>
    </xf>
    <xf numFmtId="4" fontId="4" fillId="0" borderId="24" xfId="0" applyNumberFormat="1" applyFont="1" applyFill="1" applyBorder="1" applyAlignment="1" applyProtection="1">
      <alignment horizontal="right"/>
      <protection locked="0"/>
    </xf>
    <xf numFmtId="0" fontId="28" fillId="0" borderId="0" xfId="1" applyNumberFormat="1" applyFont="1" applyFill="1" applyBorder="1"/>
    <xf numFmtId="0" fontId="21" fillId="0" borderId="16" xfId="0" applyFont="1" applyBorder="1" applyAlignment="1">
      <alignment horizontal="center" wrapText="1" readingOrder="1"/>
    </xf>
    <xf numFmtId="3" fontId="22" fillId="0" borderId="16" xfId="0" applyNumberFormat="1" applyFont="1" applyBorder="1" applyAlignment="1">
      <alignment horizontal="right" wrapText="1" readingOrder="1"/>
    </xf>
    <xf numFmtId="3" fontId="22" fillId="6" borderId="16" xfId="0" applyNumberFormat="1" applyFont="1" applyFill="1" applyBorder="1" applyAlignment="1">
      <alignment horizontal="right" wrapText="1" readingOrder="1"/>
    </xf>
    <xf numFmtId="3" fontId="23" fillId="0" borderId="16" xfId="0" applyNumberFormat="1" applyFont="1" applyBorder="1" applyAlignment="1">
      <alignment horizontal="right" wrapText="1" readingOrder="1"/>
    </xf>
    <xf numFmtId="3" fontId="23" fillId="6" borderId="16" xfId="0" applyNumberFormat="1" applyFont="1" applyFill="1" applyBorder="1" applyAlignment="1">
      <alignment horizontal="right" wrapText="1" readingOrder="1"/>
    </xf>
    <xf numFmtId="44" fontId="23" fillId="6" borderId="16" xfId="0" applyNumberFormat="1" applyFont="1" applyFill="1" applyBorder="1" applyAlignment="1">
      <alignment horizontal="right" wrapText="1" readingOrder="1"/>
    </xf>
    <xf numFmtId="0" fontId="23" fillId="0" borderId="16" xfId="0" applyFont="1" applyBorder="1" applyAlignment="1">
      <alignment horizontal="left" wrapText="1" readingOrder="1"/>
    </xf>
    <xf numFmtId="0" fontId="18" fillId="0" borderId="16" xfId="0" applyFont="1" applyBorder="1" applyAlignment="1">
      <alignment wrapText="1"/>
    </xf>
    <xf numFmtId="3" fontId="22" fillId="7" borderId="16" xfId="0" applyNumberFormat="1" applyFont="1" applyFill="1" applyBorder="1" applyAlignment="1">
      <alignment horizontal="right" wrapText="1" readingOrder="1"/>
    </xf>
    <xf numFmtId="3" fontId="23" fillId="7" borderId="16" xfId="0" applyNumberFormat="1" applyFont="1" applyFill="1" applyBorder="1" applyAlignment="1">
      <alignment horizontal="right" wrapText="1" readingOrder="1"/>
    </xf>
    <xf numFmtId="44" fontId="23" fillId="7" borderId="16" xfId="0" applyNumberFormat="1" applyFont="1" applyFill="1" applyBorder="1" applyAlignment="1">
      <alignment horizontal="right" wrapText="1" readingOrder="1"/>
    </xf>
    <xf numFmtId="0" fontId="22" fillId="0" borderId="16" xfId="0" applyFont="1" applyBorder="1" applyAlignment="1">
      <alignment horizontal="right" wrapText="1" readingOrder="1"/>
    </xf>
    <xf numFmtId="3" fontId="22" fillId="8" borderId="16" xfId="0" applyNumberFormat="1" applyFont="1" applyFill="1" applyBorder="1" applyAlignment="1">
      <alignment horizontal="right" wrapText="1" readingOrder="1"/>
    </xf>
    <xf numFmtId="3" fontId="23" fillId="8" borderId="16" xfId="0" applyNumberFormat="1" applyFont="1" applyFill="1" applyBorder="1" applyAlignment="1">
      <alignment horizontal="right" wrapText="1" readingOrder="1"/>
    </xf>
    <xf numFmtId="4" fontId="5" fillId="8" borderId="16" xfId="0" applyNumberFormat="1" applyFont="1" applyFill="1" applyBorder="1"/>
    <xf numFmtId="0" fontId="21" fillId="0" borderId="21" xfId="0" applyFont="1" applyBorder="1" applyAlignment="1">
      <alignment horizontal="center" wrapText="1" readingOrder="1"/>
    </xf>
    <xf numFmtId="0" fontId="19" fillId="0" borderId="20" xfId="0" applyFont="1" applyBorder="1" applyAlignment="1">
      <alignment horizontal="left" vertical="center" wrapText="1" readingOrder="1"/>
    </xf>
    <xf numFmtId="3" fontId="22" fillId="6" borderId="21" xfId="0" applyNumberFormat="1" applyFont="1" applyFill="1" applyBorder="1" applyAlignment="1">
      <alignment horizontal="right" wrapText="1" readingOrder="1"/>
    </xf>
    <xf numFmtId="0" fontId="19" fillId="0" borderId="20" xfId="0" applyFont="1" applyBorder="1" applyAlignment="1">
      <alignment horizontal="left" wrapText="1" readingOrder="1"/>
    </xf>
    <xf numFmtId="44" fontId="23" fillId="6" borderId="21" xfId="0" applyNumberFormat="1" applyFont="1" applyFill="1" applyBorder="1" applyAlignment="1">
      <alignment horizontal="right" wrapText="1" readingOrder="1"/>
    </xf>
    <xf numFmtId="0" fontId="18" fillId="0" borderId="21" xfId="0" applyFont="1" applyBorder="1" applyAlignment="1">
      <alignment wrapText="1"/>
    </xf>
    <xf numFmtId="3" fontId="22" fillId="7" borderId="21" xfId="0" applyNumberFormat="1" applyFont="1" applyFill="1" applyBorder="1" applyAlignment="1">
      <alignment horizontal="right" wrapText="1" readingOrder="1"/>
    </xf>
    <xf numFmtId="0" fontId="27" fillId="0" borderId="20" xfId="0" applyFont="1" applyBorder="1" applyAlignment="1">
      <alignment horizontal="left" wrapText="1" readingOrder="1"/>
    </xf>
    <xf numFmtId="44" fontId="23" fillId="7" borderId="21" xfId="0" applyNumberFormat="1" applyFont="1" applyFill="1" applyBorder="1" applyAlignment="1">
      <alignment horizontal="right" wrapText="1" readingOrder="1"/>
    </xf>
    <xf numFmtId="0" fontId="22" fillId="0" borderId="21" xfId="0" applyFont="1" applyBorder="1" applyAlignment="1">
      <alignment horizontal="right" wrapText="1" readingOrder="1"/>
    </xf>
    <xf numFmtId="3" fontId="22" fillId="0" borderId="21" xfId="0" applyNumberFormat="1" applyFont="1" applyBorder="1" applyAlignment="1">
      <alignment horizontal="right" wrapText="1" readingOrder="1"/>
    </xf>
    <xf numFmtId="3" fontId="22" fillId="8" borderId="21" xfId="0" applyNumberFormat="1" applyFont="1" applyFill="1" applyBorder="1" applyAlignment="1">
      <alignment horizontal="right" wrapText="1" readingOrder="1"/>
    </xf>
    <xf numFmtId="4" fontId="5" fillId="8" borderId="21" xfId="0" applyNumberFormat="1" applyFont="1" applyFill="1" applyBorder="1"/>
    <xf numFmtId="4" fontId="4" fillId="0" borderId="21" xfId="0" applyNumberFormat="1" applyFont="1" applyFill="1" applyBorder="1"/>
    <xf numFmtId="0" fontId="19" fillId="0" borderId="22" xfId="0" applyFont="1" applyBorder="1" applyAlignment="1">
      <alignment horizontal="left" vertical="center" wrapText="1" readingOrder="1"/>
    </xf>
    <xf numFmtId="3" fontId="22" fillId="0" borderId="23" xfId="0" applyNumberFormat="1" applyFont="1" applyBorder="1" applyAlignment="1">
      <alignment horizontal="right" wrapText="1" readingOrder="1"/>
    </xf>
    <xf numFmtId="3" fontId="22" fillId="0" borderId="24" xfId="0" applyNumberFormat="1" applyFont="1" applyBorder="1" applyAlignment="1">
      <alignment horizontal="right" wrapText="1" readingOrder="1"/>
    </xf>
    <xf numFmtId="44" fontId="28" fillId="0" borderId="0" xfId="0" applyNumberFormat="1" applyFont="1" applyBorder="1"/>
    <xf numFmtId="4" fontId="5" fillId="0" borderId="6" xfId="0" applyNumberFormat="1" applyFont="1" applyFill="1" applyBorder="1"/>
    <xf numFmtId="4" fontId="30" fillId="0" borderId="4" xfId="0" applyNumberFormat="1" applyFont="1" applyBorder="1" applyAlignment="1">
      <alignment horizontal="right" vertical="top" wrapText="1"/>
    </xf>
    <xf numFmtId="4" fontId="30" fillId="0" borderId="0" xfId="0" applyNumberFormat="1" applyFont="1" applyBorder="1" applyAlignment="1">
      <alignment horizontal="right" vertical="top" wrapText="1"/>
    </xf>
    <xf numFmtId="4" fontId="31" fillId="0" borderId="4" xfId="0" applyNumberFormat="1" applyFont="1" applyBorder="1" applyAlignment="1">
      <alignment horizontal="right" vertical="top" wrapText="1"/>
    </xf>
    <xf numFmtId="4" fontId="31" fillId="0" borderId="0" xfId="0" applyNumberFormat="1" applyFont="1" applyBorder="1" applyAlignment="1">
      <alignment horizontal="right" vertical="top" wrapText="1"/>
    </xf>
    <xf numFmtId="4" fontId="32" fillId="9" borderId="0" xfId="2" applyNumberFormat="1" applyFill="1" applyAlignment="1">
      <alignment horizontal="right" wrapText="1"/>
    </xf>
    <xf numFmtId="0" fontId="4" fillId="0" borderId="13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3" fontId="4" fillId="0" borderId="14" xfId="0" quotePrefix="1" applyNumberFormat="1" applyFont="1" applyFill="1" applyBorder="1" applyAlignment="1">
      <alignment horizontal="center"/>
    </xf>
    <xf numFmtId="3" fontId="4" fillId="0" borderId="2" xfId="0" quotePrefix="1" applyNumberFormat="1" applyFont="1" applyFill="1" applyBorder="1" applyAlignment="1">
      <alignment horizontal="center"/>
    </xf>
    <xf numFmtId="3" fontId="4" fillId="0" borderId="15" xfId="0" quotePrefix="1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4" fillId="0" borderId="14" xfId="0" applyNumberFormat="1" applyFont="1" applyFill="1" applyBorder="1" applyAlignment="1" applyProtection="1">
      <alignment horizontal="center" vertical="center"/>
      <protection locked="0"/>
    </xf>
    <xf numFmtId="166" fontId="4" fillId="0" borderId="2" xfId="0" applyNumberFormat="1" applyFont="1" applyFill="1" applyBorder="1" applyAlignment="1" applyProtection="1">
      <alignment horizontal="center" vertical="center"/>
      <protection locked="0"/>
    </xf>
    <xf numFmtId="166" fontId="4" fillId="0" borderId="15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4" fillId="0" borderId="20" xfId="0" applyFont="1" applyFill="1" applyBorder="1" applyAlignment="1" applyProtection="1">
      <alignment horizontal="center" vertical="center"/>
      <protection locked="0"/>
    </xf>
    <xf numFmtId="166" fontId="4" fillId="0" borderId="18" xfId="0" applyNumberFormat="1" applyFont="1" applyFill="1" applyBorder="1" applyAlignment="1" applyProtection="1">
      <alignment vertical="center"/>
      <protection locked="0"/>
    </xf>
    <xf numFmtId="166" fontId="4" fillId="0" borderId="19" xfId="0" applyNumberFormat="1" applyFont="1" applyFill="1" applyBorder="1" applyAlignment="1" applyProtection="1">
      <alignment vertical="center"/>
      <protection locked="0"/>
    </xf>
    <xf numFmtId="0" fontId="28" fillId="8" borderId="0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20" fillId="0" borderId="17" xfId="0" applyFont="1" applyBorder="1" applyAlignment="1">
      <alignment horizontal="center" wrapText="1" readingOrder="1"/>
    </xf>
    <xf numFmtId="0" fontId="20" fillId="0" borderId="20" xfId="0" applyFont="1" applyBorder="1" applyAlignment="1">
      <alignment horizontal="center" wrapText="1" readingOrder="1"/>
    </xf>
    <xf numFmtId="0" fontId="21" fillId="0" borderId="18" xfId="0" applyFont="1" applyBorder="1" applyAlignment="1">
      <alignment horizontal="center" wrapText="1" readingOrder="1"/>
    </xf>
    <xf numFmtId="0" fontId="21" fillId="0" borderId="19" xfId="0" applyFont="1" applyBorder="1" applyAlignment="1">
      <alignment horizontal="center" wrapText="1" readingOrder="1"/>
    </xf>
    <xf numFmtId="0" fontId="29" fillId="7" borderId="0" xfId="0" applyFont="1" applyFill="1" applyBorder="1" applyAlignment="1">
      <alignment horizontal="center" wrapText="1"/>
    </xf>
    <xf numFmtId="0" fontId="28" fillId="6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3" xfId="0" quotePrefix="1" applyFont="1" applyBorder="1" applyAlignment="1">
      <alignment horizontal="center" vertical="center" textRotation="90" shrinkToFit="1"/>
    </xf>
    <xf numFmtId="0" fontId="10" fillId="0" borderId="11" xfId="0" applyFont="1" applyBorder="1" applyAlignment="1">
      <alignment horizontal="center" vertical="center" textRotation="90" shrinkToFit="1"/>
    </xf>
    <xf numFmtId="0" fontId="10" fillId="0" borderId="12" xfId="0" applyFont="1" applyBorder="1" applyAlignment="1">
      <alignment horizontal="center" vertical="center" textRotation="90" shrinkToFit="1"/>
    </xf>
    <xf numFmtId="0" fontId="10" fillId="0" borderId="1" xfId="0" applyFont="1" applyBorder="1" applyAlignment="1">
      <alignment horizontal="center" vertical="center" textRotation="90"/>
    </xf>
    <xf numFmtId="0" fontId="10" fillId="0" borderId="0" xfId="0" applyFont="1" applyBorder="1" applyAlignment="1">
      <alignment horizontal="center"/>
    </xf>
    <xf numFmtId="0" fontId="10" fillId="0" borderId="13" xfId="0" applyFont="1" applyBorder="1" applyAlignment="1">
      <alignment horizontal="center" textRotation="90"/>
    </xf>
    <xf numFmtId="0" fontId="10" fillId="0" borderId="11" xfId="0" applyFont="1" applyBorder="1" applyAlignment="1">
      <alignment horizontal="center" textRotation="90"/>
    </xf>
    <xf numFmtId="0" fontId="10" fillId="0" borderId="12" xfId="0" applyFont="1" applyBorder="1" applyAlignment="1">
      <alignment horizontal="center" textRotation="90"/>
    </xf>
    <xf numFmtId="0" fontId="10" fillId="0" borderId="13" xfId="0" applyFont="1" applyBorder="1" applyAlignment="1">
      <alignment horizontal="center" vertical="center" textRotation="90"/>
    </xf>
    <xf numFmtId="0" fontId="10" fillId="0" borderId="11" xfId="0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textRotation="90"/>
    </xf>
    <xf numFmtId="0" fontId="10" fillId="0" borderId="13" xfId="0" applyFont="1" applyBorder="1" applyAlignment="1">
      <alignment horizontal="center" vertical="center" textRotation="90" shrinkToFit="1"/>
    </xf>
  </cellXfs>
  <cellStyles count="3">
    <cellStyle name="Normalny" xfId="0" builtinId="0"/>
    <cellStyle name="Normalny 2" xfId="2"/>
    <cellStyle name="Walutowy" xfId="1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C3C9B"/>
      <color rgb="FF8BEF83"/>
      <color rgb="FFD6D3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kasia/Desktop/Kasia/KTRiAF/D:/ZBIORY/DOC/Pawe&#322;/pk/WSZ/praca/Analiza%20sprawozda&#324;%201996-20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lans"/>
      <sheetName val="cash-flow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8"/>
  <sheetViews>
    <sheetView zoomScale="124" zoomScaleNormal="124" zoomScalePageLayoutView="124" workbookViewId="0">
      <selection activeCell="F1" sqref="F1:F1048576"/>
    </sheetView>
  </sheetViews>
  <sheetFormatPr defaultColWidth="8.83203125" defaultRowHeight="10.5"/>
  <cols>
    <col min="1" max="1" width="38.83203125" style="6" bestFit="1" customWidth="1"/>
    <col min="2" max="2" width="12.08203125" style="5" bestFit="1" customWidth="1"/>
    <col min="3" max="3" width="9.5" style="6" bestFit="1" customWidth="1"/>
    <col min="4" max="4" width="9.58203125" style="7" bestFit="1" customWidth="1"/>
    <col min="5" max="5" width="9.5" style="7" hidden="1" customWidth="1"/>
    <col min="6" max="6" width="8.58203125" style="7" customWidth="1"/>
    <col min="7" max="7" width="8.58203125" style="7" hidden="1" customWidth="1"/>
    <col min="8" max="8" width="6.08203125" style="7" customWidth="1"/>
    <col min="9" max="10" width="6.08203125" style="7" bestFit="1" customWidth="1"/>
    <col min="11" max="12" width="6.08203125" style="7" hidden="1" customWidth="1"/>
    <col min="13" max="13" width="7.08203125" style="7" hidden="1" customWidth="1"/>
    <col min="14" max="14" width="7.33203125" style="7" hidden="1" customWidth="1"/>
    <col min="15" max="16" width="7.33203125" style="7" bestFit="1" customWidth="1"/>
    <col min="17" max="18" width="7.33203125" style="7" hidden="1" customWidth="1"/>
    <col min="19" max="19" width="10" style="7" bestFit="1" customWidth="1"/>
    <col min="20" max="16384" width="8.83203125" style="7"/>
  </cols>
  <sheetData>
    <row r="1" spans="1:19">
      <c r="A1" s="4" t="s">
        <v>27</v>
      </c>
    </row>
    <row r="2" spans="1:19" ht="13.5" customHeight="1">
      <c r="A2" s="198" t="s">
        <v>28</v>
      </c>
      <c r="B2" s="200" t="s">
        <v>203</v>
      </c>
      <c r="C2" s="201"/>
      <c r="D2" s="201"/>
      <c r="E2" s="201"/>
      <c r="F2" s="201"/>
      <c r="G2" s="202"/>
      <c r="H2" s="203" t="s">
        <v>25</v>
      </c>
      <c r="I2" s="204"/>
      <c r="J2" s="204"/>
      <c r="K2" s="204"/>
      <c r="L2" s="204"/>
      <c r="M2" s="205"/>
      <c r="N2" s="206" t="s">
        <v>26</v>
      </c>
      <c r="O2" s="206"/>
      <c r="P2" s="206"/>
      <c r="Q2" s="206"/>
      <c r="R2" s="206"/>
    </row>
    <row r="3" spans="1:19" ht="13.5" customHeight="1">
      <c r="A3" s="199"/>
      <c r="B3" s="111">
        <v>2011</v>
      </c>
      <c r="C3" s="111">
        <v>2012</v>
      </c>
      <c r="D3" s="8">
        <v>2013</v>
      </c>
      <c r="E3" s="111">
        <v>2014</v>
      </c>
      <c r="F3" s="111">
        <v>2015</v>
      </c>
      <c r="G3" s="8">
        <v>2016</v>
      </c>
      <c r="H3" s="8">
        <f>B3</f>
        <v>2011</v>
      </c>
      <c r="I3" s="8">
        <f>C3</f>
        <v>2012</v>
      </c>
      <c r="J3" s="8">
        <f>D3</f>
        <v>2013</v>
      </c>
      <c r="K3" s="8">
        <f>E3</f>
        <v>2014</v>
      </c>
      <c r="L3" s="8">
        <f>F3</f>
        <v>2015</v>
      </c>
      <c r="M3" s="8">
        <f t="shared" ref="M3" si="0">G3</f>
        <v>2016</v>
      </c>
      <c r="N3" s="8" t="s">
        <v>250</v>
      </c>
      <c r="O3" s="8" t="s">
        <v>251</v>
      </c>
      <c r="P3" s="8" t="s">
        <v>252</v>
      </c>
      <c r="Q3" s="8" t="s">
        <v>253</v>
      </c>
      <c r="R3" s="8" t="s">
        <v>254</v>
      </c>
    </row>
    <row r="4" spans="1:19">
      <c r="A4" s="58" t="s">
        <v>29</v>
      </c>
      <c r="B4" s="20">
        <f>B5+B10+B19+B22+B36</f>
        <v>22429271</v>
      </c>
      <c r="C4" s="21">
        <f>C5+C10+C19+C22+C36</f>
        <v>22474000</v>
      </c>
      <c r="D4" s="21">
        <f>D5+D10+D19+D22+D36</f>
        <v>23355000</v>
      </c>
      <c r="E4" s="21">
        <f t="shared" ref="E4:F4" si="1">E5+E10+E19+E22+E36</f>
        <v>0</v>
      </c>
      <c r="F4" s="21">
        <f t="shared" si="1"/>
        <v>23446760</v>
      </c>
      <c r="G4" s="21">
        <f>G5+G10+G19+G22+G36</f>
        <v>432000</v>
      </c>
      <c r="H4" s="42">
        <f>B4/B75</f>
        <v>0.48898450836699742</v>
      </c>
      <c r="I4" s="53">
        <f>C4/C75</f>
        <v>0.54275847078996309</v>
      </c>
      <c r="J4" s="53">
        <f t="shared" ref="J4:M4" si="2">D4/D75</f>
        <v>0.55523857071535554</v>
      </c>
      <c r="K4" s="53" t="e">
        <f t="shared" si="2"/>
        <v>#DIV/0!</v>
      </c>
      <c r="L4" s="53">
        <f t="shared" si="2"/>
        <v>0.55385018042184408</v>
      </c>
      <c r="M4" s="53">
        <f t="shared" si="2"/>
        <v>1</v>
      </c>
      <c r="N4" s="48">
        <f>C4/B4</f>
        <v>1.0019942244221847</v>
      </c>
      <c r="O4" s="43">
        <f>D4/C4</f>
        <v>1.0392008543205482</v>
      </c>
      <c r="P4" s="43">
        <f>E4/D4</f>
        <v>0</v>
      </c>
      <c r="Q4" s="43" t="e">
        <f>F4/E4</f>
        <v>#DIV/0!</v>
      </c>
      <c r="R4" s="49">
        <f>G4/F4</f>
        <v>1.8424720515755694E-2</v>
      </c>
      <c r="S4" s="24">
        <f>F4-D4</f>
        <v>91760</v>
      </c>
    </row>
    <row r="5" spans="1:19">
      <c r="A5" s="59" t="s">
        <v>1</v>
      </c>
      <c r="B5" s="20">
        <f>SUM(B6:B9)</f>
        <v>362791</v>
      </c>
      <c r="C5" s="21">
        <f>SUM(C6:C9)</f>
        <v>603000</v>
      </c>
      <c r="D5" s="21">
        <f>SUM(D6:D9)</f>
        <v>439000</v>
      </c>
      <c r="E5" s="21">
        <f t="shared" ref="E5:F5" si="3">SUM(E6:E9)</f>
        <v>0</v>
      </c>
      <c r="F5" s="21">
        <f t="shared" si="3"/>
        <v>483000</v>
      </c>
      <c r="G5" s="21">
        <f>SUM(G6:G9)</f>
        <v>432000</v>
      </c>
      <c r="H5" s="45"/>
      <c r="I5" s="46"/>
      <c r="J5" s="46"/>
      <c r="K5" s="46"/>
      <c r="L5" s="46"/>
      <c r="M5" s="46"/>
      <c r="N5" s="45"/>
      <c r="O5" s="46"/>
      <c r="P5" s="46"/>
      <c r="Q5" s="46"/>
      <c r="R5" s="47"/>
      <c r="S5" s="24"/>
    </row>
    <row r="6" spans="1:19">
      <c r="A6" s="60" t="s">
        <v>30</v>
      </c>
      <c r="B6" s="22"/>
      <c r="C6" s="23"/>
      <c r="D6" s="24"/>
      <c r="E6" s="24"/>
      <c r="F6" s="24"/>
      <c r="G6" s="66"/>
      <c r="H6" s="45"/>
      <c r="I6" s="46"/>
      <c r="J6" s="46"/>
      <c r="K6" s="46"/>
      <c r="L6" s="46"/>
      <c r="M6" s="46"/>
      <c r="N6" s="45"/>
      <c r="O6" s="46"/>
      <c r="P6" s="46"/>
      <c r="Q6" s="46"/>
      <c r="R6" s="47"/>
      <c r="S6" s="24"/>
    </row>
    <row r="7" spans="1:19">
      <c r="A7" s="60" t="s">
        <v>2</v>
      </c>
      <c r="B7" s="22">
        <v>362791</v>
      </c>
      <c r="C7" s="23">
        <v>603000</v>
      </c>
      <c r="D7" s="24">
        <v>439000</v>
      </c>
      <c r="E7" s="24"/>
      <c r="F7" s="24">
        <v>483000</v>
      </c>
      <c r="G7" s="66">
        <v>432000</v>
      </c>
      <c r="H7" s="45"/>
      <c r="I7" s="46"/>
      <c r="J7" s="46"/>
      <c r="K7" s="46"/>
      <c r="L7" s="46"/>
      <c r="M7" s="46"/>
      <c r="N7" s="45"/>
      <c r="O7" s="46"/>
      <c r="P7" s="46"/>
      <c r="Q7" s="46"/>
      <c r="R7" s="47"/>
      <c r="S7" s="24"/>
    </row>
    <row r="8" spans="1:19">
      <c r="A8" s="60" t="s">
        <v>3</v>
      </c>
      <c r="B8" s="22"/>
      <c r="C8" s="23"/>
      <c r="D8" s="24"/>
      <c r="E8" s="24"/>
      <c r="F8" s="24"/>
      <c r="G8" s="66"/>
      <c r="H8" s="45"/>
      <c r="I8" s="46"/>
      <c r="J8" s="46"/>
      <c r="K8" s="46"/>
      <c r="L8" s="46"/>
      <c r="M8" s="46"/>
      <c r="N8" s="45"/>
      <c r="O8" s="46"/>
      <c r="P8" s="46"/>
      <c r="Q8" s="46"/>
      <c r="R8" s="47"/>
      <c r="S8" s="24"/>
    </row>
    <row r="9" spans="1:19">
      <c r="A9" s="60" t="s">
        <v>31</v>
      </c>
      <c r="B9" s="22"/>
      <c r="C9" s="23"/>
      <c r="D9" s="24"/>
      <c r="E9" s="24"/>
      <c r="F9" s="24"/>
      <c r="G9" s="66"/>
      <c r="H9" s="45"/>
      <c r="I9" s="46"/>
      <c r="J9" s="46"/>
      <c r="K9" s="46"/>
      <c r="L9" s="46"/>
      <c r="M9" s="46"/>
      <c r="N9" s="45"/>
      <c r="O9" s="46"/>
      <c r="P9" s="46"/>
      <c r="Q9" s="46"/>
      <c r="R9" s="47"/>
      <c r="S9" s="24"/>
    </row>
    <row r="10" spans="1:19" s="9" customFormat="1">
      <c r="A10" s="61" t="s">
        <v>32</v>
      </c>
      <c r="B10" s="25">
        <f>B11+B17+B18</f>
        <v>12280039</v>
      </c>
      <c r="C10" s="26">
        <f>C11+C17+C18</f>
        <v>12179000</v>
      </c>
      <c r="D10" s="26">
        <f>D11+D17+D18</f>
        <v>12195000</v>
      </c>
      <c r="E10" s="26">
        <f t="shared" ref="E10:F10" si="4">E11+E17+E18</f>
        <v>0</v>
      </c>
      <c r="F10" s="26">
        <f t="shared" si="4"/>
        <v>12446550</v>
      </c>
      <c r="G10" s="26">
        <f>G11+G17+G18</f>
        <v>0</v>
      </c>
      <c r="H10" s="54">
        <f>B10/B75</f>
        <v>0.26771930452588294</v>
      </c>
      <c r="I10" s="55">
        <f>C10/C75</f>
        <v>0.29412901200280145</v>
      </c>
      <c r="J10" s="55">
        <f t="shared" ref="J10:M10" si="5">D10/D75</f>
        <v>0.28992225946794092</v>
      </c>
      <c r="K10" s="55" t="e">
        <f t="shared" si="5"/>
        <v>#DIV/0!</v>
      </c>
      <c r="L10" s="55">
        <f t="shared" si="5"/>
        <v>0.2940075286789946</v>
      </c>
      <c r="M10" s="55">
        <f t="shared" si="5"/>
        <v>0</v>
      </c>
      <c r="N10" s="48">
        <f t="shared" ref="N10:O17" si="6">C10/B10</f>
        <v>0.99177209453487891</v>
      </c>
      <c r="O10" s="43">
        <f t="shared" si="6"/>
        <v>1.0013137367599967</v>
      </c>
      <c r="P10" s="43">
        <f t="shared" ref="P10:R17" si="7">E10/D10</f>
        <v>0</v>
      </c>
      <c r="Q10" s="43" t="e">
        <f t="shared" si="7"/>
        <v>#DIV/0!</v>
      </c>
      <c r="R10" s="49">
        <f t="shared" si="7"/>
        <v>0</v>
      </c>
      <c r="S10" s="24"/>
    </row>
    <row r="11" spans="1:19">
      <c r="A11" s="60" t="s">
        <v>33</v>
      </c>
      <c r="B11" s="27">
        <f>SUM(B12:B16)</f>
        <v>12089692</v>
      </c>
      <c r="C11" s="23">
        <f>SUM(C12:C16)</f>
        <v>11679000</v>
      </c>
      <c r="D11" s="23">
        <f>SUM(D12:D16)</f>
        <v>12098000</v>
      </c>
      <c r="E11" s="23">
        <f t="shared" ref="E11:F11" si="8">SUM(E12:E16)</f>
        <v>0</v>
      </c>
      <c r="F11" s="23">
        <f t="shared" si="8"/>
        <v>12226550</v>
      </c>
      <c r="G11" s="23">
        <f>SUM(G12:G16)</f>
        <v>0</v>
      </c>
      <c r="H11" s="45">
        <f>B11/B75</f>
        <v>0.26356951587630389</v>
      </c>
      <c r="I11" s="46">
        <f>C11/C75</f>
        <v>0.28205375902625163</v>
      </c>
      <c r="J11" s="46">
        <f t="shared" ref="J11:M11" si="9">D11/D75</f>
        <v>0.28761619475548583</v>
      </c>
      <c r="K11" s="46" t="e">
        <f t="shared" si="9"/>
        <v>#DIV/0!</v>
      </c>
      <c r="L11" s="46">
        <f t="shared" si="9"/>
        <v>0.28881077485489248</v>
      </c>
      <c r="M11" s="46">
        <f t="shared" si="9"/>
        <v>0</v>
      </c>
      <c r="N11" s="45">
        <f t="shared" si="6"/>
        <v>0.96602957296182568</v>
      </c>
      <c r="O11" s="46">
        <f t="shared" si="6"/>
        <v>1.0358763592773355</v>
      </c>
      <c r="P11" s="46">
        <f t="shared" si="7"/>
        <v>0</v>
      </c>
      <c r="Q11" s="46" t="e">
        <f t="shared" si="7"/>
        <v>#DIV/0!</v>
      </c>
      <c r="R11" s="47">
        <f t="shared" si="7"/>
        <v>0</v>
      </c>
      <c r="S11" s="24"/>
    </row>
    <row r="12" spans="1:19">
      <c r="A12" s="62" t="s">
        <v>34</v>
      </c>
      <c r="B12" s="28">
        <v>89692</v>
      </c>
      <c r="C12" s="24">
        <v>91000</v>
      </c>
      <c r="D12" s="24">
        <v>98000</v>
      </c>
      <c r="E12" s="24"/>
      <c r="F12" s="24">
        <v>101000</v>
      </c>
      <c r="G12" s="66"/>
      <c r="H12" s="45">
        <f>B12/B75</f>
        <v>1.9553911727426512E-3</v>
      </c>
      <c r="I12" s="46">
        <f>C12/C75</f>
        <v>2.1976960417320742E-3</v>
      </c>
      <c r="J12" s="46">
        <f t="shared" ref="J12:M12" si="10">D12/D75</f>
        <v>2.329838575470128E-3</v>
      </c>
      <c r="K12" s="46" t="e">
        <f t="shared" si="10"/>
        <v>#DIV/0!</v>
      </c>
      <c r="L12" s="46">
        <f t="shared" si="10"/>
        <v>2.3857824374287216E-3</v>
      </c>
      <c r="M12" s="46">
        <f t="shared" si="10"/>
        <v>0</v>
      </c>
      <c r="N12" s="45">
        <f t="shared" si="6"/>
        <v>1.0145832404227801</v>
      </c>
      <c r="O12" s="46">
        <f t="shared" si="6"/>
        <v>1.0769230769230769</v>
      </c>
      <c r="P12" s="46">
        <f t="shared" si="7"/>
        <v>0</v>
      </c>
      <c r="Q12" s="46" t="e">
        <f t="shared" si="7"/>
        <v>#DIV/0!</v>
      </c>
      <c r="R12" s="47">
        <f t="shared" si="7"/>
        <v>0</v>
      </c>
      <c r="S12" s="24"/>
    </row>
    <row r="13" spans="1:19">
      <c r="A13" s="62" t="s">
        <v>35</v>
      </c>
      <c r="B13" s="22">
        <v>3500000</v>
      </c>
      <c r="C13" s="23">
        <v>4088000</v>
      </c>
      <c r="D13" s="24">
        <v>4000000</v>
      </c>
      <c r="E13" s="24"/>
      <c r="F13" s="24">
        <v>4000550</v>
      </c>
      <c r="G13" s="66"/>
      <c r="H13" s="45">
        <f>B13/B75</f>
        <v>7.6304119705205356E-2</v>
      </c>
      <c r="I13" s="46">
        <f>C13/C75</f>
        <v>9.8727268336271642E-2</v>
      </c>
      <c r="J13" s="46">
        <f t="shared" ref="J13:M13" si="11">D13/D75</f>
        <v>9.5095452060005234E-2</v>
      </c>
      <c r="K13" s="46" t="e">
        <f t="shared" si="11"/>
        <v>#DIV/0!</v>
      </c>
      <c r="L13" s="46">
        <f t="shared" si="11"/>
        <v>9.4499425050054181E-2</v>
      </c>
      <c r="M13" s="46">
        <f t="shared" si="11"/>
        <v>0</v>
      </c>
      <c r="N13" s="45">
        <f t="shared" si="6"/>
        <v>1.1679999999999999</v>
      </c>
      <c r="O13" s="46">
        <f t="shared" si="6"/>
        <v>0.97847358121330719</v>
      </c>
      <c r="P13" s="46">
        <f t="shared" si="7"/>
        <v>0</v>
      </c>
      <c r="Q13" s="46" t="e">
        <f t="shared" si="7"/>
        <v>#DIV/0!</v>
      </c>
      <c r="R13" s="47">
        <f t="shared" si="7"/>
        <v>0</v>
      </c>
      <c r="S13" s="24"/>
    </row>
    <row r="14" spans="1:19">
      <c r="A14" s="62" t="s">
        <v>36</v>
      </c>
      <c r="B14" s="22">
        <v>6000000</v>
      </c>
      <c r="C14" s="23">
        <v>6000000</v>
      </c>
      <c r="D14" s="24">
        <v>6000000</v>
      </c>
      <c r="E14" s="24"/>
      <c r="F14" s="24">
        <v>6000000</v>
      </c>
      <c r="G14" s="66"/>
      <c r="H14" s="45">
        <f>B14/B75</f>
        <v>0.13080706235178061</v>
      </c>
      <c r="I14" s="46">
        <f>C14/C75</f>
        <v>0.14490303571859831</v>
      </c>
      <c r="J14" s="46">
        <f t="shared" ref="J14:M14" si="12">D14/D75</f>
        <v>0.14264317809000784</v>
      </c>
      <c r="K14" s="46" t="e">
        <f t="shared" si="12"/>
        <v>#DIV/0!</v>
      </c>
      <c r="L14" s="46">
        <f t="shared" si="12"/>
        <v>0.1417296497482409</v>
      </c>
      <c r="M14" s="46">
        <f t="shared" si="12"/>
        <v>0</v>
      </c>
      <c r="N14" s="45">
        <f t="shared" si="6"/>
        <v>1</v>
      </c>
      <c r="O14" s="46">
        <f t="shared" si="6"/>
        <v>1</v>
      </c>
      <c r="P14" s="46">
        <f t="shared" si="7"/>
        <v>0</v>
      </c>
      <c r="Q14" s="46" t="e">
        <f t="shared" si="7"/>
        <v>#DIV/0!</v>
      </c>
      <c r="R14" s="47">
        <f t="shared" si="7"/>
        <v>0</v>
      </c>
      <c r="S14" s="24"/>
    </row>
    <row r="15" spans="1:19">
      <c r="A15" s="62" t="s">
        <v>37</v>
      </c>
      <c r="B15" s="22">
        <v>2500000</v>
      </c>
      <c r="C15" s="23">
        <v>1500000</v>
      </c>
      <c r="D15" s="24">
        <v>2000000</v>
      </c>
      <c r="E15" s="24"/>
      <c r="F15" s="24">
        <v>2125000</v>
      </c>
      <c r="G15" s="66"/>
      <c r="H15" s="45">
        <f>B15/B75</f>
        <v>5.4502942646575257E-2</v>
      </c>
      <c r="I15" s="46">
        <f>C15/C75</f>
        <v>3.6225758929649576E-2</v>
      </c>
      <c r="J15" s="46">
        <f t="shared" ref="J15:M15" si="13">D15/D75</f>
        <v>4.7547726030002617E-2</v>
      </c>
      <c r="K15" s="46" t="e">
        <f t="shared" si="13"/>
        <v>#DIV/0!</v>
      </c>
      <c r="L15" s="46">
        <f t="shared" si="13"/>
        <v>5.0195917619168653E-2</v>
      </c>
      <c r="M15" s="46">
        <f t="shared" si="13"/>
        <v>0</v>
      </c>
      <c r="N15" s="45">
        <f t="shared" si="6"/>
        <v>0.6</v>
      </c>
      <c r="O15" s="46">
        <f t="shared" si="6"/>
        <v>1.3333333333333333</v>
      </c>
      <c r="P15" s="46">
        <f t="shared" si="7"/>
        <v>0</v>
      </c>
      <c r="Q15" s="46" t="e">
        <f t="shared" si="7"/>
        <v>#DIV/0!</v>
      </c>
      <c r="R15" s="47">
        <f t="shared" si="7"/>
        <v>0</v>
      </c>
      <c r="S15" s="24"/>
    </row>
    <row r="16" spans="1:19">
      <c r="A16" s="62" t="s">
        <v>38</v>
      </c>
      <c r="B16" s="22"/>
      <c r="C16" s="23"/>
      <c r="D16" s="24"/>
      <c r="E16" s="24"/>
      <c r="F16" s="24"/>
      <c r="G16" s="66"/>
      <c r="H16" s="45">
        <f>B16/B75</f>
        <v>0</v>
      </c>
      <c r="I16" s="46">
        <f>C16/C75</f>
        <v>0</v>
      </c>
      <c r="J16" s="46">
        <f t="shared" ref="J16:M16" si="14">D16/D75</f>
        <v>0</v>
      </c>
      <c r="K16" s="46" t="e">
        <f t="shared" si="14"/>
        <v>#DIV/0!</v>
      </c>
      <c r="L16" s="46">
        <f t="shared" si="14"/>
        <v>0</v>
      </c>
      <c r="M16" s="46">
        <f t="shared" si="14"/>
        <v>0</v>
      </c>
      <c r="N16" s="45" t="e">
        <f t="shared" si="6"/>
        <v>#DIV/0!</v>
      </c>
      <c r="O16" s="46" t="e">
        <f t="shared" si="6"/>
        <v>#DIV/0!</v>
      </c>
      <c r="P16" s="46" t="e">
        <f t="shared" si="7"/>
        <v>#DIV/0!</v>
      </c>
      <c r="Q16" s="46" t="e">
        <f t="shared" si="7"/>
        <v>#DIV/0!</v>
      </c>
      <c r="R16" s="47" t="e">
        <f t="shared" si="7"/>
        <v>#DIV/0!</v>
      </c>
      <c r="S16" s="24"/>
    </row>
    <row r="17" spans="1:19">
      <c r="A17" s="60" t="s">
        <v>39</v>
      </c>
      <c r="B17" s="22">
        <v>190347</v>
      </c>
      <c r="C17" s="23">
        <v>500000</v>
      </c>
      <c r="D17" s="24">
        <v>97000</v>
      </c>
      <c r="E17" s="24"/>
      <c r="F17" s="24">
        <v>220000</v>
      </c>
      <c r="G17" s="66"/>
      <c r="H17" s="45">
        <f>B17/B75</f>
        <v>4.1497886495790639E-3</v>
      </c>
      <c r="I17" s="46">
        <f>C17/C75</f>
        <v>1.2075252976549858E-2</v>
      </c>
      <c r="J17" s="46">
        <f t="shared" ref="J17:M17" si="15">D17/D75</f>
        <v>2.306064712455127E-3</v>
      </c>
      <c r="K17" s="46" t="e">
        <f t="shared" si="15"/>
        <v>#DIV/0!</v>
      </c>
      <c r="L17" s="46">
        <f t="shared" si="15"/>
        <v>5.196753824102166E-3</v>
      </c>
      <c r="M17" s="46">
        <f t="shared" si="15"/>
        <v>0</v>
      </c>
      <c r="N17" s="45">
        <f t="shared" si="6"/>
        <v>2.6267816146301231</v>
      </c>
      <c r="O17" s="46">
        <f t="shared" si="6"/>
        <v>0.19400000000000001</v>
      </c>
      <c r="P17" s="46">
        <f t="shared" si="7"/>
        <v>0</v>
      </c>
      <c r="Q17" s="46" t="e">
        <f t="shared" si="7"/>
        <v>#DIV/0!</v>
      </c>
      <c r="R17" s="47">
        <f t="shared" si="7"/>
        <v>0</v>
      </c>
      <c r="S17" s="24"/>
    </row>
    <row r="18" spans="1:19">
      <c r="A18" s="60" t="s">
        <v>40</v>
      </c>
      <c r="B18" s="22"/>
      <c r="C18" s="23"/>
      <c r="D18" s="24"/>
      <c r="E18" s="24"/>
      <c r="F18" s="24"/>
      <c r="G18" s="66"/>
      <c r="H18" s="45"/>
      <c r="I18" s="46"/>
      <c r="J18" s="46"/>
      <c r="K18" s="46"/>
      <c r="L18" s="46"/>
      <c r="M18" s="46"/>
      <c r="N18" s="45"/>
      <c r="O18" s="46"/>
      <c r="P18" s="46"/>
      <c r="Q18" s="46"/>
      <c r="R18" s="47"/>
      <c r="S18" s="24"/>
    </row>
    <row r="19" spans="1:19">
      <c r="A19" s="59" t="s">
        <v>41</v>
      </c>
      <c r="B19" s="20">
        <f>SUM(B20:B21)</f>
        <v>40328</v>
      </c>
      <c r="C19" s="21">
        <f>SUM(C20:C21)</f>
        <v>41000</v>
      </c>
      <c r="D19" s="21">
        <v>40000</v>
      </c>
      <c r="E19" s="21">
        <f t="shared" ref="E19:F19" si="16">SUM(E20:E21)</f>
        <v>0</v>
      </c>
      <c r="F19" s="21">
        <f t="shared" si="16"/>
        <v>254000</v>
      </c>
      <c r="G19" s="21">
        <f>SUM(G20:G21)</f>
        <v>0</v>
      </c>
      <c r="H19" s="45"/>
      <c r="I19" s="46"/>
      <c r="J19" s="46"/>
      <c r="K19" s="46"/>
      <c r="L19" s="46"/>
      <c r="M19" s="46"/>
      <c r="N19" s="45"/>
      <c r="O19" s="46"/>
      <c r="P19" s="46"/>
      <c r="Q19" s="46"/>
      <c r="R19" s="47"/>
      <c r="S19" s="24"/>
    </row>
    <row r="20" spans="1:19">
      <c r="A20" s="60" t="s">
        <v>42</v>
      </c>
      <c r="B20" s="22"/>
      <c r="C20" s="23"/>
      <c r="D20" s="24"/>
      <c r="E20" s="24"/>
      <c r="F20" s="24"/>
      <c r="G20" s="66"/>
      <c r="H20" s="45"/>
      <c r="I20" s="46"/>
      <c r="J20" s="46"/>
      <c r="K20" s="46"/>
      <c r="L20" s="46"/>
      <c r="M20" s="46"/>
      <c r="N20" s="45"/>
      <c r="O20" s="46"/>
      <c r="P20" s="46"/>
      <c r="Q20" s="46"/>
      <c r="R20" s="47"/>
      <c r="S20" s="24"/>
    </row>
    <row r="21" spans="1:19">
      <c r="A21" s="60" t="s">
        <v>43</v>
      </c>
      <c r="B21" s="22">
        <v>40328</v>
      </c>
      <c r="C21" s="23">
        <v>41000</v>
      </c>
      <c r="D21" s="24">
        <v>400000</v>
      </c>
      <c r="E21" s="24"/>
      <c r="F21" s="24">
        <v>254000</v>
      </c>
      <c r="G21" s="66"/>
      <c r="H21" s="45"/>
      <c r="I21" s="46"/>
      <c r="J21" s="46"/>
      <c r="K21" s="46"/>
      <c r="L21" s="46"/>
      <c r="M21" s="46"/>
      <c r="N21" s="45"/>
      <c r="O21" s="46"/>
      <c r="P21" s="46"/>
      <c r="Q21" s="46"/>
      <c r="R21" s="47"/>
      <c r="S21" s="24"/>
    </row>
    <row r="22" spans="1:19" ht="10.5" customHeight="1">
      <c r="A22" s="59" t="s">
        <v>44</v>
      </c>
      <c r="B22" s="20">
        <f>B23+B24+B25+B30+B35</f>
        <v>9746113</v>
      </c>
      <c r="C22" s="21">
        <f>C23+C24+C25+C30+C35</f>
        <v>9651000</v>
      </c>
      <c r="D22" s="21">
        <f>D23+D24+D25+D30+D35</f>
        <v>10681000</v>
      </c>
      <c r="E22" s="21">
        <f t="shared" ref="E22:F22" si="17">E23+E24+E25+E30+E35</f>
        <v>0</v>
      </c>
      <c r="F22" s="21">
        <f t="shared" si="17"/>
        <v>10263210</v>
      </c>
      <c r="G22" s="21">
        <f>G23+G24+G25+G30+G35</f>
        <v>0</v>
      </c>
      <c r="H22" s="45"/>
      <c r="I22" s="46"/>
      <c r="J22" s="46"/>
      <c r="K22" s="46"/>
      <c r="L22" s="46"/>
      <c r="M22" s="46"/>
      <c r="N22" s="45"/>
      <c r="O22" s="46"/>
      <c r="P22" s="46"/>
      <c r="Q22" s="46"/>
      <c r="R22" s="47"/>
      <c r="S22" s="24"/>
    </row>
    <row r="23" spans="1:19">
      <c r="A23" s="60" t="s">
        <v>45</v>
      </c>
      <c r="B23" s="22"/>
      <c r="C23" s="23"/>
      <c r="D23" s="24"/>
      <c r="E23" s="24"/>
      <c r="F23" s="24"/>
      <c r="G23" s="66"/>
      <c r="H23" s="45"/>
      <c r="I23" s="46"/>
      <c r="J23" s="46"/>
      <c r="K23" s="46"/>
      <c r="L23" s="46"/>
      <c r="M23" s="46"/>
      <c r="N23" s="45"/>
      <c r="O23" s="46"/>
      <c r="P23" s="46"/>
      <c r="Q23" s="46"/>
      <c r="R23" s="47"/>
      <c r="S23" s="24"/>
    </row>
    <row r="24" spans="1:19">
      <c r="A24" s="60" t="s">
        <v>46</v>
      </c>
      <c r="B24" s="22"/>
      <c r="C24" s="23"/>
      <c r="D24" s="24"/>
      <c r="E24" s="24"/>
      <c r="F24" s="24"/>
      <c r="G24" s="66"/>
      <c r="H24" s="45"/>
      <c r="I24" s="46"/>
      <c r="J24" s="46"/>
      <c r="K24" s="46"/>
      <c r="L24" s="46"/>
      <c r="M24" s="46"/>
      <c r="N24" s="45"/>
      <c r="O24" s="46"/>
      <c r="P24" s="46"/>
      <c r="Q24" s="46"/>
      <c r="R24" s="47"/>
      <c r="S24" s="24"/>
    </row>
    <row r="25" spans="1:19">
      <c r="A25" s="60" t="s">
        <v>47</v>
      </c>
      <c r="B25" s="27">
        <f>SUM(B26:B29)</f>
        <v>9051706</v>
      </c>
      <c r="C25" s="23">
        <f>SUM(C26:C29)</f>
        <v>9003000</v>
      </c>
      <c r="D25" s="23">
        <f>SUM(D26:D29)</f>
        <v>9646000</v>
      </c>
      <c r="E25" s="23">
        <f t="shared" ref="E25:F25" si="18">SUM(E26:E29)</f>
        <v>0</v>
      </c>
      <c r="F25" s="23">
        <f t="shared" si="18"/>
        <v>9418210</v>
      </c>
      <c r="G25" s="23">
        <f>SUM(G26:G29)</f>
        <v>0</v>
      </c>
      <c r="H25" s="45"/>
      <c r="I25" s="46"/>
      <c r="J25" s="46"/>
      <c r="K25" s="46"/>
      <c r="L25" s="46"/>
      <c r="M25" s="46"/>
      <c r="N25" s="45"/>
      <c r="O25" s="46"/>
      <c r="P25" s="46"/>
      <c r="Q25" s="46"/>
      <c r="R25" s="47"/>
      <c r="S25" s="24"/>
    </row>
    <row r="26" spans="1:19">
      <c r="A26" s="62" t="s">
        <v>48</v>
      </c>
      <c r="B26" s="22">
        <v>4500000</v>
      </c>
      <c r="C26" s="23">
        <v>4500000</v>
      </c>
      <c r="D26" s="24">
        <v>4225000</v>
      </c>
      <c r="E26" s="24"/>
      <c r="F26" s="24">
        <v>4100000</v>
      </c>
      <c r="G26" s="66"/>
      <c r="H26" s="45"/>
      <c r="I26" s="46"/>
      <c r="J26" s="46"/>
      <c r="K26" s="46"/>
      <c r="L26" s="46"/>
      <c r="M26" s="46"/>
      <c r="N26" s="45"/>
      <c r="O26" s="46"/>
      <c r="P26" s="46"/>
      <c r="Q26" s="46"/>
      <c r="R26" s="47"/>
      <c r="S26" s="24"/>
    </row>
    <row r="27" spans="1:19">
      <c r="A27" s="62" t="s">
        <v>49</v>
      </c>
      <c r="B27" s="22">
        <v>1400000</v>
      </c>
      <c r="C27" s="23">
        <v>1500000</v>
      </c>
      <c r="D27" s="24">
        <v>1000000</v>
      </c>
      <c r="E27" s="24"/>
      <c r="F27" s="24">
        <v>1200000</v>
      </c>
      <c r="G27" s="66"/>
      <c r="H27" s="45"/>
      <c r="I27" s="46"/>
      <c r="J27" s="46"/>
      <c r="K27" s="46"/>
      <c r="L27" s="46"/>
      <c r="M27" s="46"/>
      <c r="N27" s="45"/>
      <c r="O27" s="46"/>
      <c r="P27" s="46"/>
      <c r="Q27" s="46"/>
      <c r="R27" s="47"/>
      <c r="S27" s="24"/>
    </row>
    <row r="28" spans="1:19">
      <c r="A28" s="62" t="s">
        <v>50</v>
      </c>
      <c r="B28" s="22">
        <v>3000000</v>
      </c>
      <c r="C28" s="23">
        <v>3000000</v>
      </c>
      <c r="D28" s="24">
        <v>3775000</v>
      </c>
      <c r="E28" s="24"/>
      <c r="F28" s="24">
        <v>3395210</v>
      </c>
      <c r="G28" s="66"/>
      <c r="H28" s="45"/>
      <c r="I28" s="46"/>
      <c r="J28" s="46"/>
      <c r="K28" s="46"/>
      <c r="L28" s="46"/>
      <c r="M28" s="46"/>
      <c r="N28" s="45"/>
      <c r="O28" s="46"/>
      <c r="P28" s="46"/>
      <c r="Q28" s="46"/>
      <c r="R28" s="47"/>
      <c r="S28" s="24"/>
    </row>
    <row r="29" spans="1:19">
      <c r="A29" s="62" t="s">
        <v>51</v>
      </c>
      <c r="B29" s="22">
        <v>151706</v>
      </c>
      <c r="C29" s="23">
        <v>3000</v>
      </c>
      <c r="D29" s="24">
        <v>646000</v>
      </c>
      <c r="E29" s="24"/>
      <c r="F29" s="24">
        <v>723000</v>
      </c>
      <c r="G29" s="66"/>
      <c r="H29" s="45"/>
      <c r="I29" s="46"/>
      <c r="J29" s="46"/>
      <c r="K29" s="46"/>
      <c r="L29" s="46"/>
      <c r="M29" s="46"/>
      <c r="N29" s="45"/>
      <c r="O29" s="46"/>
      <c r="P29" s="46"/>
      <c r="Q29" s="46"/>
      <c r="R29" s="47"/>
      <c r="S29" s="24"/>
    </row>
    <row r="30" spans="1:19">
      <c r="A30" s="60" t="s">
        <v>52</v>
      </c>
      <c r="B30" s="27">
        <f>SUM(B31:B34)</f>
        <v>11280</v>
      </c>
      <c r="C30" s="23">
        <f>SUM(C31:C34)</f>
        <v>0</v>
      </c>
      <c r="D30" s="23">
        <f>SUM(D31:D34)</f>
        <v>0</v>
      </c>
      <c r="E30" s="23">
        <f t="shared" ref="E30:F30" si="19">SUM(E31:E34)</f>
        <v>0</v>
      </c>
      <c r="F30" s="23">
        <f t="shared" si="19"/>
        <v>0</v>
      </c>
      <c r="G30" s="23">
        <f>SUM(G31:G34)</f>
        <v>0</v>
      </c>
      <c r="H30" s="45"/>
      <c r="I30" s="46"/>
      <c r="J30" s="46"/>
      <c r="K30" s="46"/>
      <c r="L30" s="46"/>
      <c r="M30" s="46"/>
      <c r="N30" s="45"/>
      <c r="O30" s="46"/>
      <c r="P30" s="46"/>
      <c r="Q30" s="46"/>
      <c r="R30" s="47"/>
      <c r="S30" s="24"/>
    </row>
    <row r="31" spans="1:19">
      <c r="A31" s="62" t="s">
        <v>48</v>
      </c>
      <c r="B31" s="22"/>
      <c r="C31" s="23"/>
      <c r="D31" s="24"/>
      <c r="E31" s="24"/>
      <c r="F31" s="24"/>
      <c r="G31" s="66"/>
      <c r="H31" s="45"/>
      <c r="I31" s="46"/>
      <c r="J31" s="46"/>
      <c r="K31" s="46"/>
      <c r="L31" s="46"/>
      <c r="M31" s="46"/>
      <c r="N31" s="45"/>
      <c r="O31" s="46"/>
      <c r="P31" s="46"/>
      <c r="Q31" s="46"/>
      <c r="R31" s="47"/>
      <c r="S31" s="24"/>
    </row>
    <row r="32" spans="1:19">
      <c r="A32" s="62" t="s">
        <v>49</v>
      </c>
      <c r="B32" s="22"/>
      <c r="C32" s="23"/>
      <c r="D32" s="24"/>
      <c r="E32" s="24"/>
      <c r="F32" s="24"/>
      <c r="G32" s="66"/>
      <c r="H32" s="45"/>
      <c r="I32" s="46"/>
      <c r="J32" s="46"/>
      <c r="K32" s="46"/>
      <c r="L32" s="46"/>
      <c r="M32" s="46"/>
      <c r="N32" s="45"/>
      <c r="O32" s="46"/>
      <c r="P32" s="46"/>
      <c r="Q32" s="46"/>
      <c r="R32" s="47"/>
      <c r="S32" s="24"/>
    </row>
    <row r="33" spans="1:19">
      <c r="A33" s="62" t="s">
        <v>50</v>
      </c>
      <c r="B33" s="22"/>
      <c r="C33" s="23"/>
      <c r="D33" s="24"/>
      <c r="E33" s="24"/>
      <c r="F33" s="24"/>
      <c r="G33" s="66"/>
      <c r="H33" s="45"/>
      <c r="I33" s="46"/>
      <c r="J33" s="46"/>
      <c r="K33" s="46"/>
      <c r="L33" s="46"/>
      <c r="M33" s="46"/>
      <c r="N33" s="45"/>
      <c r="O33" s="46"/>
      <c r="P33" s="46"/>
      <c r="Q33" s="46"/>
      <c r="R33" s="47"/>
      <c r="S33" s="24"/>
    </row>
    <row r="34" spans="1:19">
      <c r="A34" s="62" t="s">
        <v>51</v>
      </c>
      <c r="B34" s="22">
        <v>11280</v>
      </c>
      <c r="C34" s="23">
        <v>0</v>
      </c>
      <c r="D34" s="24">
        <v>0</v>
      </c>
      <c r="E34" s="24"/>
      <c r="F34" s="24">
        <v>0</v>
      </c>
      <c r="G34" s="66"/>
      <c r="H34" s="45"/>
      <c r="I34" s="46"/>
      <c r="J34" s="46"/>
      <c r="K34" s="46"/>
      <c r="L34" s="46"/>
      <c r="M34" s="46"/>
      <c r="N34" s="45"/>
      <c r="O34" s="46"/>
      <c r="P34" s="46"/>
      <c r="Q34" s="46"/>
      <c r="R34" s="47"/>
      <c r="S34" s="24"/>
    </row>
    <row r="35" spans="1:19">
      <c r="A35" s="60" t="s">
        <v>53</v>
      </c>
      <c r="B35" s="22">
        <v>683127</v>
      </c>
      <c r="C35" s="29">
        <v>648000</v>
      </c>
      <c r="D35" s="24">
        <v>1035000</v>
      </c>
      <c r="E35" s="24"/>
      <c r="F35" s="24">
        <v>845000</v>
      </c>
      <c r="G35" s="66"/>
      <c r="H35" s="45"/>
      <c r="I35" s="46"/>
      <c r="J35" s="46"/>
      <c r="K35" s="46"/>
      <c r="L35" s="46"/>
      <c r="M35" s="46"/>
      <c r="N35" s="45"/>
      <c r="O35" s="46"/>
      <c r="P35" s="46"/>
      <c r="Q35" s="46"/>
      <c r="R35" s="47"/>
      <c r="S35" s="24"/>
    </row>
    <row r="36" spans="1:19">
      <c r="A36" s="59" t="s">
        <v>54</v>
      </c>
      <c r="B36" s="30">
        <f>SUM(B37:B38)</f>
        <v>0</v>
      </c>
      <c r="C36" s="31">
        <f>SUM(C37:C38)</f>
        <v>0</v>
      </c>
      <c r="D36" s="31">
        <f>SUM(D37:D38)</f>
        <v>0</v>
      </c>
      <c r="E36" s="31">
        <f t="shared" ref="E36:F36" si="20">SUM(E37:E38)</f>
        <v>0</v>
      </c>
      <c r="F36" s="31">
        <f t="shared" si="20"/>
        <v>0</v>
      </c>
      <c r="G36" s="31">
        <f>SUM(G37:G38)</f>
        <v>0</v>
      </c>
      <c r="H36" s="48">
        <f>B36/B75</f>
        <v>0</v>
      </c>
      <c r="I36" s="43">
        <f>C36/C75</f>
        <v>0</v>
      </c>
      <c r="J36" s="43">
        <f t="shared" ref="J36:M36" si="21">D36/D75</f>
        <v>0</v>
      </c>
      <c r="K36" s="43" t="e">
        <f t="shared" si="21"/>
        <v>#DIV/0!</v>
      </c>
      <c r="L36" s="43">
        <f t="shared" si="21"/>
        <v>0</v>
      </c>
      <c r="M36" s="43">
        <f t="shared" si="21"/>
        <v>0</v>
      </c>
      <c r="N36" s="48" t="e">
        <f>C36/B36</f>
        <v>#DIV/0!</v>
      </c>
      <c r="O36" s="43" t="e">
        <f>D36/C36</f>
        <v>#DIV/0!</v>
      </c>
      <c r="P36" s="43" t="e">
        <f t="shared" ref="P36:R37" si="22">E36/D36</f>
        <v>#DIV/0!</v>
      </c>
      <c r="Q36" s="43" t="e">
        <f t="shared" si="22"/>
        <v>#DIV/0!</v>
      </c>
      <c r="R36" s="49" t="e">
        <f t="shared" si="22"/>
        <v>#DIV/0!</v>
      </c>
      <c r="S36" s="24"/>
    </row>
    <row r="37" spans="1:19">
      <c r="A37" s="60" t="s">
        <v>55</v>
      </c>
      <c r="B37" s="22"/>
      <c r="C37" s="23"/>
      <c r="D37" s="24"/>
      <c r="E37" s="24"/>
      <c r="F37" s="24"/>
      <c r="G37" s="66"/>
      <c r="H37" s="45">
        <f>B37/B75</f>
        <v>0</v>
      </c>
      <c r="I37" s="46">
        <f>C37/C75</f>
        <v>0</v>
      </c>
      <c r="J37" s="46">
        <f t="shared" ref="J37:M37" si="23">D37/D75</f>
        <v>0</v>
      </c>
      <c r="K37" s="46" t="e">
        <f t="shared" si="23"/>
        <v>#DIV/0!</v>
      </c>
      <c r="L37" s="46">
        <f t="shared" si="23"/>
        <v>0</v>
      </c>
      <c r="M37" s="46">
        <f t="shared" si="23"/>
        <v>0</v>
      </c>
      <c r="N37" s="45" t="e">
        <f>C37/B37</f>
        <v>#DIV/0!</v>
      </c>
      <c r="O37" s="46" t="e">
        <f>D37/C37</f>
        <v>#DIV/0!</v>
      </c>
      <c r="P37" s="46" t="e">
        <f t="shared" si="22"/>
        <v>#DIV/0!</v>
      </c>
      <c r="Q37" s="46" t="e">
        <f t="shared" si="22"/>
        <v>#DIV/0!</v>
      </c>
      <c r="R37" s="47" t="e">
        <f t="shared" si="22"/>
        <v>#DIV/0!</v>
      </c>
      <c r="S37" s="24"/>
    </row>
    <row r="38" spans="1:19">
      <c r="A38" s="60" t="s">
        <v>56</v>
      </c>
      <c r="B38" s="22"/>
      <c r="C38" s="23"/>
      <c r="D38" s="24"/>
      <c r="E38" s="24"/>
      <c r="F38" s="24"/>
      <c r="G38" s="66"/>
      <c r="H38" s="45"/>
      <c r="I38" s="46"/>
      <c r="J38" s="46"/>
      <c r="K38" s="46"/>
      <c r="L38" s="46"/>
      <c r="M38" s="46"/>
      <c r="N38" s="45"/>
      <c r="O38" s="46"/>
      <c r="P38" s="46"/>
      <c r="Q38" s="46"/>
      <c r="R38" s="47"/>
      <c r="S38" s="24"/>
    </row>
    <row r="39" spans="1:19">
      <c r="A39" s="63" t="s">
        <v>57</v>
      </c>
      <c r="B39" s="20">
        <f>B40+B46+B58+B74</f>
        <v>23439812</v>
      </c>
      <c r="C39" s="21">
        <f>C40+C46+C58+C74</f>
        <v>18933000</v>
      </c>
      <c r="D39" s="21">
        <f>D40+D46+D58+D74</f>
        <v>18708000</v>
      </c>
      <c r="E39" s="21">
        <f t="shared" ref="E39:F39" si="24">E40+E46+E58+E74</f>
        <v>0</v>
      </c>
      <c r="F39" s="21">
        <f t="shared" si="24"/>
        <v>18887360</v>
      </c>
      <c r="G39" s="21">
        <f>G40+G46+G58+G74</f>
        <v>0</v>
      </c>
      <c r="H39" s="48">
        <f>B39/B75</f>
        <v>0.51101549163300253</v>
      </c>
      <c r="I39" s="43">
        <f>C39/C75</f>
        <v>0.45724152921003697</v>
      </c>
      <c r="J39" s="43">
        <f t="shared" ref="J39:M39" si="25">D39/D75</f>
        <v>0.44476142928464446</v>
      </c>
      <c r="K39" s="43" t="e">
        <f t="shared" si="25"/>
        <v>#DIV/0!</v>
      </c>
      <c r="L39" s="43">
        <f t="shared" si="25"/>
        <v>0.44614981957815586</v>
      </c>
      <c r="M39" s="43">
        <f t="shared" si="25"/>
        <v>0</v>
      </c>
      <c r="N39" s="48">
        <f t="shared" ref="N39:O42" si="26">C39/B39</f>
        <v>0.80772832137049566</v>
      </c>
      <c r="O39" s="43">
        <f t="shared" si="26"/>
        <v>0.98811598795753441</v>
      </c>
      <c r="P39" s="43">
        <f t="shared" ref="P39:R42" si="27">E39/D39</f>
        <v>0</v>
      </c>
      <c r="Q39" s="43" t="e">
        <f t="shared" si="27"/>
        <v>#DIV/0!</v>
      </c>
      <c r="R39" s="49">
        <f t="shared" si="27"/>
        <v>0</v>
      </c>
      <c r="S39" s="24">
        <f t="shared" ref="S39" si="28">F39-D39</f>
        <v>179360</v>
      </c>
    </row>
    <row r="40" spans="1:19">
      <c r="A40" s="63" t="s">
        <v>58</v>
      </c>
      <c r="B40" s="30">
        <f>SUM(B41:B44)</f>
        <v>11549042</v>
      </c>
      <c r="C40" s="31">
        <f>SUM(C41:C45)</f>
        <v>10375000</v>
      </c>
      <c r="D40" s="31">
        <f>SUM(D41:D45)</f>
        <v>9333000</v>
      </c>
      <c r="E40" s="31">
        <f t="shared" ref="E40:F40" si="29">SUM(E41:E45)</f>
        <v>0</v>
      </c>
      <c r="F40" s="31">
        <f t="shared" si="29"/>
        <v>9075000</v>
      </c>
      <c r="G40" s="31">
        <f>SUM(G41:G45)</f>
        <v>0</v>
      </c>
      <c r="H40" s="48">
        <f>B40/B75</f>
        <v>0.2517827094995555</v>
      </c>
      <c r="I40" s="43">
        <f>C40/C75</f>
        <v>0.25056149926340959</v>
      </c>
      <c r="J40" s="43">
        <f t="shared" ref="J40:M40" si="30">D40/D75</f>
        <v>0.2218814635190072</v>
      </c>
      <c r="K40" s="43" t="e">
        <f t="shared" si="30"/>
        <v>#DIV/0!</v>
      </c>
      <c r="L40" s="43">
        <f t="shared" si="30"/>
        <v>0.21436609524421435</v>
      </c>
      <c r="M40" s="43">
        <f t="shared" si="30"/>
        <v>0</v>
      </c>
      <c r="N40" s="48">
        <f t="shared" si="26"/>
        <v>0.89834291017384815</v>
      </c>
      <c r="O40" s="43">
        <f t="shared" si="26"/>
        <v>0.89956626506024095</v>
      </c>
      <c r="P40" s="43">
        <f t="shared" si="27"/>
        <v>0</v>
      </c>
      <c r="Q40" s="43" t="e">
        <f t="shared" si="27"/>
        <v>#DIV/0!</v>
      </c>
      <c r="R40" s="49">
        <f t="shared" si="27"/>
        <v>0</v>
      </c>
      <c r="S40" s="24"/>
    </row>
    <row r="41" spans="1:19">
      <c r="A41" s="60" t="s">
        <v>4</v>
      </c>
      <c r="B41" s="22">
        <v>320000</v>
      </c>
      <c r="C41" s="23">
        <v>650000</v>
      </c>
      <c r="D41" s="24">
        <v>500000</v>
      </c>
      <c r="E41" s="24"/>
      <c r="F41" s="24">
        <v>575000</v>
      </c>
      <c r="G41" s="66"/>
      <c r="H41" s="45">
        <f>B41/B75</f>
        <v>6.9763766587616323E-3</v>
      </c>
      <c r="I41" s="46">
        <f>C41/C75</f>
        <v>1.5697828869514815E-2</v>
      </c>
      <c r="J41" s="46">
        <f t="shared" ref="J41:M41" si="31">D41/D75</f>
        <v>1.1886931507500654E-2</v>
      </c>
      <c r="K41" s="46" t="e">
        <f t="shared" si="31"/>
        <v>#DIV/0!</v>
      </c>
      <c r="L41" s="46">
        <f t="shared" si="31"/>
        <v>1.3582424767539753E-2</v>
      </c>
      <c r="M41" s="46">
        <f t="shared" si="31"/>
        <v>0</v>
      </c>
      <c r="N41" s="45">
        <f t="shared" si="26"/>
        <v>2.03125</v>
      </c>
      <c r="O41" s="46">
        <f t="shared" si="26"/>
        <v>0.76923076923076927</v>
      </c>
      <c r="P41" s="46">
        <f t="shared" si="27"/>
        <v>0</v>
      </c>
      <c r="Q41" s="46" t="e">
        <f t="shared" si="27"/>
        <v>#DIV/0!</v>
      </c>
      <c r="R41" s="47">
        <f t="shared" si="27"/>
        <v>0</v>
      </c>
      <c r="S41" s="24"/>
    </row>
    <row r="42" spans="1:19">
      <c r="A42" s="60" t="s">
        <v>5</v>
      </c>
      <c r="B42" s="22">
        <v>1680000</v>
      </c>
      <c r="C42" s="23">
        <v>400000</v>
      </c>
      <c r="D42" s="24">
        <v>500000</v>
      </c>
      <c r="E42" s="24"/>
      <c r="F42" s="24">
        <v>600000</v>
      </c>
      <c r="G42" s="66"/>
      <c r="H42" s="45">
        <f>B42/B75</f>
        <v>3.662597745849857E-2</v>
      </c>
      <c r="I42" s="46">
        <f>C42/C75</f>
        <v>9.6602023812398866E-3</v>
      </c>
      <c r="J42" s="46">
        <f t="shared" ref="J42:M42" si="32">D42/D75</f>
        <v>1.1886931507500654E-2</v>
      </c>
      <c r="K42" s="46" t="e">
        <f t="shared" si="32"/>
        <v>#DIV/0!</v>
      </c>
      <c r="L42" s="46">
        <f t="shared" si="32"/>
        <v>1.4172964974824089E-2</v>
      </c>
      <c r="M42" s="46">
        <f t="shared" si="32"/>
        <v>0</v>
      </c>
      <c r="N42" s="45">
        <f t="shared" si="26"/>
        <v>0.23809523809523808</v>
      </c>
      <c r="O42" s="46">
        <f t="shared" si="26"/>
        <v>1.25</v>
      </c>
      <c r="P42" s="46">
        <f t="shared" si="27"/>
        <v>0</v>
      </c>
      <c r="Q42" s="46" t="e">
        <f t="shared" si="27"/>
        <v>#DIV/0!</v>
      </c>
      <c r="R42" s="47">
        <f t="shared" si="27"/>
        <v>0</v>
      </c>
      <c r="S42" s="24"/>
    </row>
    <row r="43" spans="1:19">
      <c r="A43" s="60" t="s">
        <v>6</v>
      </c>
      <c r="B43" s="22">
        <v>6000000</v>
      </c>
      <c r="C43" s="23">
        <v>5875000</v>
      </c>
      <c r="D43" s="24">
        <v>4333000</v>
      </c>
      <c r="E43" s="24"/>
      <c r="F43" s="24">
        <v>3950000</v>
      </c>
      <c r="G43" s="66"/>
      <c r="H43" s="45"/>
      <c r="I43" s="46"/>
      <c r="J43" s="46"/>
      <c r="K43" s="46"/>
      <c r="L43" s="46"/>
      <c r="M43" s="46"/>
      <c r="N43" s="45"/>
      <c r="O43" s="46"/>
      <c r="P43" s="46"/>
      <c r="Q43" s="46"/>
      <c r="R43" s="47"/>
      <c r="S43" s="24"/>
    </row>
    <row r="44" spans="1:19">
      <c r="A44" s="60" t="s">
        <v>7</v>
      </c>
      <c r="B44" s="27">
        <v>3549042</v>
      </c>
      <c r="C44" s="23">
        <v>2550000</v>
      </c>
      <c r="D44" s="24">
        <v>2900000</v>
      </c>
      <c r="E44" s="24"/>
      <c r="F44" s="24">
        <v>2700000</v>
      </c>
      <c r="G44" s="66"/>
      <c r="H44" s="45"/>
      <c r="I44" s="46"/>
      <c r="J44" s="46"/>
      <c r="K44" s="46"/>
      <c r="L44" s="46"/>
      <c r="M44" s="46"/>
      <c r="N44" s="45"/>
      <c r="O44" s="46"/>
      <c r="P44" s="46"/>
      <c r="Q44" s="46"/>
      <c r="R44" s="47"/>
      <c r="S44" s="24"/>
    </row>
    <row r="45" spans="1:19">
      <c r="A45" s="60" t="s">
        <v>59</v>
      </c>
      <c r="B45" s="23">
        <v>1500000</v>
      </c>
      <c r="C45" s="23">
        <v>900000</v>
      </c>
      <c r="D45" s="24">
        <v>1100000</v>
      </c>
      <c r="E45" s="24"/>
      <c r="F45" s="24">
        <v>1250000</v>
      </c>
      <c r="G45" s="66"/>
      <c r="H45" s="45"/>
      <c r="I45" s="46"/>
      <c r="J45" s="46"/>
      <c r="K45" s="46"/>
      <c r="L45" s="46"/>
      <c r="M45" s="46"/>
      <c r="N45" s="45"/>
      <c r="O45" s="46"/>
      <c r="P45" s="46"/>
      <c r="Q45" s="46"/>
      <c r="R45" s="47"/>
      <c r="S45" s="24"/>
    </row>
    <row r="46" spans="1:19">
      <c r="A46" s="59" t="s">
        <v>60</v>
      </c>
      <c r="B46" s="20">
        <f>B47+B51</f>
        <v>7271290</v>
      </c>
      <c r="C46" s="21">
        <f>C47+C51</f>
        <v>6452000</v>
      </c>
      <c r="D46" s="21">
        <f>D47+D51</f>
        <v>6279000</v>
      </c>
      <c r="E46" s="21">
        <f t="shared" ref="E46:F46" si="33">E47+E51</f>
        <v>0</v>
      </c>
      <c r="F46" s="21">
        <f t="shared" si="33"/>
        <v>6136200</v>
      </c>
      <c r="G46" s="21">
        <f>G47+G51</f>
        <v>0</v>
      </c>
      <c r="H46" s="48">
        <f>B46/B75</f>
        <v>0.15852268073464648</v>
      </c>
      <c r="I46" s="43">
        <f>C46/C75</f>
        <v>0.15581906440939938</v>
      </c>
      <c r="J46" s="43">
        <f t="shared" ref="J46:M46" si="34">D46/D75</f>
        <v>0.1492760858711932</v>
      </c>
      <c r="K46" s="43" t="e">
        <f t="shared" si="34"/>
        <v>#DIV/0!</v>
      </c>
      <c r="L46" s="43">
        <f t="shared" si="34"/>
        <v>0.14494691279752597</v>
      </c>
      <c r="M46" s="43">
        <f t="shared" si="34"/>
        <v>0</v>
      </c>
      <c r="N46" s="48">
        <f>C46/B46</f>
        <v>0.88732535767381027</v>
      </c>
      <c r="O46" s="43">
        <f>D46/C46</f>
        <v>0.97318660880347174</v>
      </c>
      <c r="P46" s="43">
        <f>E46/D46</f>
        <v>0</v>
      </c>
      <c r="Q46" s="43" t="e">
        <f>F46/E46</f>
        <v>#DIV/0!</v>
      </c>
      <c r="R46" s="49">
        <f>G46/F46</f>
        <v>0</v>
      </c>
      <c r="S46" s="24"/>
    </row>
    <row r="47" spans="1:19">
      <c r="A47" s="60" t="s">
        <v>61</v>
      </c>
      <c r="B47" s="22">
        <f>SUM(B48:B50)</f>
        <v>5500000</v>
      </c>
      <c r="C47" s="29">
        <f>SUM(C48:C50)</f>
        <v>5100000</v>
      </c>
      <c r="D47" s="29">
        <f>SUM(D48:D50)</f>
        <v>5000000</v>
      </c>
      <c r="E47" s="29">
        <f t="shared" ref="E47" si="35">SUM(E48:E50)</f>
        <v>0</v>
      </c>
      <c r="F47" s="29">
        <v>5150000</v>
      </c>
      <c r="G47" s="29">
        <f>SUM(G48:G50)</f>
        <v>0</v>
      </c>
      <c r="H47" s="45"/>
      <c r="I47" s="46"/>
      <c r="J47" s="46"/>
      <c r="K47" s="46"/>
      <c r="L47" s="46"/>
      <c r="M47" s="46"/>
      <c r="N47" s="45">
        <f>C47/B47</f>
        <v>0.92727272727272725</v>
      </c>
      <c r="O47" s="46"/>
      <c r="P47" s="46"/>
      <c r="Q47" s="46"/>
      <c r="R47" s="47"/>
      <c r="S47" s="24"/>
    </row>
    <row r="48" spans="1:19">
      <c r="A48" s="62" t="s">
        <v>62</v>
      </c>
      <c r="B48" s="22">
        <v>3200000</v>
      </c>
      <c r="C48" s="23">
        <v>3100000</v>
      </c>
      <c r="D48" s="24">
        <v>3000000</v>
      </c>
      <c r="E48" s="24"/>
      <c r="F48" s="24">
        <v>3000000</v>
      </c>
      <c r="G48" s="66"/>
      <c r="H48" s="45"/>
      <c r="I48" s="46"/>
      <c r="J48" s="46"/>
      <c r="K48" s="46"/>
      <c r="L48" s="46"/>
      <c r="M48" s="46"/>
      <c r="N48" s="45"/>
      <c r="O48" s="46"/>
      <c r="P48" s="46"/>
      <c r="Q48" s="46"/>
      <c r="R48" s="47"/>
      <c r="S48" s="24"/>
    </row>
    <row r="49" spans="1:19">
      <c r="A49" s="62" t="s">
        <v>63</v>
      </c>
      <c r="B49" s="22">
        <v>2300000</v>
      </c>
      <c r="C49" s="23">
        <v>1500000</v>
      </c>
      <c r="D49" s="24">
        <v>1500000</v>
      </c>
      <c r="E49" s="24"/>
      <c r="F49" s="24">
        <v>2000000</v>
      </c>
      <c r="G49" s="66"/>
      <c r="H49" s="45"/>
      <c r="I49" s="46"/>
      <c r="J49" s="46"/>
      <c r="K49" s="46"/>
      <c r="L49" s="46"/>
      <c r="M49" s="46"/>
      <c r="N49" s="45"/>
      <c r="O49" s="46"/>
      <c r="P49" s="46"/>
      <c r="Q49" s="46"/>
      <c r="R49" s="47"/>
      <c r="S49" s="24"/>
    </row>
    <row r="50" spans="1:19">
      <c r="A50" s="62" t="s">
        <v>64</v>
      </c>
      <c r="B50" s="22"/>
      <c r="C50" s="23">
        <v>500000</v>
      </c>
      <c r="D50" s="24">
        <v>500000</v>
      </c>
      <c r="E50" s="24"/>
      <c r="F50" s="24">
        <v>350000</v>
      </c>
      <c r="G50" s="66"/>
      <c r="H50" s="45"/>
      <c r="I50" s="46"/>
      <c r="J50" s="46"/>
      <c r="K50" s="46"/>
      <c r="L50" s="46"/>
      <c r="M50" s="46"/>
      <c r="N50" s="45"/>
      <c r="O50" s="46"/>
      <c r="P50" s="46"/>
      <c r="Q50" s="46"/>
      <c r="R50" s="47"/>
      <c r="S50" s="24"/>
    </row>
    <row r="51" spans="1:19">
      <c r="A51" s="60" t="s">
        <v>65</v>
      </c>
      <c r="B51" s="22">
        <f>SUM(B52:B57)</f>
        <v>1771290</v>
      </c>
      <c r="C51" s="29">
        <f>SUM(C52:C57)</f>
        <v>1352000</v>
      </c>
      <c r="D51" s="29">
        <f>SUM(D52:D57)</f>
        <v>1279000</v>
      </c>
      <c r="E51" s="29">
        <f t="shared" ref="E51" si="36">SUM(E52:E57)</f>
        <v>0</v>
      </c>
      <c r="F51" s="29">
        <v>986200</v>
      </c>
      <c r="G51" s="29">
        <f>SUM(G52:G57)</f>
        <v>0</v>
      </c>
      <c r="H51" s="45">
        <f>B51/B75</f>
        <v>3.8616206912180914E-2</v>
      </c>
      <c r="I51" s="46">
        <f>C51/C75</f>
        <v>3.265148404859082E-2</v>
      </c>
      <c r="J51" s="46">
        <f t="shared" ref="J51:M51" si="37">D51/D75</f>
        <v>3.0406770796186672E-2</v>
      </c>
      <c r="K51" s="46" t="e">
        <f t="shared" si="37"/>
        <v>#DIV/0!</v>
      </c>
      <c r="L51" s="46">
        <f t="shared" si="37"/>
        <v>2.3295630096952531E-2</v>
      </c>
      <c r="M51" s="46">
        <f t="shared" si="37"/>
        <v>0</v>
      </c>
      <c r="N51" s="45">
        <f t="shared" ref="N51:O54" si="38">C51/B51</f>
        <v>0.7632855150765826</v>
      </c>
      <c r="O51" s="46">
        <f t="shared" si="38"/>
        <v>0.94600591715976334</v>
      </c>
      <c r="P51" s="46">
        <f t="shared" ref="P51:R54" si="39">E51/D51</f>
        <v>0</v>
      </c>
      <c r="Q51" s="46" t="e">
        <f t="shared" si="39"/>
        <v>#DIV/0!</v>
      </c>
      <c r="R51" s="47">
        <f t="shared" si="39"/>
        <v>0</v>
      </c>
      <c r="S51" s="24"/>
    </row>
    <row r="52" spans="1:19">
      <c r="A52" s="62" t="s">
        <v>62</v>
      </c>
      <c r="B52" s="22">
        <v>171290</v>
      </c>
      <c r="C52" s="23">
        <v>200000</v>
      </c>
      <c r="D52" s="24">
        <v>350000</v>
      </c>
      <c r="E52" s="24"/>
      <c r="F52" s="24">
        <v>295000</v>
      </c>
      <c r="G52" s="66"/>
      <c r="H52" s="45">
        <f>B52/B75</f>
        <v>3.73432361837275E-3</v>
      </c>
      <c r="I52" s="46">
        <f>C52/C75</f>
        <v>4.8301011906199433E-3</v>
      </c>
      <c r="J52" s="46">
        <f t="shared" ref="J52:M52" si="40">D52/D75</f>
        <v>8.3208520552504571E-3</v>
      </c>
      <c r="K52" s="46" t="e">
        <f t="shared" si="40"/>
        <v>#DIV/0!</v>
      </c>
      <c r="L52" s="46">
        <f t="shared" si="40"/>
        <v>6.9683744459551776E-3</v>
      </c>
      <c r="M52" s="46">
        <f t="shared" si="40"/>
        <v>0</v>
      </c>
      <c r="N52" s="45">
        <f t="shared" si="38"/>
        <v>1.1676104851421565</v>
      </c>
      <c r="O52" s="46">
        <f t="shared" si="38"/>
        <v>1.75</v>
      </c>
      <c r="P52" s="46">
        <f t="shared" si="39"/>
        <v>0</v>
      </c>
      <c r="Q52" s="46" t="e">
        <f t="shared" si="39"/>
        <v>#DIV/0!</v>
      </c>
      <c r="R52" s="47">
        <f t="shared" si="39"/>
        <v>0</v>
      </c>
      <c r="S52" s="24"/>
    </row>
    <row r="53" spans="1:19">
      <c r="A53" s="62" t="s">
        <v>63</v>
      </c>
      <c r="B53" s="22">
        <v>1000000</v>
      </c>
      <c r="C53" s="23">
        <v>1000000</v>
      </c>
      <c r="D53" s="24">
        <v>850000</v>
      </c>
      <c r="E53" s="24"/>
      <c r="F53" s="24">
        <v>700000</v>
      </c>
      <c r="G53" s="66"/>
      <c r="H53" s="45">
        <f>B53/B75</f>
        <v>2.1801177058630102E-2</v>
      </c>
      <c r="I53" s="46">
        <f>C53/C75</f>
        <v>2.4150505953099716E-2</v>
      </c>
      <c r="J53" s="46">
        <f t="shared" ref="J53:M53" si="41">D53/D75</f>
        <v>2.0207783562751113E-2</v>
      </c>
      <c r="K53" s="46" t="e">
        <f t="shared" si="41"/>
        <v>#DIV/0!</v>
      </c>
      <c r="L53" s="46">
        <f t="shared" si="41"/>
        <v>1.6535125803961437E-2</v>
      </c>
      <c r="M53" s="46">
        <f t="shared" si="41"/>
        <v>0</v>
      </c>
      <c r="N53" s="45">
        <f t="shared" si="38"/>
        <v>1</v>
      </c>
      <c r="O53" s="46">
        <f t="shared" si="38"/>
        <v>0.85</v>
      </c>
      <c r="P53" s="46">
        <f t="shared" si="39"/>
        <v>0</v>
      </c>
      <c r="Q53" s="46" t="e">
        <f t="shared" si="39"/>
        <v>#DIV/0!</v>
      </c>
      <c r="R53" s="47">
        <f t="shared" si="39"/>
        <v>0</v>
      </c>
      <c r="S53" s="24"/>
    </row>
    <row r="54" spans="1:19">
      <c r="A54" s="62" t="s">
        <v>66</v>
      </c>
      <c r="B54" s="22">
        <v>600000</v>
      </c>
      <c r="C54" s="23">
        <v>56000</v>
      </c>
      <c r="D54" s="24">
        <v>31000</v>
      </c>
      <c r="E54" s="24"/>
      <c r="F54" s="24">
        <v>20000</v>
      </c>
      <c r="G54" s="66"/>
      <c r="H54" s="45">
        <f>B54/B75</f>
        <v>1.308070623517806E-2</v>
      </c>
      <c r="I54" s="46">
        <f>C54/C75</f>
        <v>1.3524283333735841E-3</v>
      </c>
      <c r="J54" s="46">
        <f t="shared" ref="J54:M54" si="42">D54/D75</f>
        <v>7.3698975346504054E-4</v>
      </c>
      <c r="K54" s="46" t="e">
        <f t="shared" si="42"/>
        <v>#DIV/0!</v>
      </c>
      <c r="L54" s="46">
        <f t="shared" si="42"/>
        <v>4.7243216582746965E-4</v>
      </c>
      <c r="M54" s="46">
        <f t="shared" si="42"/>
        <v>0</v>
      </c>
      <c r="N54" s="45">
        <f t="shared" si="38"/>
        <v>9.3333333333333338E-2</v>
      </c>
      <c r="O54" s="46">
        <f t="shared" si="38"/>
        <v>0.5535714285714286</v>
      </c>
      <c r="P54" s="46">
        <f t="shared" si="39"/>
        <v>0</v>
      </c>
      <c r="Q54" s="46" t="e">
        <f t="shared" si="39"/>
        <v>#DIV/0!</v>
      </c>
      <c r="R54" s="47">
        <f t="shared" si="39"/>
        <v>0</v>
      </c>
      <c r="S54" s="24"/>
    </row>
    <row r="55" spans="1:19">
      <c r="A55" s="62" t="s">
        <v>67</v>
      </c>
      <c r="B55" s="22"/>
      <c r="C55" s="23"/>
      <c r="D55" s="24"/>
      <c r="E55" s="24"/>
      <c r="F55" s="24"/>
      <c r="G55" s="66"/>
      <c r="H55" s="45"/>
      <c r="I55" s="46"/>
      <c r="J55" s="46"/>
      <c r="K55" s="46"/>
      <c r="L55" s="46"/>
      <c r="M55" s="46"/>
      <c r="N55" s="45"/>
      <c r="O55" s="46"/>
      <c r="P55" s="46"/>
      <c r="Q55" s="46"/>
      <c r="R55" s="47"/>
      <c r="S55" s="24"/>
    </row>
    <row r="56" spans="1:19">
      <c r="A56" s="62" t="s">
        <v>64</v>
      </c>
      <c r="B56" s="22"/>
      <c r="C56" s="23"/>
      <c r="D56" s="24"/>
      <c r="E56" s="24"/>
      <c r="F56" s="24"/>
      <c r="G56" s="66"/>
      <c r="H56" s="45"/>
      <c r="I56" s="46"/>
      <c r="J56" s="46"/>
      <c r="K56" s="46"/>
      <c r="L56" s="46"/>
      <c r="M56" s="46"/>
      <c r="N56" s="45"/>
      <c r="O56" s="46"/>
      <c r="P56" s="46"/>
      <c r="Q56" s="46"/>
      <c r="R56" s="47"/>
      <c r="S56" s="24"/>
    </row>
    <row r="57" spans="1:19">
      <c r="A57" s="62" t="s">
        <v>68</v>
      </c>
      <c r="B57" s="22"/>
      <c r="C57" s="23">
        <v>96000</v>
      </c>
      <c r="D57" s="24">
        <v>48000</v>
      </c>
      <c r="E57" s="24"/>
      <c r="F57" s="24"/>
      <c r="G57" s="66"/>
      <c r="H57" s="45"/>
      <c r="I57" s="46"/>
      <c r="J57" s="46"/>
      <c r="K57" s="46"/>
      <c r="L57" s="46"/>
      <c r="M57" s="46"/>
      <c r="N57" s="45"/>
      <c r="O57" s="46"/>
      <c r="P57" s="46"/>
      <c r="Q57" s="46"/>
      <c r="R57" s="47"/>
      <c r="S57" s="24"/>
    </row>
    <row r="58" spans="1:19">
      <c r="A58" s="59" t="s">
        <v>69</v>
      </c>
      <c r="B58" s="20">
        <f>B59+B64+B69+B73</f>
        <v>4619480</v>
      </c>
      <c r="C58" s="21">
        <f>C59+C64+C69+C73</f>
        <v>2106000</v>
      </c>
      <c r="D58" s="21">
        <f>D59+D64+D69+D73</f>
        <v>3096000</v>
      </c>
      <c r="E58" s="21">
        <f t="shared" ref="E58" si="43">E59+E64+E69+E73</f>
        <v>0</v>
      </c>
      <c r="F58" s="21">
        <f>F59+F64+F69+F73</f>
        <v>3676160</v>
      </c>
      <c r="G58" s="21">
        <f>G59+G64+G69+G73</f>
        <v>0</v>
      </c>
      <c r="H58" s="48">
        <f>B58/B75</f>
        <v>0.10071010139880059</v>
      </c>
      <c r="I58" s="43">
        <f>C58/C75</f>
        <v>5.0860965537228006E-2</v>
      </c>
      <c r="J58" s="43">
        <f t="shared" ref="J58:M58" si="44">D58/D75</f>
        <v>7.3603879894444044E-2</v>
      </c>
      <c r="K58" s="43" t="e">
        <f t="shared" si="44"/>
        <v>#DIV/0!</v>
      </c>
      <c r="L58" s="43">
        <f t="shared" si="44"/>
        <v>8.6836811536415537E-2</v>
      </c>
      <c r="M58" s="43">
        <f t="shared" si="44"/>
        <v>0</v>
      </c>
      <c r="N58" s="48">
        <f>C58/B58</f>
        <v>0.4558954687540589</v>
      </c>
      <c r="O58" s="43">
        <f>D58/C58</f>
        <v>1.4700854700854702</v>
      </c>
      <c r="P58" s="43">
        <f>E58/D58</f>
        <v>0</v>
      </c>
      <c r="Q58" s="43" t="e">
        <f>F58/E58</f>
        <v>#DIV/0!</v>
      </c>
      <c r="R58" s="49">
        <f>G58/F58</f>
        <v>0</v>
      </c>
      <c r="S58" s="24"/>
    </row>
    <row r="59" spans="1:19">
      <c r="A59" s="60" t="s">
        <v>70</v>
      </c>
      <c r="B59" s="27">
        <f>SUM(B60:B63)</f>
        <v>320480</v>
      </c>
      <c r="C59" s="23">
        <f>SUM(C60:C63)</f>
        <v>1082000</v>
      </c>
      <c r="D59" s="23">
        <f>SUM(D60:D63)</f>
        <v>1024000</v>
      </c>
      <c r="E59" s="23">
        <f t="shared" ref="E59:F59" si="45">SUM(E60:E63)</f>
        <v>0</v>
      </c>
      <c r="F59" s="23">
        <f t="shared" si="45"/>
        <v>1039000</v>
      </c>
      <c r="G59" s="23">
        <f>SUM(G60:G63)</f>
        <v>0</v>
      </c>
      <c r="H59" s="45"/>
      <c r="I59" s="46"/>
      <c r="J59" s="46"/>
      <c r="K59" s="46"/>
      <c r="L59" s="46"/>
      <c r="M59" s="46"/>
      <c r="N59" s="45"/>
      <c r="O59" s="46"/>
      <c r="P59" s="46"/>
      <c r="Q59" s="46"/>
      <c r="R59" s="47"/>
      <c r="S59" s="24"/>
    </row>
    <row r="60" spans="1:19">
      <c r="A60" s="62" t="s">
        <v>48</v>
      </c>
      <c r="B60" s="22">
        <v>170480</v>
      </c>
      <c r="C60" s="23">
        <v>500000</v>
      </c>
      <c r="D60" s="24">
        <v>450000</v>
      </c>
      <c r="E60" s="24"/>
      <c r="F60" s="24">
        <v>380000</v>
      </c>
      <c r="G60" s="66"/>
      <c r="H60" s="45"/>
      <c r="I60" s="46"/>
      <c r="J60" s="46"/>
      <c r="K60" s="46"/>
      <c r="L60" s="46"/>
      <c r="M60" s="46"/>
      <c r="N60" s="45"/>
      <c r="O60" s="46"/>
      <c r="P60" s="46"/>
      <c r="Q60" s="46"/>
      <c r="R60" s="47"/>
      <c r="S60" s="24"/>
    </row>
    <row r="61" spans="1:19">
      <c r="A61" s="62" t="s">
        <v>49</v>
      </c>
      <c r="B61" s="22">
        <v>150000</v>
      </c>
      <c r="C61" s="23">
        <v>132000</v>
      </c>
      <c r="D61" s="24">
        <v>174000</v>
      </c>
      <c r="E61" s="24"/>
      <c r="F61" s="24">
        <v>194000</v>
      </c>
      <c r="G61" s="66"/>
      <c r="H61" s="45"/>
      <c r="I61" s="46"/>
      <c r="J61" s="46"/>
      <c r="K61" s="46"/>
      <c r="L61" s="46"/>
      <c r="M61" s="46"/>
      <c r="N61" s="45"/>
      <c r="O61" s="46"/>
      <c r="P61" s="46"/>
      <c r="Q61" s="46"/>
      <c r="R61" s="47"/>
      <c r="S61" s="24"/>
    </row>
    <row r="62" spans="1:19">
      <c r="A62" s="62" t="s">
        <v>50</v>
      </c>
      <c r="B62" s="22"/>
      <c r="C62" s="23">
        <v>450000</v>
      </c>
      <c r="D62" s="24">
        <v>400000</v>
      </c>
      <c r="E62" s="24"/>
      <c r="F62" s="24">
        <v>465000</v>
      </c>
      <c r="G62" s="66"/>
      <c r="H62" s="45"/>
      <c r="I62" s="46"/>
      <c r="J62" s="46"/>
      <c r="K62" s="46"/>
      <c r="L62" s="46"/>
      <c r="M62" s="46"/>
      <c r="N62" s="45"/>
      <c r="O62" s="46"/>
      <c r="P62" s="46"/>
      <c r="Q62" s="46"/>
      <c r="R62" s="47"/>
      <c r="S62" s="24"/>
    </row>
    <row r="63" spans="1:19">
      <c r="A63" s="62" t="s">
        <v>71</v>
      </c>
      <c r="B63" s="22"/>
      <c r="C63" s="29"/>
      <c r="D63" s="24"/>
      <c r="E63" s="24"/>
      <c r="F63" s="24"/>
      <c r="G63" s="66"/>
      <c r="H63" s="45"/>
      <c r="I63" s="46"/>
      <c r="J63" s="46"/>
      <c r="K63" s="46"/>
      <c r="L63" s="46"/>
      <c r="M63" s="46"/>
      <c r="N63" s="45"/>
      <c r="O63" s="46"/>
      <c r="P63" s="46"/>
      <c r="Q63" s="46"/>
      <c r="R63" s="47"/>
      <c r="S63" s="24"/>
    </row>
    <row r="64" spans="1:19">
      <c r="A64" s="60" t="s">
        <v>72</v>
      </c>
      <c r="B64" s="27">
        <f>SUM(B65:B68)</f>
        <v>0</v>
      </c>
      <c r="C64" s="23">
        <f>SUM(C65:C68)</f>
        <v>0</v>
      </c>
      <c r="D64" s="23">
        <f>SUM(D65:D68)</f>
        <v>0</v>
      </c>
      <c r="E64" s="23">
        <f t="shared" ref="E64:F64" si="46">SUM(E65:E68)</f>
        <v>0</v>
      </c>
      <c r="F64" s="23">
        <f t="shared" si="46"/>
        <v>0</v>
      </c>
      <c r="G64" s="23">
        <f>SUM(G65:G68)</f>
        <v>0</v>
      </c>
      <c r="H64" s="45"/>
      <c r="I64" s="46"/>
      <c r="J64" s="46"/>
      <c r="K64" s="46"/>
      <c r="L64" s="46"/>
      <c r="M64" s="46"/>
      <c r="N64" s="45"/>
      <c r="O64" s="46"/>
      <c r="P64" s="46"/>
      <c r="Q64" s="46"/>
      <c r="R64" s="47"/>
      <c r="S64" s="24"/>
    </row>
    <row r="65" spans="1:20">
      <c r="A65" s="62" t="s">
        <v>48</v>
      </c>
      <c r="B65" s="22"/>
      <c r="C65" s="23"/>
      <c r="D65" s="24"/>
      <c r="E65" s="24"/>
      <c r="F65" s="24"/>
      <c r="G65" s="66"/>
      <c r="H65" s="45"/>
      <c r="I65" s="46"/>
      <c r="J65" s="46"/>
      <c r="K65" s="46"/>
      <c r="L65" s="46"/>
      <c r="M65" s="46"/>
      <c r="N65" s="45"/>
      <c r="O65" s="46"/>
      <c r="P65" s="46"/>
      <c r="Q65" s="46"/>
      <c r="R65" s="47"/>
      <c r="S65" s="24"/>
    </row>
    <row r="66" spans="1:20">
      <c r="A66" s="62" t="s">
        <v>49</v>
      </c>
      <c r="B66" s="22"/>
      <c r="C66" s="23"/>
      <c r="D66" s="24"/>
      <c r="E66" s="24"/>
      <c r="F66" s="24"/>
      <c r="G66" s="66"/>
      <c r="H66" s="45"/>
      <c r="I66" s="46"/>
      <c r="J66" s="46"/>
      <c r="K66" s="46"/>
      <c r="L66" s="46"/>
      <c r="M66" s="46"/>
      <c r="N66" s="45"/>
      <c r="O66" s="46"/>
      <c r="P66" s="46"/>
      <c r="Q66" s="46"/>
      <c r="R66" s="47"/>
      <c r="S66" s="24"/>
    </row>
    <row r="67" spans="1:20">
      <c r="A67" s="62" t="s">
        <v>50</v>
      </c>
      <c r="B67" s="22"/>
      <c r="C67" s="23"/>
      <c r="D67" s="24"/>
      <c r="E67" s="24"/>
      <c r="F67" s="24"/>
      <c r="G67" s="66"/>
      <c r="H67" s="45"/>
      <c r="I67" s="46"/>
      <c r="J67" s="46"/>
      <c r="K67" s="46"/>
      <c r="L67" s="46"/>
      <c r="M67" s="46"/>
      <c r="N67" s="45"/>
      <c r="O67" s="46"/>
      <c r="P67" s="46"/>
      <c r="Q67" s="46"/>
      <c r="R67" s="47"/>
      <c r="S67" s="24"/>
    </row>
    <row r="68" spans="1:20">
      <c r="A68" s="62" t="s">
        <v>71</v>
      </c>
      <c r="B68" s="22"/>
      <c r="C68" s="23"/>
      <c r="D68" s="24"/>
      <c r="E68" s="24"/>
      <c r="F68" s="24"/>
      <c r="G68" s="66"/>
      <c r="H68" s="45"/>
      <c r="I68" s="46"/>
      <c r="J68" s="46"/>
      <c r="K68" s="46"/>
      <c r="L68" s="46"/>
      <c r="M68" s="46"/>
      <c r="N68" s="45"/>
      <c r="O68" s="46"/>
      <c r="P68" s="46"/>
      <c r="Q68" s="46"/>
      <c r="R68" s="47"/>
      <c r="S68" s="24"/>
    </row>
    <row r="69" spans="1:20">
      <c r="A69" s="60" t="s">
        <v>73</v>
      </c>
      <c r="B69" s="22">
        <f>SUM(B70:B72)</f>
        <v>4291000</v>
      </c>
      <c r="C69" s="29">
        <f>SUM(C70:C72)</f>
        <v>972000</v>
      </c>
      <c r="D69" s="29">
        <f>SUM(D70:D72)</f>
        <v>2072000</v>
      </c>
      <c r="E69" s="29">
        <f t="shared" ref="E69:F69" si="47">SUM(E70:E72)</f>
        <v>0</v>
      </c>
      <c r="F69" s="29">
        <f t="shared" si="47"/>
        <v>2607160</v>
      </c>
      <c r="G69" s="29">
        <f>SUM(G70:G72)</f>
        <v>0</v>
      </c>
      <c r="H69" s="45">
        <f>B69/B75</f>
        <v>9.354885075858177E-2</v>
      </c>
      <c r="I69" s="46">
        <f>C69/C75</f>
        <v>2.3474291786412926E-2</v>
      </c>
      <c r="J69" s="46">
        <f t="shared" ref="J69:M69" si="48">D69/D75</f>
        <v>4.9259444167082708E-2</v>
      </c>
      <c r="K69" s="46" t="e">
        <f t="shared" si="48"/>
        <v>#DIV/0!</v>
      </c>
      <c r="L69" s="46">
        <f t="shared" si="48"/>
        <v>6.1585312272937287E-2</v>
      </c>
      <c r="M69" s="46">
        <f t="shared" si="48"/>
        <v>0</v>
      </c>
      <c r="N69" s="45">
        <f>C69/B69</f>
        <v>0.22652062456303892</v>
      </c>
      <c r="O69" s="46">
        <f>D69/C69</f>
        <v>2.1316872427983538</v>
      </c>
      <c r="P69" s="46">
        <f t="shared" ref="P69:R70" si="49">E69/D69</f>
        <v>0</v>
      </c>
      <c r="Q69" s="46" t="e">
        <f t="shared" si="49"/>
        <v>#DIV/0!</v>
      </c>
      <c r="R69" s="47">
        <f t="shared" si="49"/>
        <v>0</v>
      </c>
      <c r="S69" s="24"/>
    </row>
    <row r="70" spans="1:20">
      <c r="A70" s="62" t="s">
        <v>74</v>
      </c>
      <c r="B70" s="22">
        <v>3500000</v>
      </c>
      <c r="C70" s="23">
        <v>872000</v>
      </c>
      <c r="D70" s="24">
        <v>1900000</v>
      </c>
      <c r="E70" s="24"/>
      <c r="F70" s="24">
        <v>2413160</v>
      </c>
      <c r="G70" s="66"/>
      <c r="H70" s="45">
        <f>B70/B75</f>
        <v>7.6304119705205356E-2</v>
      </c>
      <c r="I70" s="46">
        <f>C70/C75</f>
        <v>2.1059241191102952E-2</v>
      </c>
      <c r="J70" s="46">
        <f t="shared" ref="J70:M70" si="50">D70/D75</f>
        <v>4.5170339728502484E-2</v>
      </c>
      <c r="K70" s="46" t="e">
        <f t="shared" si="50"/>
        <v>#DIV/0!</v>
      </c>
      <c r="L70" s="46">
        <f t="shared" si="50"/>
        <v>5.7002720264410833E-2</v>
      </c>
      <c r="M70" s="46">
        <f t="shared" si="50"/>
        <v>0</v>
      </c>
      <c r="N70" s="45">
        <f>C70/B70</f>
        <v>0.24914285714285714</v>
      </c>
      <c r="O70" s="46">
        <f>D70/C70</f>
        <v>2.1788990825688073</v>
      </c>
      <c r="P70" s="46">
        <f t="shared" si="49"/>
        <v>0</v>
      </c>
      <c r="Q70" s="46" t="e">
        <f t="shared" si="49"/>
        <v>#DIV/0!</v>
      </c>
      <c r="R70" s="47">
        <f t="shared" si="49"/>
        <v>0</v>
      </c>
      <c r="S70" s="24"/>
    </row>
    <row r="71" spans="1:20">
      <c r="A71" s="62" t="s">
        <v>75</v>
      </c>
      <c r="B71" s="22">
        <v>791000</v>
      </c>
      <c r="C71" s="23">
        <v>100000</v>
      </c>
      <c r="D71" s="24">
        <v>172000</v>
      </c>
      <c r="E71" s="24"/>
      <c r="F71" s="24">
        <v>194000</v>
      </c>
      <c r="G71" s="66"/>
      <c r="H71" s="45"/>
      <c r="I71" s="46"/>
      <c r="J71" s="46"/>
      <c r="K71" s="46"/>
      <c r="L71" s="46"/>
      <c r="M71" s="46"/>
      <c r="N71" s="45"/>
      <c r="O71" s="46"/>
      <c r="P71" s="46"/>
      <c r="Q71" s="46"/>
      <c r="R71" s="47"/>
      <c r="S71" s="24"/>
    </row>
    <row r="72" spans="1:20">
      <c r="A72" s="62" t="s">
        <v>76</v>
      </c>
      <c r="B72" s="22"/>
      <c r="C72" s="29"/>
      <c r="D72" s="24"/>
      <c r="E72" s="24"/>
      <c r="F72" s="24"/>
      <c r="G72" s="66"/>
      <c r="H72" s="45"/>
      <c r="I72" s="46"/>
      <c r="J72" s="46"/>
      <c r="K72" s="46"/>
      <c r="L72" s="46"/>
      <c r="M72" s="46"/>
      <c r="N72" s="45"/>
      <c r="O72" s="46"/>
      <c r="P72" s="46"/>
      <c r="Q72" s="46"/>
      <c r="R72" s="47"/>
      <c r="S72" s="24"/>
    </row>
    <row r="73" spans="1:20">
      <c r="A73" s="60" t="s">
        <v>77</v>
      </c>
      <c r="B73" s="22">
        <v>8000</v>
      </c>
      <c r="C73" s="29">
        <v>52000</v>
      </c>
      <c r="D73" s="24">
        <v>0</v>
      </c>
      <c r="E73" s="24"/>
      <c r="F73" s="24">
        <v>30000</v>
      </c>
      <c r="G73" s="66"/>
      <c r="H73" s="45"/>
      <c r="I73" s="46"/>
      <c r="J73" s="46"/>
      <c r="K73" s="46"/>
      <c r="L73" s="46"/>
      <c r="M73" s="46"/>
      <c r="N73" s="45"/>
      <c r="O73" s="46"/>
      <c r="P73" s="46"/>
      <c r="Q73" s="46"/>
      <c r="R73" s="47"/>
      <c r="S73" s="24"/>
    </row>
    <row r="74" spans="1:20" s="17" customFormat="1">
      <c r="A74" s="59" t="s">
        <v>78</v>
      </c>
      <c r="B74" s="30"/>
      <c r="C74" s="31"/>
      <c r="D74" s="35"/>
      <c r="E74" s="35"/>
      <c r="F74" s="35"/>
      <c r="G74" s="68"/>
      <c r="H74" s="48">
        <f>B74/B75</f>
        <v>0</v>
      </c>
      <c r="I74" s="43">
        <f>C74/C75</f>
        <v>0</v>
      </c>
      <c r="J74" s="43">
        <f t="shared" ref="J74:M74" si="51">D74/D75</f>
        <v>0</v>
      </c>
      <c r="K74" s="43" t="e">
        <f t="shared" si="51"/>
        <v>#DIV/0!</v>
      </c>
      <c r="L74" s="43">
        <f t="shared" si="51"/>
        <v>0</v>
      </c>
      <c r="M74" s="43">
        <f t="shared" si="51"/>
        <v>0</v>
      </c>
      <c r="N74" s="48" t="e">
        <f>C74/B74</f>
        <v>#DIV/0!</v>
      </c>
      <c r="O74" s="43" t="e">
        <f>D74/C74</f>
        <v>#DIV/0!</v>
      </c>
      <c r="P74" s="43" t="e">
        <f t="shared" ref="P74:R75" si="52">E74/D74</f>
        <v>#DIV/0!</v>
      </c>
      <c r="Q74" s="43" t="e">
        <f t="shared" si="52"/>
        <v>#DIV/0!</v>
      </c>
      <c r="R74" s="49" t="e">
        <f t="shared" si="52"/>
        <v>#DIV/0!</v>
      </c>
      <c r="S74" s="24"/>
      <c r="T74" s="35"/>
    </row>
    <row r="75" spans="1:20">
      <c r="A75" s="64" t="s">
        <v>79</v>
      </c>
      <c r="B75" s="32">
        <f>B4+B39</f>
        <v>45869083</v>
      </c>
      <c r="C75" s="33">
        <f>C4+C39</f>
        <v>41407000</v>
      </c>
      <c r="D75" s="33">
        <f>D4+D39</f>
        <v>42063000</v>
      </c>
      <c r="E75" s="33">
        <f t="shared" ref="E75:L75" si="53">E4+E39</f>
        <v>0</v>
      </c>
      <c r="F75" s="33">
        <f t="shared" si="53"/>
        <v>42334120</v>
      </c>
      <c r="G75" s="33">
        <f>G4+G39</f>
        <v>432000</v>
      </c>
      <c r="H75" s="56">
        <f>H4+H39</f>
        <v>1</v>
      </c>
      <c r="I75" s="57">
        <f>I4+I39</f>
        <v>1</v>
      </c>
      <c r="J75" s="57">
        <f>J4+J39</f>
        <v>1</v>
      </c>
      <c r="K75" s="57" t="e">
        <f t="shared" si="53"/>
        <v>#DIV/0!</v>
      </c>
      <c r="L75" s="57">
        <f t="shared" si="53"/>
        <v>1</v>
      </c>
      <c r="M75" s="57">
        <f>M4+M39</f>
        <v>1</v>
      </c>
      <c r="N75" s="48">
        <f>C75/B75</f>
        <v>0.90272133846669667</v>
      </c>
      <c r="O75" s="51">
        <f>D75/C75</f>
        <v>1.0158427319052334</v>
      </c>
      <c r="P75" s="51">
        <f t="shared" si="52"/>
        <v>0</v>
      </c>
      <c r="Q75" s="51" t="e">
        <f t="shared" si="52"/>
        <v>#DIV/0!</v>
      </c>
      <c r="R75" s="52">
        <f t="shared" si="52"/>
        <v>1.0204534781873345E-2</v>
      </c>
      <c r="S75" s="24">
        <f t="shared" ref="S75" si="54">F75-D75</f>
        <v>271120</v>
      </c>
      <c r="T75" s="33"/>
    </row>
    <row r="76" spans="1:20">
      <c r="A76" s="4"/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3"/>
      <c r="M76" s="13"/>
      <c r="N76" s="80"/>
      <c r="O76" s="80"/>
      <c r="P76" s="80"/>
      <c r="Q76" s="80"/>
    </row>
    <row r="77" spans="1:20" ht="13.5" customHeight="1">
      <c r="A77" s="198" t="s">
        <v>80</v>
      </c>
      <c r="B77" s="207" t="s">
        <v>203</v>
      </c>
      <c r="C77" s="208"/>
      <c r="D77" s="208"/>
      <c r="E77" s="208"/>
      <c r="F77" s="208"/>
      <c r="G77" s="209"/>
      <c r="H77" s="203" t="s">
        <v>25</v>
      </c>
      <c r="I77" s="204"/>
      <c r="J77" s="204"/>
      <c r="K77" s="204"/>
      <c r="L77" s="204"/>
      <c r="M77" s="205"/>
      <c r="N77" s="206" t="s">
        <v>26</v>
      </c>
      <c r="O77" s="206"/>
      <c r="P77" s="206"/>
      <c r="Q77" s="206"/>
      <c r="R77" s="206"/>
    </row>
    <row r="78" spans="1:20">
      <c r="A78" s="199"/>
      <c r="B78" s="8">
        <f>B3</f>
        <v>2011</v>
      </c>
      <c r="C78" s="8">
        <f>C3</f>
        <v>2012</v>
      </c>
      <c r="D78" s="8">
        <f>D3</f>
        <v>2013</v>
      </c>
      <c r="E78" s="8">
        <f>E3</f>
        <v>2014</v>
      </c>
      <c r="F78" s="8">
        <f>F3</f>
        <v>2015</v>
      </c>
      <c r="G78" s="8">
        <f t="shared" ref="G78" si="55">G3</f>
        <v>2016</v>
      </c>
      <c r="H78" s="8">
        <f>B78</f>
        <v>2011</v>
      </c>
      <c r="I78" s="8">
        <f>C78</f>
        <v>2012</v>
      </c>
      <c r="J78" s="8">
        <f t="shared" ref="J78:M78" si="56">D78</f>
        <v>2013</v>
      </c>
      <c r="K78" s="8">
        <f t="shared" si="56"/>
        <v>2014</v>
      </c>
      <c r="L78" s="8">
        <f t="shared" si="56"/>
        <v>2015</v>
      </c>
      <c r="M78" s="8">
        <f t="shared" si="56"/>
        <v>2016</v>
      </c>
      <c r="N78" s="8" t="s">
        <v>250</v>
      </c>
      <c r="O78" s="8" t="s">
        <v>251</v>
      </c>
      <c r="P78" s="8" t="s">
        <v>252</v>
      </c>
      <c r="Q78" s="8" t="s">
        <v>253</v>
      </c>
      <c r="R78" s="8" t="s">
        <v>254</v>
      </c>
      <c r="S78" s="24">
        <f>S126</f>
        <v>271120</v>
      </c>
    </row>
    <row r="79" spans="1:20">
      <c r="A79" s="58" t="s">
        <v>0</v>
      </c>
      <c r="B79" s="30">
        <f>SUM(B80:B88)</f>
        <v>20846724</v>
      </c>
      <c r="C79" s="31">
        <f>SUM(C80:C88)</f>
        <v>22920000</v>
      </c>
      <c r="D79" s="31">
        <f>SUM(D80:D88)</f>
        <v>23135000</v>
      </c>
      <c r="E79" s="31">
        <f t="shared" ref="E79:G79" si="57">SUM(E80:E88)</f>
        <v>2285000</v>
      </c>
      <c r="F79" s="31">
        <f t="shared" si="57"/>
        <v>23067500</v>
      </c>
      <c r="G79" s="79">
        <f t="shared" si="57"/>
        <v>0</v>
      </c>
      <c r="H79" s="42">
        <f>B79/B126</f>
        <v>0.45448312101639354</v>
      </c>
      <c r="I79" s="43">
        <f>C79/C126</f>
        <v>0.55352959644504551</v>
      </c>
      <c r="J79" s="43">
        <f>D79/D126</f>
        <v>0.5500083208520552</v>
      </c>
      <c r="K79" s="43">
        <f>E79/E126</f>
        <v>0.69558599695585999</v>
      </c>
      <c r="L79" s="43">
        <f>F79/F126</f>
        <v>0.54489144926125788</v>
      </c>
      <c r="M79" s="43" t="e">
        <f t="shared" ref="M79" si="58">G79/G126</f>
        <v>#DIV/0!</v>
      </c>
      <c r="N79" s="48">
        <f>C79/B79</f>
        <v>1.0994533241769786</v>
      </c>
      <c r="O79" s="43">
        <f>D79/C79</f>
        <v>1.0093804537521816</v>
      </c>
      <c r="P79" s="43">
        <f t="shared" ref="P79:R80" si="59">E79/D79</f>
        <v>9.8768100280959586E-2</v>
      </c>
      <c r="Q79" s="43">
        <f t="shared" si="59"/>
        <v>10.095185995623632</v>
      </c>
      <c r="R79" s="49">
        <f t="shared" si="59"/>
        <v>0</v>
      </c>
      <c r="S79" s="24">
        <f>F79-D79</f>
        <v>-67500</v>
      </c>
    </row>
    <row r="80" spans="1:20">
      <c r="A80" s="60" t="s">
        <v>81</v>
      </c>
      <c r="B80" s="22">
        <v>1057635</v>
      </c>
      <c r="C80" s="23">
        <v>1058000</v>
      </c>
      <c r="D80" s="24">
        <v>1058000</v>
      </c>
      <c r="E80" s="24">
        <v>1058000</v>
      </c>
      <c r="F80" s="24">
        <v>1058000</v>
      </c>
      <c r="G80" s="66"/>
      <c r="H80" s="45">
        <f>B80/B126</f>
        <v>2.3057687898404247E-2</v>
      </c>
      <c r="I80" s="46">
        <f>C80/C126</f>
        <v>2.55512352983795E-2</v>
      </c>
      <c r="J80" s="46">
        <f>D80/D126</f>
        <v>2.5152747069871383E-2</v>
      </c>
      <c r="K80" s="46">
        <f>E80/E126</f>
        <v>0.32207001522070017</v>
      </c>
      <c r="L80" s="46">
        <f>F80/F126</f>
        <v>2.4991661572273144E-2</v>
      </c>
      <c r="M80" s="46" t="e">
        <f t="shared" ref="M80" si="60">G80/G126</f>
        <v>#DIV/0!</v>
      </c>
      <c r="N80" s="45">
        <f>C80/B80</f>
        <v>1.0003451096077569</v>
      </c>
      <c r="O80" s="46">
        <f>D80/C80</f>
        <v>1</v>
      </c>
      <c r="P80" s="46">
        <f t="shared" si="59"/>
        <v>1</v>
      </c>
      <c r="Q80" s="46">
        <f t="shared" si="59"/>
        <v>1</v>
      </c>
      <c r="R80" s="47">
        <f t="shared" si="59"/>
        <v>0</v>
      </c>
    </row>
    <row r="81" spans="1:19">
      <c r="A81" s="60" t="s">
        <v>82</v>
      </c>
      <c r="B81" s="22"/>
      <c r="C81" s="23"/>
      <c r="D81" s="24"/>
      <c r="E81" s="24"/>
      <c r="F81" s="24"/>
      <c r="G81" s="66"/>
      <c r="H81" s="45"/>
      <c r="I81" s="46"/>
      <c r="J81" s="46"/>
      <c r="K81" s="46"/>
      <c r="L81" s="46"/>
      <c r="M81" s="46"/>
      <c r="N81" s="45"/>
      <c r="O81" s="46"/>
      <c r="P81" s="46"/>
      <c r="Q81" s="46"/>
      <c r="R81" s="47"/>
    </row>
    <row r="82" spans="1:19">
      <c r="A82" s="60" t="s">
        <v>83</v>
      </c>
      <c r="B82" s="22"/>
      <c r="C82" s="23"/>
      <c r="D82" s="24"/>
      <c r="E82" s="24"/>
      <c r="F82" s="24"/>
      <c r="G82" s="66"/>
      <c r="H82" s="45"/>
      <c r="I82" s="46"/>
      <c r="J82" s="46"/>
      <c r="K82" s="46"/>
      <c r="L82" s="46"/>
      <c r="M82" s="46"/>
      <c r="N82" s="45"/>
      <c r="O82" s="46"/>
      <c r="P82" s="46"/>
      <c r="Q82" s="46"/>
      <c r="R82" s="47"/>
    </row>
    <row r="83" spans="1:19">
      <c r="A83" s="60" t="s">
        <v>84</v>
      </c>
      <c r="B83" s="22"/>
      <c r="C83" s="23"/>
      <c r="D83" s="24"/>
      <c r="E83" s="24"/>
      <c r="F83" s="24"/>
      <c r="G83" s="66"/>
      <c r="H83" s="45">
        <f>B83/B126</f>
        <v>0</v>
      </c>
      <c r="I83" s="46">
        <f>C83/C126</f>
        <v>0</v>
      </c>
      <c r="J83" s="46">
        <f>D83/D126</f>
        <v>0</v>
      </c>
      <c r="K83" s="46">
        <f>E83/E126</f>
        <v>0</v>
      </c>
      <c r="L83" s="46">
        <f>F83/F126</f>
        <v>0</v>
      </c>
      <c r="M83" s="46" t="e">
        <f t="shared" ref="M83" si="61">G83/G126</f>
        <v>#DIV/0!</v>
      </c>
      <c r="N83" s="45" t="e">
        <f>C83/B83</f>
        <v>#DIV/0!</v>
      </c>
      <c r="O83" s="46" t="e">
        <f>D83/C83</f>
        <v>#DIV/0!</v>
      </c>
      <c r="P83" s="46" t="e">
        <f t="shared" ref="P83:R84" si="62">E83/D83</f>
        <v>#DIV/0!</v>
      </c>
      <c r="Q83" s="46" t="e">
        <f t="shared" si="62"/>
        <v>#DIV/0!</v>
      </c>
      <c r="R83" s="47" t="e">
        <f t="shared" si="62"/>
        <v>#DIV/0!</v>
      </c>
    </row>
    <row r="84" spans="1:19">
      <c r="A84" s="60" t="s">
        <v>85</v>
      </c>
      <c r="B84" s="22">
        <v>1227253</v>
      </c>
      <c r="C84" s="23">
        <v>1227000</v>
      </c>
      <c r="D84" s="24">
        <v>1227000</v>
      </c>
      <c r="E84" s="24">
        <v>1227000</v>
      </c>
      <c r="F84" s="24">
        <v>1227000</v>
      </c>
      <c r="G84" s="66"/>
      <c r="H84" s="45">
        <f>B84/B126</f>
        <v>2.6755559948734967E-2</v>
      </c>
      <c r="I84" s="46">
        <f>C84/C126</f>
        <v>2.9632670804453354E-2</v>
      </c>
      <c r="J84" s="46">
        <f>D84/D126</f>
        <v>2.9170529919406604E-2</v>
      </c>
      <c r="K84" s="46">
        <f>E84/E126</f>
        <v>0.37351598173515982</v>
      </c>
      <c r="L84" s="46">
        <f>F84/F126</f>
        <v>2.8983713373515265E-2</v>
      </c>
      <c r="M84" s="46" t="e">
        <f t="shared" ref="M84" si="63">G84/G126</f>
        <v>#DIV/0!</v>
      </c>
      <c r="N84" s="45">
        <f>C84/B84</f>
        <v>0.999793848538158</v>
      </c>
      <c r="O84" s="46">
        <f>D84/C84</f>
        <v>1</v>
      </c>
      <c r="P84" s="46">
        <f t="shared" si="62"/>
        <v>1</v>
      </c>
      <c r="Q84" s="46">
        <f t="shared" si="62"/>
        <v>1</v>
      </c>
      <c r="R84" s="47">
        <f t="shared" si="62"/>
        <v>0</v>
      </c>
    </row>
    <row r="85" spans="1:19">
      <c r="A85" s="60" t="s">
        <v>86</v>
      </c>
      <c r="B85" s="22">
        <v>-14617</v>
      </c>
      <c r="C85" s="23">
        <v>-69000</v>
      </c>
      <c r="D85" s="24">
        <v>168000</v>
      </c>
      <c r="E85" s="24"/>
      <c r="F85" s="24">
        <v>193500</v>
      </c>
      <c r="G85" s="66"/>
      <c r="H85" s="45"/>
      <c r="I85" s="46"/>
      <c r="J85" s="46"/>
      <c r="K85" s="46"/>
      <c r="L85" s="46"/>
      <c r="M85" s="46"/>
      <c r="N85" s="45"/>
      <c r="O85" s="46"/>
      <c r="P85" s="46"/>
      <c r="Q85" s="46"/>
      <c r="R85" s="47"/>
    </row>
    <row r="86" spans="1:19">
      <c r="A86" s="60" t="s">
        <v>87</v>
      </c>
      <c r="B86" s="22">
        <v>18576453</v>
      </c>
      <c r="C86" s="29">
        <v>20704000</v>
      </c>
      <c r="D86" s="23">
        <v>20682000</v>
      </c>
      <c r="E86" s="24"/>
      <c r="F86" s="24">
        <v>20589000</v>
      </c>
      <c r="G86" s="66"/>
      <c r="H86" s="45">
        <f>B86/B126</f>
        <v>0.40498854097432035</v>
      </c>
      <c r="I86" s="46">
        <f>C86/C126</f>
        <v>0.50001207525297653</v>
      </c>
      <c r="J86" s="46">
        <f>D86/D126</f>
        <v>0.49169103487625704</v>
      </c>
      <c r="K86" s="46">
        <f>E86/E126</f>
        <v>0</v>
      </c>
      <c r="L86" s="46">
        <f>F86/F126</f>
        <v>0.48634529311108865</v>
      </c>
      <c r="M86" s="46" t="e">
        <f t="shared" ref="M86" si="64">G86/G126</f>
        <v>#DIV/0!</v>
      </c>
      <c r="N86" s="45">
        <f>C86/B86</f>
        <v>1.1145292376321787</v>
      </c>
      <c r="O86" s="46">
        <f>D86/C86</f>
        <v>0.99893740340030912</v>
      </c>
      <c r="P86" s="46">
        <f t="shared" ref="P86:R87" si="65">E86/D86</f>
        <v>0</v>
      </c>
      <c r="Q86" s="46" t="e">
        <f t="shared" si="65"/>
        <v>#DIV/0!</v>
      </c>
      <c r="R86" s="47">
        <f t="shared" si="65"/>
        <v>0</v>
      </c>
    </row>
    <row r="87" spans="1:19">
      <c r="A87" s="60" t="s">
        <v>88</v>
      </c>
      <c r="B87" s="22"/>
      <c r="C87" s="23"/>
      <c r="D87" s="24"/>
      <c r="E87" s="24"/>
      <c r="F87" s="24"/>
      <c r="G87" s="66"/>
      <c r="H87" s="45">
        <f>B87/B126</f>
        <v>0</v>
      </c>
      <c r="I87" s="46">
        <f>C87/C126</f>
        <v>0</v>
      </c>
      <c r="J87" s="46">
        <f>D87/D126</f>
        <v>0</v>
      </c>
      <c r="K87" s="46">
        <f>E87/E126</f>
        <v>0</v>
      </c>
      <c r="L87" s="46">
        <f>F87/F126</f>
        <v>0</v>
      </c>
      <c r="M87" s="46" t="e">
        <f t="shared" ref="M87" si="66">G87/G126</f>
        <v>#DIV/0!</v>
      </c>
      <c r="N87" s="45" t="e">
        <f>C87/B87</f>
        <v>#DIV/0!</v>
      </c>
      <c r="O87" s="46" t="e">
        <f>D87/C87</f>
        <v>#DIV/0!</v>
      </c>
      <c r="P87" s="46" t="e">
        <f t="shared" si="65"/>
        <v>#DIV/0!</v>
      </c>
      <c r="Q87" s="46" t="e">
        <f t="shared" si="65"/>
        <v>#DIV/0!</v>
      </c>
      <c r="R87" s="47" t="e">
        <f t="shared" si="65"/>
        <v>#DIV/0!</v>
      </c>
    </row>
    <row r="88" spans="1:19" ht="13.4" customHeight="1">
      <c r="A88" s="60" t="s">
        <v>89</v>
      </c>
      <c r="B88" s="30"/>
      <c r="C88" s="31"/>
      <c r="D88" s="24"/>
      <c r="E88" s="24"/>
      <c r="F88" s="24"/>
      <c r="G88" s="66"/>
      <c r="H88" s="45"/>
      <c r="I88" s="46"/>
      <c r="J88" s="46"/>
      <c r="K88" s="46"/>
      <c r="L88" s="46"/>
      <c r="M88" s="46"/>
      <c r="N88" s="45"/>
      <c r="O88" s="46"/>
      <c r="P88" s="46"/>
      <c r="Q88" s="46"/>
      <c r="R88" s="47"/>
    </row>
    <row r="89" spans="1:19">
      <c r="A89" s="58" t="s">
        <v>90</v>
      </c>
      <c r="B89" s="20">
        <f>B90+B98+B105+B122</f>
        <v>25022359</v>
      </c>
      <c r="C89" s="21">
        <f>C90+C98+C105+C122</f>
        <v>18487000</v>
      </c>
      <c r="D89" s="21">
        <f>D90+D98+D105+D122</f>
        <v>18928000</v>
      </c>
      <c r="E89" s="21">
        <f t="shared" ref="E89:G89" si="67">E90+E98+E105+E122</f>
        <v>1000000</v>
      </c>
      <c r="F89" s="21">
        <f t="shared" si="67"/>
        <v>19266620</v>
      </c>
      <c r="G89" s="65">
        <f t="shared" si="67"/>
        <v>0</v>
      </c>
      <c r="H89" s="48">
        <f>B89/B126</f>
        <v>0.54551687898360646</v>
      </c>
      <c r="I89" s="43">
        <f>C89/C126</f>
        <v>0.44647040355495449</v>
      </c>
      <c r="J89" s="43">
        <f>D89/D126</f>
        <v>0.44999167914794475</v>
      </c>
      <c r="K89" s="43">
        <f>E89/E126</f>
        <v>0.30441400304414001</v>
      </c>
      <c r="L89" s="43">
        <f>F89/F126</f>
        <v>0.45510855073874218</v>
      </c>
      <c r="M89" s="43" t="e">
        <f t="shared" ref="M89" si="68">G89/G126</f>
        <v>#DIV/0!</v>
      </c>
      <c r="N89" s="48">
        <f>C89/B89</f>
        <v>0.73881922963378477</v>
      </c>
      <c r="O89" s="43">
        <f>D89/C89</f>
        <v>1.0238546005301021</v>
      </c>
      <c r="P89" s="43">
        <f t="shared" ref="P89:R90" si="69">E89/D89</f>
        <v>5.283178360101437E-2</v>
      </c>
      <c r="Q89" s="43">
        <f t="shared" si="69"/>
        <v>19.26662</v>
      </c>
      <c r="R89" s="49">
        <f t="shared" si="69"/>
        <v>0</v>
      </c>
      <c r="S89" s="24">
        <f>F89-D89</f>
        <v>338620</v>
      </c>
    </row>
    <row r="90" spans="1:19">
      <c r="A90" s="59" t="s">
        <v>91</v>
      </c>
      <c r="B90" s="30">
        <f>B91+B92+B95</f>
        <v>769928</v>
      </c>
      <c r="C90" s="31">
        <f>C91+C92+C95</f>
        <v>560000</v>
      </c>
      <c r="D90" s="31">
        <f>D91+D92+D95</f>
        <v>324000</v>
      </c>
      <c r="E90" s="31">
        <f t="shared" ref="E90:G90" si="70">E91+E92+E95</f>
        <v>0</v>
      </c>
      <c r="F90" s="31">
        <f t="shared" si="70"/>
        <v>294800</v>
      </c>
      <c r="G90" s="67">
        <f t="shared" si="70"/>
        <v>0</v>
      </c>
      <c r="H90" s="48">
        <f>B90/B126</f>
        <v>1.6785336650396956E-2</v>
      </c>
      <c r="I90" s="43">
        <f>C90/C126</f>
        <v>1.3524283333735843E-2</v>
      </c>
      <c r="J90" s="43">
        <f>D90/D126</f>
        <v>7.7027316168604238E-3</v>
      </c>
      <c r="K90" s="43">
        <f>E90/E126</f>
        <v>0</v>
      </c>
      <c r="L90" s="43">
        <f>F90/F126</f>
        <v>6.9636501242969027E-3</v>
      </c>
      <c r="M90" s="43" t="e">
        <f t="shared" ref="M90" si="71">G90/G126</f>
        <v>#DIV/0!</v>
      </c>
      <c r="N90" s="48">
        <f>C90/B90</f>
        <v>0.72734073835475521</v>
      </c>
      <c r="O90" s="43">
        <f>D90/C90</f>
        <v>0.57857142857142863</v>
      </c>
      <c r="P90" s="43">
        <f t="shared" si="69"/>
        <v>0</v>
      </c>
      <c r="Q90" s="43" t="e">
        <f t="shared" si="69"/>
        <v>#DIV/0!</v>
      </c>
      <c r="R90" s="49">
        <f t="shared" si="69"/>
        <v>0</v>
      </c>
    </row>
    <row r="91" spans="1:19">
      <c r="A91" s="60" t="s">
        <v>92</v>
      </c>
      <c r="B91" s="27"/>
      <c r="C91" s="23"/>
      <c r="D91" s="24"/>
      <c r="E91" s="24"/>
      <c r="F91" s="24"/>
      <c r="G91" s="66"/>
      <c r="H91" s="45"/>
      <c r="I91" s="46"/>
      <c r="J91" s="46"/>
      <c r="K91" s="46"/>
      <c r="L91" s="46"/>
      <c r="M91" s="46"/>
      <c r="N91" s="45"/>
      <c r="O91" s="46"/>
      <c r="P91" s="46"/>
      <c r="Q91" s="46"/>
      <c r="R91" s="47"/>
    </row>
    <row r="92" spans="1:19">
      <c r="A92" s="60" t="s">
        <v>93</v>
      </c>
      <c r="B92" s="22">
        <f>SUM(B93:B94)</f>
        <v>242181</v>
      </c>
      <c r="C92" s="29">
        <f>SUM(C93:C94)</f>
        <v>160000</v>
      </c>
      <c r="D92" s="29">
        <f>SUM(D93:D94)</f>
        <v>174000</v>
      </c>
      <c r="E92" s="29">
        <f t="shared" ref="E92:F92" si="72">SUM(E93:E94)</f>
        <v>0</v>
      </c>
      <c r="F92" s="29">
        <f t="shared" si="72"/>
        <v>153000</v>
      </c>
      <c r="G92" s="29"/>
      <c r="H92" s="45">
        <f>B92/B126</f>
        <v>5.2798308612360964E-3</v>
      </c>
      <c r="I92" s="46">
        <f>C92/C126</f>
        <v>3.8640809524959547E-3</v>
      </c>
      <c r="J92" s="46">
        <f>D92/D126</f>
        <v>4.1366521646102276E-3</v>
      </c>
      <c r="K92" s="46">
        <f>E92/E126</f>
        <v>0</v>
      </c>
      <c r="L92" s="46">
        <f>F92/F126</f>
        <v>3.614106068580143E-3</v>
      </c>
      <c r="M92" s="46" t="e">
        <f t="shared" ref="M92" si="73">G92/G126</f>
        <v>#DIV/0!</v>
      </c>
      <c r="N92" s="45">
        <f>C92/B92</f>
        <v>0.66066289262989253</v>
      </c>
      <c r="O92" s="46">
        <f>D92/C92</f>
        <v>1.0874999999999999</v>
      </c>
      <c r="P92" s="46">
        <f t="shared" ref="P92:R93" si="74">E92/D92</f>
        <v>0</v>
      </c>
      <c r="Q92" s="46" t="e">
        <f t="shared" si="74"/>
        <v>#DIV/0!</v>
      </c>
      <c r="R92" s="47">
        <f t="shared" si="74"/>
        <v>0</v>
      </c>
    </row>
    <row r="93" spans="1:19">
      <c r="A93" s="62" t="s">
        <v>94</v>
      </c>
      <c r="B93" s="22">
        <v>200000</v>
      </c>
      <c r="C93" s="23">
        <v>151000</v>
      </c>
      <c r="D93" s="24">
        <v>101000</v>
      </c>
      <c r="E93" s="24"/>
      <c r="F93" s="24">
        <v>94000</v>
      </c>
      <c r="G93" s="66"/>
      <c r="H93" s="45">
        <f>B93/B126</f>
        <v>4.3602354117260201E-3</v>
      </c>
      <c r="I93" s="46">
        <f>C93/C126</f>
        <v>3.6467263989180573E-3</v>
      </c>
      <c r="J93" s="46">
        <f>D93/D126</f>
        <v>2.4011601645151323E-3</v>
      </c>
      <c r="K93" s="46">
        <f>E93/E126</f>
        <v>0</v>
      </c>
      <c r="L93" s="46">
        <f>F93/F126</f>
        <v>2.2204311793891074E-3</v>
      </c>
      <c r="M93" s="46" t="e">
        <f t="shared" ref="M93" si="75">G93/G126</f>
        <v>#DIV/0!</v>
      </c>
      <c r="N93" s="45">
        <f>C93/B93</f>
        <v>0.755</v>
      </c>
      <c r="O93" s="46">
        <f>D93/C93</f>
        <v>0.66887417218543044</v>
      </c>
      <c r="P93" s="46">
        <f t="shared" si="74"/>
        <v>0</v>
      </c>
      <c r="Q93" s="46" t="e">
        <f t="shared" si="74"/>
        <v>#DIV/0!</v>
      </c>
      <c r="R93" s="47">
        <f t="shared" si="74"/>
        <v>0</v>
      </c>
    </row>
    <row r="94" spans="1:19">
      <c r="A94" s="62" t="s">
        <v>95</v>
      </c>
      <c r="B94" s="22">
        <v>42181</v>
      </c>
      <c r="C94" s="29">
        <v>9000</v>
      </c>
      <c r="D94" s="24">
        <v>73000</v>
      </c>
      <c r="E94" s="24"/>
      <c r="F94" s="24">
        <v>59000</v>
      </c>
      <c r="G94" s="66"/>
      <c r="H94" s="45"/>
      <c r="I94" s="46"/>
      <c r="J94" s="46"/>
      <c r="K94" s="46"/>
      <c r="L94" s="46"/>
      <c r="M94" s="46"/>
      <c r="N94" s="45"/>
      <c r="O94" s="46"/>
      <c r="P94" s="46"/>
      <c r="Q94" s="46"/>
      <c r="R94" s="47"/>
    </row>
    <row r="95" spans="1:19">
      <c r="A95" s="60" t="s">
        <v>96</v>
      </c>
      <c r="B95" s="22">
        <f>SUM(B96:B97)</f>
        <v>527747</v>
      </c>
      <c r="C95" s="29">
        <f>SUM(C96:C97)</f>
        <v>400000</v>
      </c>
      <c r="D95" s="29">
        <f>SUM(D96:D97)</f>
        <v>150000</v>
      </c>
      <c r="E95" s="29">
        <f t="shared" ref="E95:G95" si="76">SUM(E96:E97)</f>
        <v>0</v>
      </c>
      <c r="F95" s="29">
        <f t="shared" si="76"/>
        <v>141800</v>
      </c>
      <c r="G95" s="29">
        <f t="shared" si="76"/>
        <v>0</v>
      </c>
      <c r="H95" s="45"/>
      <c r="I95" s="46"/>
      <c r="J95" s="46"/>
      <c r="K95" s="46"/>
      <c r="L95" s="46"/>
      <c r="M95" s="46"/>
      <c r="N95" s="45"/>
      <c r="O95" s="46"/>
      <c r="P95" s="46"/>
      <c r="Q95" s="46"/>
      <c r="R95" s="47"/>
    </row>
    <row r="96" spans="1:19">
      <c r="A96" s="62" t="s">
        <v>94</v>
      </c>
      <c r="B96" s="22">
        <v>127747</v>
      </c>
      <c r="C96" s="23">
        <v>175000</v>
      </c>
      <c r="D96" s="24">
        <v>141000</v>
      </c>
      <c r="E96" s="24"/>
      <c r="F96" s="24">
        <v>120000</v>
      </c>
      <c r="G96" s="66"/>
      <c r="H96" s="45"/>
      <c r="I96" s="46"/>
      <c r="J96" s="46"/>
      <c r="K96" s="46"/>
      <c r="L96" s="46"/>
      <c r="M96" s="46"/>
      <c r="N96" s="45"/>
      <c r="O96" s="46"/>
      <c r="P96" s="46"/>
      <c r="Q96" s="46"/>
      <c r="R96" s="47"/>
    </row>
    <row r="97" spans="1:18">
      <c r="A97" s="62" t="s">
        <v>97</v>
      </c>
      <c r="B97" s="22">
        <v>400000</v>
      </c>
      <c r="C97" s="29">
        <v>225000</v>
      </c>
      <c r="D97" s="24">
        <v>9000</v>
      </c>
      <c r="E97" s="24"/>
      <c r="F97" s="24">
        <v>21800</v>
      </c>
      <c r="G97" s="66"/>
      <c r="H97" s="45"/>
      <c r="I97" s="46"/>
      <c r="J97" s="46"/>
      <c r="K97" s="46"/>
      <c r="L97" s="46"/>
      <c r="M97" s="46"/>
      <c r="N97" s="45"/>
      <c r="O97" s="46"/>
      <c r="P97" s="46"/>
      <c r="Q97" s="46"/>
      <c r="R97" s="47"/>
    </row>
    <row r="98" spans="1:18">
      <c r="A98" s="59" t="s">
        <v>98</v>
      </c>
      <c r="B98" s="30">
        <f>B99+B100</f>
        <v>9516637</v>
      </c>
      <c r="C98" s="31">
        <f>C99+C100</f>
        <v>9842000</v>
      </c>
      <c r="D98" s="31">
        <f>D99+D100</f>
        <v>6599000</v>
      </c>
      <c r="E98" s="31">
        <f t="shared" ref="E98:G98" si="77">E99+E100</f>
        <v>0</v>
      </c>
      <c r="F98" s="31">
        <f t="shared" si="77"/>
        <v>7093500</v>
      </c>
      <c r="G98" s="67">
        <f t="shared" si="77"/>
        <v>0</v>
      </c>
      <c r="H98" s="48">
        <f>B98/B126</f>
        <v>0.20747388823971039</v>
      </c>
      <c r="I98" s="43">
        <f>C98/C126</f>
        <v>0.23768927959040742</v>
      </c>
      <c r="J98" s="43">
        <f>D98/D126</f>
        <v>0.15688372203599363</v>
      </c>
      <c r="K98" s="43">
        <f>E98/E126</f>
        <v>0</v>
      </c>
      <c r="L98" s="43">
        <f>F98/F126</f>
        <v>0.16755987841485781</v>
      </c>
      <c r="M98" s="43" t="e">
        <f t="shared" ref="M98" si="78">G98/G126</f>
        <v>#DIV/0!</v>
      </c>
      <c r="N98" s="48">
        <f>C98/B98</f>
        <v>1.0341888631456679</v>
      </c>
      <c r="O98" s="43">
        <f>D98/C98</f>
        <v>0.67049380207274945</v>
      </c>
      <c r="P98" s="43">
        <f>E98/D98</f>
        <v>0</v>
      </c>
      <c r="Q98" s="43" t="e">
        <f>F98/E98</f>
        <v>#DIV/0!</v>
      </c>
      <c r="R98" s="49">
        <f>G98/F98</f>
        <v>0</v>
      </c>
    </row>
    <row r="99" spans="1:18">
      <c r="A99" s="60" t="s">
        <v>99</v>
      </c>
      <c r="B99" s="27"/>
      <c r="C99" s="23"/>
      <c r="D99" s="24"/>
      <c r="E99" s="24"/>
      <c r="F99" s="24"/>
      <c r="G99" s="66"/>
      <c r="H99" s="45"/>
      <c r="I99" s="46"/>
      <c r="J99" s="46"/>
      <c r="K99" s="46"/>
      <c r="L99" s="46"/>
      <c r="M99" s="46"/>
      <c r="N99" s="45"/>
      <c r="O99" s="46"/>
      <c r="P99" s="46"/>
      <c r="Q99" s="46"/>
      <c r="R99" s="47"/>
    </row>
    <row r="100" spans="1:18">
      <c r="A100" s="60" t="s">
        <v>100</v>
      </c>
      <c r="B100" s="22">
        <f>SUM(B101:B104)</f>
        <v>9516637</v>
      </c>
      <c r="C100" s="29">
        <f>SUM(C101:C104)</f>
        <v>9842000</v>
      </c>
      <c r="D100" s="29">
        <f>SUM(D101:D104)</f>
        <v>6599000</v>
      </c>
      <c r="E100" s="29">
        <f t="shared" ref="E100:G100" si="79">SUM(E101:E104)</f>
        <v>0</v>
      </c>
      <c r="F100" s="29">
        <f t="shared" si="79"/>
        <v>7093500</v>
      </c>
      <c r="G100" s="29">
        <f t="shared" si="79"/>
        <v>0</v>
      </c>
      <c r="H100" s="45">
        <f>B100/B126</f>
        <v>0.20747388823971039</v>
      </c>
      <c r="I100" s="46">
        <f>C100/C126</f>
        <v>0.23768927959040742</v>
      </c>
      <c r="J100" s="46">
        <f>D100/D126</f>
        <v>0.15688372203599363</v>
      </c>
      <c r="K100" s="46">
        <f>E100/E126</f>
        <v>0</v>
      </c>
      <c r="L100" s="46">
        <f>F100/F126</f>
        <v>0.16755987841485781</v>
      </c>
      <c r="M100" s="46" t="e">
        <f t="shared" ref="M100" si="80">G100/G126</f>
        <v>#DIV/0!</v>
      </c>
      <c r="N100" s="45">
        <f>C100/B100</f>
        <v>1.0341888631456679</v>
      </c>
      <c r="O100" s="46">
        <f>D100/C100</f>
        <v>0.67049380207274945</v>
      </c>
      <c r="P100" s="46">
        <f t="shared" ref="P100:R101" si="81">E100/D100</f>
        <v>0</v>
      </c>
      <c r="Q100" s="46" t="e">
        <f t="shared" si="81"/>
        <v>#DIV/0!</v>
      </c>
      <c r="R100" s="47">
        <f t="shared" si="81"/>
        <v>0</v>
      </c>
    </row>
    <row r="101" spans="1:18">
      <c r="A101" s="62" t="s">
        <v>101</v>
      </c>
      <c r="B101" s="22">
        <v>6346203</v>
      </c>
      <c r="C101" s="23">
        <v>4900000</v>
      </c>
      <c r="D101" s="24">
        <v>6000000</v>
      </c>
      <c r="E101" s="24"/>
      <c r="F101" s="24">
        <v>6250000</v>
      </c>
      <c r="G101" s="66">
        <v>0</v>
      </c>
      <c r="H101" s="45">
        <f>B101/B126</f>
        <v>0.13835469525300953</v>
      </c>
      <c r="I101" s="46">
        <f>C101/C126</f>
        <v>0.11833747917018861</v>
      </c>
      <c r="J101" s="46">
        <f>D101/D126</f>
        <v>0.14264317809000784</v>
      </c>
      <c r="K101" s="46">
        <f>E101/E126</f>
        <v>0</v>
      </c>
      <c r="L101" s="46">
        <f>F101/F126</f>
        <v>0.14763505182108427</v>
      </c>
      <c r="M101" s="46" t="e">
        <f t="shared" ref="M101" si="82">G101/G126</f>
        <v>#DIV/0!</v>
      </c>
      <c r="N101" s="45">
        <f>C101/B101</f>
        <v>0.77211523173778085</v>
      </c>
      <c r="O101" s="46">
        <f>D101/C101</f>
        <v>1.2244897959183674</v>
      </c>
      <c r="P101" s="46">
        <f t="shared" si="81"/>
        <v>0</v>
      </c>
      <c r="Q101" s="46" t="e">
        <f t="shared" si="81"/>
        <v>#DIV/0!</v>
      </c>
      <c r="R101" s="47">
        <f t="shared" si="81"/>
        <v>0</v>
      </c>
    </row>
    <row r="102" spans="1:18">
      <c r="A102" s="62" t="s">
        <v>102</v>
      </c>
      <c r="B102" s="22">
        <v>3000000</v>
      </c>
      <c r="C102" s="23">
        <v>4569000</v>
      </c>
      <c r="D102" s="24">
        <v>96000</v>
      </c>
      <c r="E102" s="24"/>
      <c r="F102" s="24">
        <v>364500</v>
      </c>
      <c r="G102" s="66"/>
      <c r="H102" s="45"/>
      <c r="I102" s="46"/>
      <c r="J102" s="46"/>
      <c r="K102" s="46"/>
      <c r="L102" s="46"/>
      <c r="M102" s="46"/>
      <c r="N102" s="45"/>
      <c r="O102" s="46"/>
      <c r="P102" s="46"/>
      <c r="Q102" s="46"/>
      <c r="R102" s="47"/>
    </row>
    <row r="103" spans="1:18">
      <c r="A103" s="62" t="s">
        <v>103</v>
      </c>
      <c r="B103" s="22">
        <v>0</v>
      </c>
      <c r="C103" s="23">
        <v>240000</v>
      </c>
      <c r="D103" s="24">
        <v>404000</v>
      </c>
      <c r="E103" s="24"/>
      <c r="F103" s="24">
        <v>356000</v>
      </c>
      <c r="G103" s="66"/>
      <c r="H103" s="45"/>
      <c r="I103" s="46"/>
      <c r="J103" s="46"/>
      <c r="K103" s="46"/>
      <c r="L103" s="46"/>
      <c r="M103" s="46"/>
      <c r="N103" s="45"/>
      <c r="O103" s="46"/>
      <c r="P103" s="46"/>
      <c r="Q103" s="46"/>
      <c r="R103" s="47"/>
    </row>
    <row r="104" spans="1:18">
      <c r="A104" s="62" t="s">
        <v>64</v>
      </c>
      <c r="B104" s="22">
        <v>170434</v>
      </c>
      <c r="C104" s="29">
        <v>133000</v>
      </c>
      <c r="D104" s="24">
        <v>99000</v>
      </c>
      <c r="E104" s="24"/>
      <c r="F104" s="24">
        <v>123000</v>
      </c>
      <c r="G104" s="66"/>
      <c r="H104" s="45"/>
      <c r="I104" s="46"/>
      <c r="J104" s="46"/>
      <c r="K104" s="46"/>
      <c r="L104" s="46"/>
      <c r="M104" s="46"/>
      <c r="N104" s="45"/>
      <c r="O104" s="46"/>
      <c r="P104" s="46"/>
      <c r="Q104" s="46"/>
      <c r="R104" s="47"/>
    </row>
    <row r="105" spans="1:18">
      <c r="A105" s="59" t="s">
        <v>104</v>
      </c>
      <c r="B105" s="20">
        <f>B106+B110+B121</f>
        <v>14735794</v>
      </c>
      <c r="C105" s="21">
        <f>C106+C110+C121</f>
        <v>8085000</v>
      </c>
      <c r="D105" s="21">
        <f>D106+D110+D121</f>
        <v>12005000</v>
      </c>
      <c r="E105" s="21">
        <f t="shared" ref="E105:G105" si="83">E106+E110+E121</f>
        <v>1000000</v>
      </c>
      <c r="F105" s="21">
        <f t="shared" si="83"/>
        <v>11878320</v>
      </c>
      <c r="G105" s="65">
        <f t="shared" si="83"/>
        <v>0</v>
      </c>
      <c r="H105" s="48">
        <f>B105/B126</f>
        <v>0.3212576540934991</v>
      </c>
      <c r="I105" s="43">
        <f>C105/C126</f>
        <v>0.19525684063081122</v>
      </c>
      <c r="J105" s="43">
        <f>D105/D126</f>
        <v>0.28540522549509068</v>
      </c>
      <c r="K105" s="43">
        <f>E105/E126</f>
        <v>0.30441400304414001</v>
      </c>
      <c r="L105" s="43">
        <f>F105/F126</f>
        <v>0.28058502219958747</v>
      </c>
      <c r="M105" s="43" t="e">
        <f t="shared" ref="M105" si="84">G105/G126</f>
        <v>#DIV/0!</v>
      </c>
      <c r="N105" s="48">
        <f>C105/B105</f>
        <v>0.54866402176903395</v>
      </c>
      <c r="O105" s="43">
        <f>D105/C105</f>
        <v>1.4848484848484849</v>
      </c>
      <c r="P105" s="43">
        <f>E105/D105</f>
        <v>8.3298625572678045E-2</v>
      </c>
      <c r="Q105" s="43">
        <f>F105/E105</f>
        <v>11.87832</v>
      </c>
      <c r="R105" s="49">
        <f>G105/F105</f>
        <v>0</v>
      </c>
    </row>
    <row r="106" spans="1:18">
      <c r="A106" s="60" t="s">
        <v>99</v>
      </c>
      <c r="B106" s="22">
        <f>SUM(B107:B109)</f>
        <v>10998036</v>
      </c>
      <c r="C106" s="29">
        <f>SUM(C107:C109)</f>
        <v>6275000</v>
      </c>
      <c r="D106" s="29">
        <f>SUM(D107:D109)</f>
        <v>9036000</v>
      </c>
      <c r="E106" s="29">
        <f t="shared" ref="E106:G106" si="85">SUM(E107:E109)</f>
        <v>0</v>
      </c>
      <c r="F106" s="29">
        <f t="shared" si="85"/>
        <v>9867000</v>
      </c>
      <c r="G106" s="29">
        <f t="shared" si="85"/>
        <v>0</v>
      </c>
      <c r="H106" s="45"/>
      <c r="I106" s="46"/>
      <c r="J106" s="46"/>
      <c r="K106" s="46"/>
      <c r="L106" s="46"/>
      <c r="M106" s="46"/>
      <c r="N106" s="45"/>
      <c r="O106" s="46"/>
      <c r="P106" s="46"/>
      <c r="Q106" s="46"/>
      <c r="R106" s="47"/>
    </row>
    <row r="107" spans="1:18">
      <c r="A107" s="62" t="s">
        <v>105</v>
      </c>
      <c r="B107" s="22">
        <v>5900000</v>
      </c>
      <c r="C107" s="23">
        <v>2967000</v>
      </c>
      <c r="D107" s="24">
        <v>5200000</v>
      </c>
      <c r="E107" s="24"/>
      <c r="F107" s="24">
        <v>5800000</v>
      </c>
      <c r="G107" s="66"/>
      <c r="H107" s="45"/>
      <c r="I107" s="46"/>
      <c r="J107" s="46"/>
      <c r="K107" s="46"/>
      <c r="L107" s="46"/>
      <c r="M107" s="46"/>
      <c r="N107" s="45"/>
      <c r="O107" s="46"/>
      <c r="P107" s="46"/>
      <c r="Q107" s="46"/>
      <c r="R107" s="47"/>
    </row>
    <row r="108" spans="1:18">
      <c r="A108" s="62" t="s">
        <v>106</v>
      </c>
      <c r="B108" s="22">
        <v>5000000</v>
      </c>
      <c r="C108" s="23">
        <v>3250000</v>
      </c>
      <c r="D108" s="24">
        <v>3700000</v>
      </c>
      <c r="E108" s="24"/>
      <c r="F108" s="24">
        <v>3975000</v>
      </c>
      <c r="G108" s="66"/>
      <c r="H108" s="45"/>
      <c r="I108" s="46"/>
      <c r="J108" s="46"/>
      <c r="K108" s="46"/>
      <c r="L108" s="46"/>
      <c r="M108" s="46"/>
      <c r="N108" s="45"/>
      <c r="O108" s="46"/>
      <c r="P108" s="46"/>
      <c r="Q108" s="46"/>
      <c r="R108" s="47"/>
    </row>
    <row r="109" spans="1:18">
      <c r="A109" s="62" t="s">
        <v>64</v>
      </c>
      <c r="B109" s="22">
        <v>98036</v>
      </c>
      <c r="C109" s="23">
        <v>58000</v>
      </c>
      <c r="D109" s="24">
        <v>136000</v>
      </c>
      <c r="E109" s="24"/>
      <c r="F109" s="24">
        <v>92000</v>
      </c>
      <c r="G109" s="66"/>
      <c r="H109" s="45"/>
      <c r="I109" s="46"/>
      <c r="J109" s="46"/>
      <c r="K109" s="46"/>
      <c r="L109" s="46"/>
      <c r="M109" s="46"/>
      <c r="N109" s="45"/>
      <c r="O109" s="46"/>
      <c r="P109" s="46"/>
      <c r="Q109" s="46"/>
      <c r="R109" s="47"/>
    </row>
    <row r="110" spans="1:18">
      <c r="A110" s="60" t="s">
        <v>100</v>
      </c>
      <c r="B110" s="27">
        <f>SUM(B111:B120)</f>
        <v>3732758</v>
      </c>
      <c r="C110" s="23">
        <f>SUM(C111:C120)</f>
        <v>1800000</v>
      </c>
      <c r="D110" s="23">
        <f>SUM(D111:D120)</f>
        <v>2959000</v>
      </c>
      <c r="E110" s="23">
        <f t="shared" ref="E110:G110" si="86">SUM(E111:E120)</f>
        <v>1000000</v>
      </c>
      <c r="F110" s="23">
        <f t="shared" si="86"/>
        <v>2001320</v>
      </c>
      <c r="G110" s="23">
        <f t="shared" si="86"/>
        <v>0</v>
      </c>
      <c r="H110" s="45">
        <f>B110/B126</f>
        <v>8.1378518075017975E-2</v>
      </c>
      <c r="I110" s="46">
        <f>C110/C126</f>
        <v>4.3470910715579493E-2</v>
      </c>
      <c r="J110" s="46">
        <f>D110/D126</f>
        <v>7.0346860661388871E-2</v>
      </c>
      <c r="K110" s="46">
        <f>E110/E126</f>
        <v>0.30441400304414001</v>
      </c>
      <c r="L110" s="46">
        <f>F110/F126</f>
        <v>4.7274397105691576E-2</v>
      </c>
      <c r="M110" s="46" t="e">
        <f t="shared" ref="M110" si="87">G110/G126</f>
        <v>#DIV/0!</v>
      </c>
      <c r="N110" s="45">
        <f>C110/B110</f>
        <v>0.48221717025320154</v>
      </c>
      <c r="O110" s="46">
        <f>D110/C110</f>
        <v>1.643888888888889</v>
      </c>
      <c r="P110" s="46">
        <f>E110/D110</f>
        <v>0.33795201081446435</v>
      </c>
      <c r="Q110" s="46">
        <f>F110/E110</f>
        <v>2.0013200000000002</v>
      </c>
      <c r="R110" s="47">
        <f>G110/F110</f>
        <v>0</v>
      </c>
    </row>
    <row r="111" spans="1:18">
      <c r="A111" s="62" t="s">
        <v>101</v>
      </c>
      <c r="B111" s="22">
        <v>1500000</v>
      </c>
      <c r="C111" s="23">
        <v>1000000</v>
      </c>
      <c r="D111" s="24">
        <v>1000000</v>
      </c>
      <c r="E111" s="24">
        <v>1000000</v>
      </c>
      <c r="F111" s="24">
        <v>1000000</v>
      </c>
      <c r="G111" s="66"/>
      <c r="H111" s="45"/>
      <c r="I111" s="46"/>
      <c r="J111" s="46"/>
      <c r="K111" s="46"/>
      <c r="L111" s="46"/>
      <c r="M111" s="46"/>
      <c r="N111" s="45"/>
      <c r="O111" s="46"/>
      <c r="P111" s="46"/>
      <c r="Q111" s="46"/>
      <c r="R111" s="47"/>
    </row>
    <row r="112" spans="1:18">
      <c r="A112" s="62" t="s">
        <v>102</v>
      </c>
      <c r="B112" s="22">
        <v>320861</v>
      </c>
      <c r="C112" s="23">
        <v>305000</v>
      </c>
      <c r="D112" s="24">
        <v>312000</v>
      </c>
      <c r="E112" s="24"/>
      <c r="F112" s="24">
        <v>302320</v>
      </c>
      <c r="G112" s="66"/>
      <c r="H112" s="45"/>
      <c r="I112" s="46"/>
      <c r="J112" s="46"/>
      <c r="K112" s="46"/>
      <c r="L112" s="46"/>
      <c r="M112" s="46"/>
      <c r="N112" s="45"/>
      <c r="O112" s="46"/>
      <c r="P112" s="46"/>
      <c r="Q112" s="46"/>
      <c r="R112" s="47"/>
    </row>
    <row r="113" spans="1:19">
      <c r="A113" s="62" t="s">
        <v>103</v>
      </c>
      <c r="B113" s="22">
        <v>500000</v>
      </c>
      <c r="C113" s="23"/>
      <c r="D113" s="24"/>
      <c r="E113" s="24"/>
      <c r="F113" s="24"/>
      <c r="G113" s="66"/>
      <c r="H113" s="45"/>
      <c r="I113" s="46"/>
      <c r="J113" s="46"/>
      <c r="K113" s="46"/>
      <c r="L113" s="46"/>
      <c r="M113" s="46"/>
      <c r="N113" s="45"/>
      <c r="O113" s="46"/>
      <c r="P113" s="46"/>
      <c r="Q113" s="46"/>
      <c r="R113" s="47"/>
    </row>
    <row r="114" spans="1:19">
      <c r="A114" s="62" t="s">
        <v>105</v>
      </c>
      <c r="B114" s="27"/>
      <c r="C114" s="23"/>
      <c r="D114" s="24"/>
      <c r="E114" s="24"/>
      <c r="F114" s="24"/>
      <c r="G114" s="66"/>
      <c r="H114" s="45">
        <f>B114/B126</f>
        <v>0</v>
      </c>
      <c r="I114" s="46">
        <f>C114/C126</f>
        <v>0</v>
      </c>
      <c r="J114" s="46">
        <f>D114/D126</f>
        <v>0</v>
      </c>
      <c r="K114" s="46">
        <f>E114/E126</f>
        <v>0</v>
      </c>
      <c r="L114" s="46">
        <f>F114/F126</f>
        <v>0</v>
      </c>
      <c r="M114" s="46" t="e">
        <f t="shared" ref="M114" si="88">G114/G126</f>
        <v>#DIV/0!</v>
      </c>
      <c r="N114" s="45" t="e">
        <f>C114/B114</f>
        <v>#DIV/0!</v>
      </c>
      <c r="O114" s="46" t="e">
        <f>D114/C114</f>
        <v>#DIV/0!</v>
      </c>
      <c r="P114" s="46" t="e">
        <f>E114/D114</f>
        <v>#DIV/0!</v>
      </c>
      <c r="Q114" s="46" t="e">
        <f>F114/E114</f>
        <v>#DIV/0!</v>
      </c>
      <c r="R114" s="47" t="e">
        <f>G114/F114</f>
        <v>#DIV/0!</v>
      </c>
    </row>
    <row r="115" spans="1:19">
      <c r="A115" s="62" t="s">
        <v>106</v>
      </c>
      <c r="B115" s="22"/>
      <c r="C115" s="23"/>
      <c r="D115" s="24"/>
      <c r="E115" s="24"/>
      <c r="F115" s="24"/>
      <c r="G115" s="66"/>
      <c r="H115" s="45"/>
      <c r="I115" s="46"/>
      <c r="J115" s="46"/>
      <c r="K115" s="46"/>
      <c r="L115" s="46"/>
      <c r="M115" s="46"/>
      <c r="N115" s="45"/>
      <c r="O115" s="46"/>
      <c r="P115" s="46"/>
      <c r="Q115" s="46"/>
      <c r="R115" s="47"/>
    </row>
    <row r="116" spans="1:19">
      <c r="A116" s="62" t="s">
        <v>107</v>
      </c>
      <c r="B116" s="22">
        <v>118423</v>
      </c>
      <c r="C116" s="23">
        <v>137000</v>
      </c>
      <c r="D116" s="24">
        <v>94000</v>
      </c>
      <c r="E116" s="24"/>
      <c r="F116" s="24">
        <v>85000</v>
      </c>
      <c r="G116" s="66"/>
      <c r="H116" s="45"/>
      <c r="I116" s="46"/>
      <c r="J116" s="46"/>
      <c r="K116" s="46"/>
      <c r="L116" s="46"/>
      <c r="M116" s="46"/>
      <c r="N116" s="45"/>
      <c r="O116" s="46"/>
      <c r="P116" s="46"/>
      <c r="Q116" s="46"/>
      <c r="R116" s="47"/>
    </row>
    <row r="117" spans="1:19">
      <c r="A117" s="62" t="s">
        <v>108</v>
      </c>
      <c r="B117" s="22"/>
      <c r="C117" s="29"/>
      <c r="D117" s="24"/>
      <c r="E117" s="24"/>
      <c r="F117" s="24"/>
      <c r="G117" s="66"/>
      <c r="H117" s="45"/>
      <c r="I117" s="46"/>
      <c r="J117" s="46"/>
      <c r="K117" s="46"/>
      <c r="L117" s="46"/>
      <c r="M117" s="46"/>
      <c r="N117" s="45"/>
      <c r="O117" s="46"/>
      <c r="P117" s="46"/>
      <c r="Q117" s="46"/>
      <c r="R117" s="47"/>
    </row>
    <row r="118" spans="1:19">
      <c r="A118" s="62" t="s">
        <v>109</v>
      </c>
      <c r="B118" s="22">
        <v>613182</v>
      </c>
      <c r="C118" s="23">
        <v>50000</v>
      </c>
      <c r="D118" s="24">
        <v>40000</v>
      </c>
      <c r="E118" s="24"/>
      <c r="F118" s="24">
        <v>45000</v>
      </c>
      <c r="G118" s="66"/>
      <c r="H118" s="45">
        <f>B118/B126</f>
        <v>1.3368089351164923E-2</v>
      </c>
      <c r="I118" s="46">
        <f>C118/C126</f>
        <v>1.2075252976549858E-3</v>
      </c>
      <c r="J118" s="46">
        <f>D118/D126</f>
        <v>9.5095452060005227E-4</v>
      </c>
      <c r="K118" s="46">
        <f>E118/E126</f>
        <v>0</v>
      </c>
      <c r="L118" s="46">
        <f>F118/F126</f>
        <v>1.0629723731118068E-3</v>
      </c>
      <c r="M118" s="46" t="e">
        <f t="shared" ref="M118" si="89">G118/G126</f>
        <v>#DIV/0!</v>
      </c>
      <c r="N118" s="45">
        <f t="shared" ref="N118:O122" si="90">C118/B118</f>
        <v>8.1541858697743899E-2</v>
      </c>
      <c r="O118" s="46">
        <f t="shared" si="90"/>
        <v>0.8</v>
      </c>
      <c r="P118" s="46">
        <f t="shared" ref="P118:R122" si="91">E118/D118</f>
        <v>0</v>
      </c>
      <c r="Q118" s="46" t="e">
        <f t="shared" si="91"/>
        <v>#DIV/0!</v>
      </c>
      <c r="R118" s="47">
        <f t="shared" si="91"/>
        <v>0</v>
      </c>
    </row>
    <row r="119" spans="1:19">
      <c r="A119" s="62" t="s">
        <v>110</v>
      </c>
      <c r="B119" s="22">
        <v>380292</v>
      </c>
      <c r="C119" s="23">
        <v>8000</v>
      </c>
      <c r="D119" s="24">
        <v>13000</v>
      </c>
      <c r="E119" s="24"/>
      <c r="F119" s="24">
        <v>13000</v>
      </c>
      <c r="G119" s="66"/>
      <c r="H119" s="45">
        <f>B119/B126</f>
        <v>8.2908132259805582E-3</v>
      </c>
      <c r="I119" s="46">
        <f>C119/C126</f>
        <v>1.9320404762479773E-4</v>
      </c>
      <c r="J119" s="46">
        <f>D119/D126</f>
        <v>3.0906021919501701E-4</v>
      </c>
      <c r="K119" s="46">
        <f>E119/E126</f>
        <v>0</v>
      </c>
      <c r="L119" s="46">
        <f>F119/F126</f>
        <v>3.070809077878553E-4</v>
      </c>
      <c r="M119" s="46" t="e">
        <f t="shared" ref="M119" si="92">G119/G126</f>
        <v>#DIV/0!</v>
      </c>
      <c r="N119" s="45">
        <f t="shared" si="90"/>
        <v>2.103646671505054E-2</v>
      </c>
      <c r="O119" s="46">
        <f t="shared" si="90"/>
        <v>1.625</v>
      </c>
      <c r="P119" s="46">
        <f t="shared" si="91"/>
        <v>0</v>
      </c>
      <c r="Q119" s="46" t="e">
        <f t="shared" si="91"/>
        <v>#DIV/0!</v>
      </c>
      <c r="R119" s="47">
        <f t="shared" si="91"/>
        <v>0</v>
      </c>
    </row>
    <row r="120" spans="1:19">
      <c r="A120" s="62" t="s">
        <v>64</v>
      </c>
      <c r="B120" s="22">
        <v>300000</v>
      </c>
      <c r="C120" s="23">
        <v>300000</v>
      </c>
      <c r="D120" s="24">
        <v>1500000</v>
      </c>
      <c r="E120" s="24"/>
      <c r="F120" s="24">
        <v>556000</v>
      </c>
      <c r="G120" s="66"/>
      <c r="H120" s="45">
        <f>B120/B126</f>
        <v>6.5403531175890301E-3</v>
      </c>
      <c r="I120" s="46">
        <f>C120/C126</f>
        <v>7.2451517859299149E-3</v>
      </c>
      <c r="J120" s="46">
        <f>D120/D126</f>
        <v>3.5660794522501961E-2</v>
      </c>
      <c r="K120" s="46">
        <f>E120/E126</f>
        <v>0</v>
      </c>
      <c r="L120" s="46">
        <f>F120/F126</f>
        <v>1.3133614210003657E-2</v>
      </c>
      <c r="M120" s="46" t="e">
        <f t="shared" ref="M120" si="93">G120/G126</f>
        <v>#DIV/0!</v>
      </c>
      <c r="N120" s="45">
        <f t="shared" si="90"/>
        <v>1</v>
      </c>
      <c r="O120" s="46">
        <f t="shared" si="90"/>
        <v>5</v>
      </c>
      <c r="P120" s="46">
        <f t="shared" si="91"/>
        <v>0</v>
      </c>
      <c r="Q120" s="46" t="e">
        <f t="shared" si="91"/>
        <v>#DIV/0!</v>
      </c>
      <c r="R120" s="47">
        <f t="shared" si="91"/>
        <v>0</v>
      </c>
    </row>
    <row r="121" spans="1:19">
      <c r="A121" s="60" t="s">
        <v>111</v>
      </c>
      <c r="B121" s="22">
        <v>5000</v>
      </c>
      <c r="C121" s="29">
        <v>10000</v>
      </c>
      <c r="D121" s="24">
        <v>10000</v>
      </c>
      <c r="E121" s="24"/>
      <c r="F121" s="24">
        <v>10000</v>
      </c>
      <c r="G121" s="66"/>
      <c r="H121" s="45">
        <f>B121/B126</f>
        <v>1.0900588529315051E-4</v>
      </c>
      <c r="I121" s="46">
        <f>C121/C126</f>
        <v>2.4150505953099717E-4</v>
      </c>
      <c r="J121" s="46">
        <f>D121/D126</f>
        <v>2.3773863015001307E-4</v>
      </c>
      <c r="K121" s="46">
        <f>E121/E126</f>
        <v>0</v>
      </c>
      <c r="L121" s="46">
        <f>F121/F126</f>
        <v>2.3621608291373483E-4</v>
      </c>
      <c r="M121" s="46" t="e">
        <f t="shared" ref="M121" si="94">G121/G126</f>
        <v>#DIV/0!</v>
      </c>
      <c r="N121" s="45">
        <f t="shared" si="90"/>
        <v>2</v>
      </c>
      <c r="O121" s="46">
        <f t="shared" si="90"/>
        <v>1</v>
      </c>
      <c r="P121" s="46">
        <f t="shared" si="91"/>
        <v>0</v>
      </c>
      <c r="Q121" s="46" t="e">
        <f t="shared" si="91"/>
        <v>#DIV/0!</v>
      </c>
      <c r="R121" s="47">
        <f t="shared" si="91"/>
        <v>0</v>
      </c>
    </row>
    <row r="122" spans="1:19">
      <c r="A122" s="59" t="s">
        <v>112</v>
      </c>
      <c r="B122" s="20">
        <f>SUM(B123:B125)</f>
        <v>0</v>
      </c>
      <c r="C122" s="21">
        <f>SUM(C123:C125)</f>
        <v>0</v>
      </c>
      <c r="D122" s="21">
        <f>SUM(D123:D125)</f>
        <v>0</v>
      </c>
      <c r="E122" s="21">
        <f t="shared" ref="E122:G122" si="95">SUM(E123:E125)</f>
        <v>0</v>
      </c>
      <c r="F122" s="21">
        <f t="shared" si="95"/>
        <v>0</v>
      </c>
      <c r="G122" s="65">
        <f t="shared" si="95"/>
        <v>0</v>
      </c>
      <c r="H122" s="48">
        <f>B122/B126</f>
        <v>0</v>
      </c>
      <c r="I122" s="43">
        <f>C122/C126</f>
        <v>0</v>
      </c>
      <c r="J122" s="43">
        <f>D122/D126</f>
        <v>0</v>
      </c>
      <c r="K122" s="43">
        <f>E122/E126</f>
        <v>0</v>
      </c>
      <c r="L122" s="43">
        <f>F122/F126</f>
        <v>0</v>
      </c>
      <c r="M122" s="43" t="e">
        <f t="shared" ref="M122" si="96">G122/G126</f>
        <v>#DIV/0!</v>
      </c>
      <c r="N122" s="48" t="e">
        <f t="shared" si="90"/>
        <v>#DIV/0!</v>
      </c>
      <c r="O122" s="43" t="e">
        <f t="shared" si="90"/>
        <v>#DIV/0!</v>
      </c>
      <c r="P122" s="43" t="e">
        <f t="shared" si="91"/>
        <v>#DIV/0!</v>
      </c>
      <c r="Q122" s="43" t="e">
        <f t="shared" si="91"/>
        <v>#DIV/0!</v>
      </c>
      <c r="R122" s="49" t="e">
        <f t="shared" si="91"/>
        <v>#DIV/0!</v>
      </c>
    </row>
    <row r="123" spans="1:19">
      <c r="A123" s="60" t="s">
        <v>113</v>
      </c>
      <c r="B123" s="27"/>
      <c r="C123" s="23"/>
      <c r="D123" s="24"/>
      <c r="E123" s="24"/>
      <c r="F123" s="24"/>
      <c r="G123" s="66"/>
      <c r="H123" s="45"/>
      <c r="I123" s="46"/>
      <c r="J123" s="46"/>
      <c r="K123" s="46"/>
      <c r="L123" s="46"/>
      <c r="M123" s="46"/>
      <c r="N123" s="45"/>
      <c r="O123" s="46"/>
      <c r="P123" s="46"/>
      <c r="Q123" s="46"/>
      <c r="R123" s="47"/>
    </row>
    <row r="124" spans="1:19">
      <c r="A124" s="60" t="s">
        <v>114</v>
      </c>
      <c r="B124" s="22"/>
      <c r="C124" s="23"/>
      <c r="D124" s="24"/>
      <c r="E124" s="24"/>
      <c r="F124" s="24"/>
      <c r="G124" s="66"/>
      <c r="H124" s="45">
        <f>B124/B126</f>
        <v>0</v>
      </c>
      <c r="I124" s="46">
        <f>C124/C126</f>
        <v>0</v>
      </c>
      <c r="J124" s="46">
        <f>D124/D126</f>
        <v>0</v>
      </c>
      <c r="K124" s="46">
        <f>E124/E126</f>
        <v>0</v>
      </c>
      <c r="L124" s="46">
        <f>F124/F126</f>
        <v>0</v>
      </c>
      <c r="M124" s="46" t="e">
        <f t="shared" ref="M124" si="97">G124/G126</f>
        <v>#DIV/0!</v>
      </c>
      <c r="N124" s="45" t="e">
        <f>C124/B124</f>
        <v>#DIV/0!</v>
      </c>
      <c r="O124" s="46" t="e">
        <f>D124/C124</f>
        <v>#DIV/0!</v>
      </c>
      <c r="P124" s="46" t="e">
        <f>E124/D124</f>
        <v>#DIV/0!</v>
      </c>
      <c r="Q124" s="46" t="e">
        <f>F124/E124</f>
        <v>#DIV/0!</v>
      </c>
      <c r="R124" s="47" t="e">
        <f>G124/F124</f>
        <v>#DIV/0!</v>
      </c>
    </row>
    <row r="125" spans="1:19">
      <c r="A125" s="60" t="s">
        <v>115</v>
      </c>
      <c r="B125" s="27"/>
      <c r="C125" s="23"/>
      <c r="D125" s="24"/>
      <c r="E125" s="24"/>
      <c r="F125" s="24"/>
      <c r="G125" s="66"/>
      <c r="H125" s="45"/>
      <c r="I125" s="46"/>
      <c r="J125" s="46"/>
      <c r="K125" s="46"/>
      <c r="L125" s="46"/>
      <c r="M125" s="46"/>
      <c r="N125" s="45"/>
      <c r="O125" s="46"/>
      <c r="P125" s="46"/>
      <c r="Q125" s="46"/>
      <c r="R125" s="47"/>
    </row>
    <row r="126" spans="1:19">
      <c r="A126" s="64" t="s">
        <v>116</v>
      </c>
      <c r="B126" s="32">
        <f>B89+B79</f>
        <v>45869083</v>
      </c>
      <c r="C126" s="33">
        <f>C89+C79</f>
        <v>41407000</v>
      </c>
      <c r="D126" s="33">
        <f>D89+D79</f>
        <v>42063000</v>
      </c>
      <c r="E126" s="33">
        <f t="shared" ref="E126:M126" si="98">E89+E79</f>
        <v>3285000</v>
      </c>
      <c r="F126" s="33">
        <f>F89+F79</f>
        <v>42334120</v>
      </c>
      <c r="G126" s="69">
        <f t="shared" si="98"/>
        <v>0</v>
      </c>
      <c r="H126" s="56">
        <f>H89+H79</f>
        <v>1</v>
      </c>
      <c r="I126" s="57">
        <f>I89+I79</f>
        <v>1</v>
      </c>
      <c r="J126" s="57">
        <f>J89+J79</f>
        <v>1</v>
      </c>
      <c r="K126" s="57">
        <f t="shared" si="98"/>
        <v>1</v>
      </c>
      <c r="L126" s="57">
        <f t="shared" si="98"/>
        <v>1</v>
      </c>
      <c r="M126" s="57" t="e">
        <f t="shared" si="98"/>
        <v>#DIV/0!</v>
      </c>
      <c r="N126" s="50">
        <f>C126/B126</f>
        <v>0.90272133846669667</v>
      </c>
      <c r="O126" s="51">
        <f>D126/C126</f>
        <v>1.0158427319052334</v>
      </c>
      <c r="P126" s="51">
        <f>E126/D126</f>
        <v>7.8097140004279295E-2</v>
      </c>
      <c r="Q126" s="51">
        <f>F126/E126</f>
        <v>12.887098934550989</v>
      </c>
      <c r="R126" s="52">
        <f>G126/F126</f>
        <v>0</v>
      </c>
      <c r="S126" s="24">
        <f>F126-D126</f>
        <v>271120</v>
      </c>
    </row>
    <row r="127" spans="1:19">
      <c r="B127" s="14"/>
      <c r="C127" s="14"/>
    </row>
    <row r="128" spans="1:19">
      <c r="B128" s="113">
        <f t="shared" ref="B128:G128" si="99">B75-B126</f>
        <v>0</v>
      </c>
      <c r="C128" s="113">
        <f t="shared" si="99"/>
        <v>0</v>
      </c>
      <c r="D128" s="113">
        <f t="shared" si="99"/>
        <v>0</v>
      </c>
      <c r="E128" s="38">
        <f t="shared" si="99"/>
        <v>-3285000</v>
      </c>
      <c r="F128" s="113">
        <f t="shared" si="99"/>
        <v>0</v>
      </c>
      <c r="G128" s="38">
        <f t="shared" si="99"/>
        <v>432000</v>
      </c>
    </row>
  </sheetData>
  <mergeCells count="8">
    <mergeCell ref="A2:A3"/>
    <mergeCell ref="B2:G2"/>
    <mergeCell ref="H2:M2"/>
    <mergeCell ref="N2:R2"/>
    <mergeCell ref="A77:A78"/>
    <mergeCell ref="B77:G77"/>
    <mergeCell ref="H77:M77"/>
    <mergeCell ref="N77:R77"/>
  </mergeCells>
  <printOptions horizontalCentered="1"/>
  <pageMargins left="0.25" right="0.24" top="0.25" bottom="0.22" header="0.24" footer="0.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8"/>
  <sheetViews>
    <sheetView topLeftCell="E44" zoomScale="94" zoomScaleNormal="94" workbookViewId="0">
      <selection activeCell="Q13" sqref="Q13"/>
    </sheetView>
  </sheetViews>
  <sheetFormatPr defaultColWidth="8.83203125" defaultRowHeight="10.5"/>
  <cols>
    <col min="1" max="1" width="38.83203125" style="6" bestFit="1" customWidth="1"/>
    <col min="2" max="2" width="12.08203125" style="5" hidden="1" customWidth="1"/>
    <col min="3" max="3" width="9.5" style="6" hidden="1" customWidth="1"/>
    <col min="4" max="4" width="9.5" style="7" hidden="1" customWidth="1"/>
    <col min="5" max="5" width="9.58203125" style="7" bestFit="1" customWidth="1"/>
    <col min="6" max="6" width="7.58203125" style="7" bestFit="1" customWidth="1"/>
    <col min="7" max="7" width="8.58203125" style="7" bestFit="1" customWidth="1"/>
    <col min="8" max="8" width="8.5" style="7" customWidth="1"/>
    <col min="9" max="9" width="6.9140625" style="7" bestFit="1" customWidth="1"/>
    <col min="10" max="10" width="6.08203125" style="7" bestFit="1" customWidth="1"/>
    <col min="11" max="11" width="17" style="7" customWidth="1"/>
    <col min="12" max="12" width="17.5" style="7" customWidth="1"/>
    <col min="13" max="16" width="10.08203125" style="7" bestFit="1" customWidth="1"/>
    <col min="17" max="16384" width="8.83203125" style="7"/>
  </cols>
  <sheetData>
    <row r="1" spans="1:18">
      <c r="A1" s="4" t="s">
        <v>27</v>
      </c>
    </row>
    <row r="2" spans="1:18" ht="13.5" customHeight="1">
      <c r="A2" s="198" t="s">
        <v>28</v>
      </c>
      <c r="B2" s="200" t="s">
        <v>203</v>
      </c>
      <c r="C2" s="201"/>
      <c r="D2" s="201"/>
      <c r="E2" s="201"/>
      <c r="F2" s="201"/>
      <c r="G2" s="202"/>
      <c r="H2" s="203" t="s">
        <v>25</v>
      </c>
      <c r="I2" s="204"/>
      <c r="J2" s="204"/>
      <c r="K2" s="204"/>
      <c r="L2" s="204"/>
      <c r="M2" s="205"/>
      <c r="N2" s="206" t="s">
        <v>26</v>
      </c>
      <c r="O2" s="206"/>
      <c r="P2" s="206"/>
      <c r="Q2" s="206"/>
      <c r="R2" s="206"/>
    </row>
    <row r="3" spans="1:18" ht="15" customHeight="1">
      <c r="A3" s="199"/>
      <c r="B3" s="2">
        <v>2011</v>
      </c>
      <c r="C3" s="2">
        <v>2012</v>
      </c>
      <c r="D3" s="8">
        <v>2013</v>
      </c>
      <c r="E3" s="112">
        <v>2014</v>
      </c>
      <c r="F3" s="2">
        <v>2015</v>
      </c>
      <c r="G3" s="8">
        <v>2016</v>
      </c>
      <c r="H3" s="8">
        <f t="shared" ref="H3:M3" si="0">B3</f>
        <v>2011</v>
      </c>
      <c r="I3" s="8">
        <f t="shared" si="0"/>
        <v>2012</v>
      </c>
      <c r="J3" s="8">
        <f t="shared" si="0"/>
        <v>2013</v>
      </c>
      <c r="K3" s="8">
        <f t="shared" si="0"/>
        <v>2014</v>
      </c>
      <c r="L3" s="8">
        <f t="shared" si="0"/>
        <v>2015</v>
      </c>
      <c r="M3" s="8">
        <f t="shared" si="0"/>
        <v>2016</v>
      </c>
      <c r="N3" s="8" t="s">
        <v>250</v>
      </c>
      <c r="O3" s="8" t="s">
        <v>251</v>
      </c>
      <c r="P3" s="8" t="s">
        <v>252</v>
      </c>
      <c r="Q3" s="8" t="s">
        <v>253</v>
      </c>
      <c r="R3" s="8" t="s">
        <v>254</v>
      </c>
    </row>
    <row r="4" spans="1:18" ht="12" customHeight="1">
      <c r="A4" s="58" t="s">
        <v>29</v>
      </c>
      <c r="B4" s="20">
        <f t="shared" ref="B4:G4" si="1">B5+B10+B19+B22+B36</f>
        <v>0</v>
      </c>
      <c r="C4" s="21">
        <f t="shared" si="1"/>
        <v>0</v>
      </c>
      <c r="D4" s="21">
        <f t="shared" si="1"/>
        <v>0</v>
      </c>
      <c r="E4" s="21">
        <f t="shared" si="1"/>
        <v>213156</v>
      </c>
      <c r="F4" s="21">
        <f t="shared" si="1"/>
        <v>258268</v>
      </c>
      <c r="G4" s="21">
        <f t="shared" si="1"/>
        <v>0</v>
      </c>
      <c r="H4" s="42" t="e">
        <f t="shared" ref="H4:M4" si="2">B4/B75</f>
        <v>#DIV/0!</v>
      </c>
      <c r="I4" s="53" t="e">
        <f t="shared" si="2"/>
        <v>#DIV/0!</v>
      </c>
      <c r="J4" s="53" t="e">
        <f t="shared" si="2"/>
        <v>#DIV/0!</v>
      </c>
      <c r="K4" s="53">
        <f t="shared" si="2"/>
        <v>0.38413130919942912</v>
      </c>
      <c r="L4" s="53">
        <f t="shared" si="2"/>
        <v>0.40702829378381489</v>
      </c>
      <c r="M4" s="53" t="e">
        <f t="shared" si="2"/>
        <v>#DIV/0!</v>
      </c>
      <c r="N4" s="48" t="e">
        <f>C4/B4</f>
        <v>#DIV/0!</v>
      </c>
      <c r="O4" s="43" t="e">
        <f>D4/C4</f>
        <v>#DIV/0!</v>
      </c>
      <c r="P4" s="43" t="e">
        <f>E4/D4</f>
        <v>#DIV/0!</v>
      </c>
      <c r="Q4" s="43">
        <f>F4/E4</f>
        <v>1.211638424440316</v>
      </c>
      <c r="R4" s="49">
        <f>G4/F4</f>
        <v>0</v>
      </c>
    </row>
    <row r="5" spans="1:18">
      <c r="A5" s="59" t="s">
        <v>1</v>
      </c>
      <c r="B5" s="20">
        <f>SUM(B6:B9)</f>
        <v>0</v>
      </c>
      <c r="C5" s="21">
        <f>SUM(C6:C9)</f>
        <v>0</v>
      </c>
      <c r="D5" s="21">
        <f>SUM($D$6:$D$9)</f>
        <v>0</v>
      </c>
      <c r="E5" s="21">
        <f>SUM(E6:E9)</f>
        <v>2774</v>
      </c>
      <c r="F5" s="21">
        <f>SUM(F6:F9)</f>
        <v>3025</v>
      </c>
      <c r="G5" s="21">
        <f>SUM(G6:G9)</f>
        <v>0</v>
      </c>
      <c r="H5" s="45"/>
      <c r="I5" s="46"/>
      <c r="J5" s="46"/>
      <c r="K5" s="46"/>
      <c r="L5" s="46"/>
      <c r="M5" s="46"/>
      <c r="N5" s="45"/>
      <c r="O5" s="46"/>
      <c r="P5" s="46"/>
      <c r="Q5" s="46"/>
      <c r="R5" s="47"/>
    </row>
    <row r="6" spans="1:18">
      <c r="A6" s="60" t="s">
        <v>30</v>
      </c>
      <c r="B6" s="22"/>
      <c r="C6" s="23"/>
      <c r="D6" s="24"/>
      <c r="E6" s="24">
        <v>0</v>
      </c>
      <c r="F6" s="24">
        <v>0</v>
      </c>
      <c r="G6" s="66"/>
      <c r="H6" s="45"/>
      <c r="I6" s="46"/>
      <c r="J6" s="46"/>
      <c r="K6" s="46"/>
      <c r="L6" s="46"/>
      <c r="M6" s="46"/>
      <c r="N6" s="45"/>
      <c r="O6" s="46"/>
      <c r="P6" s="46"/>
      <c r="Q6" s="46"/>
      <c r="R6" s="47"/>
    </row>
    <row r="7" spans="1:18">
      <c r="A7" s="60" t="s">
        <v>2</v>
      </c>
      <c r="B7" s="22"/>
      <c r="C7" s="23"/>
      <c r="D7" s="24"/>
      <c r="E7" s="24">
        <v>2008</v>
      </c>
      <c r="F7" s="24">
        <v>2008</v>
      </c>
      <c r="G7" s="66"/>
      <c r="H7" s="45"/>
      <c r="I7" s="46"/>
      <c r="J7" s="46"/>
      <c r="K7" s="46"/>
      <c r="L7" s="46"/>
      <c r="M7" s="46"/>
      <c r="N7" s="45"/>
      <c r="O7" s="46"/>
      <c r="P7" s="46"/>
      <c r="Q7" s="46"/>
      <c r="R7" s="47"/>
    </row>
    <row r="8" spans="1:18">
      <c r="A8" s="60" t="s">
        <v>3</v>
      </c>
      <c r="B8" s="22"/>
      <c r="C8" s="23"/>
      <c r="D8" s="23"/>
      <c r="E8" s="24">
        <f>766-53</f>
        <v>713</v>
      </c>
      <c r="F8" s="24">
        <v>1017</v>
      </c>
      <c r="G8" s="66"/>
      <c r="H8" s="45"/>
      <c r="I8" s="46"/>
      <c r="J8" s="46"/>
      <c r="K8" s="46"/>
      <c r="L8" s="46"/>
      <c r="M8" s="46"/>
      <c r="N8" s="45"/>
      <c r="O8" s="46"/>
      <c r="P8" s="46"/>
      <c r="Q8" s="46"/>
      <c r="R8" s="47"/>
    </row>
    <row r="9" spans="1:18">
      <c r="A9" s="60" t="s">
        <v>271</v>
      </c>
      <c r="B9" s="22"/>
      <c r="C9" s="23"/>
      <c r="D9" s="24"/>
      <c r="E9" s="24">
        <v>53</v>
      </c>
      <c r="F9" s="24">
        <v>0</v>
      </c>
      <c r="G9" s="66"/>
      <c r="H9" s="45"/>
      <c r="I9" s="46"/>
      <c r="J9" s="46"/>
      <c r="K9" s="46"/>
      <c r="L9" s="46"/>
      <c r="M9" s="46"/>
      <c r="N9" s="45"/>
      <c r="O9" s="46"/>
      <c r="P9" s="46"/>
      <c r="Q9" s="46"/>
      <c r="R9" s="47"/>
    </row>
    <row r="10" spans="1:18" s="9" customFormat="1">
      <c r="A10" s="61" t="s">
        <v>32</v>
      </c>
      <c r="B10" s="25">
        <f t="shared" ref="B10:G10" si="3">B11+B17+B18</f>
        <v>0</v>
      </c>
      <c r="C10" s="26">
        <f t="shared" si="3"/>
        <v>0</v>
      </c>
      <c r="D10" s="26">
        <f t="shared" si="3"/>
        <v>0</v>
      </c>
      <c r="E10" s="26">
        <f t="shared" si="3"/>
        <v>207564</v>
      </c>
      <c r="F10" s="26">
        <f t="shared" si="3"/>
        <v>229459</v>
      </c>
      <c r="G10" s="26">
        <f t="shared" si="3"/>
        <v>0</v>
      </c>
      <c r="H10" s="55" t="e">
        <f>B10/B$75</f>
        <v>#DIV/0!</v>
      </c>
      <c r="I10" s="55" t="e">
        <f>C10/C$75</f>
        <v>#DIV/0!</v>
      </c>
      <c r="J10" s="55" t="e">
        <f>D10/D$75</f>
        <v>#DIV/0!</v>
      </c>
      <c r="K10" s="55">
        <f>E10/E$75</f>
        <v>0.37405389040266424</v>
      </c>
      <c r="L10" s="55">
        <f>F10/F$75</f>
        <v>0.36162554115624229</v>
      </c>
      <c r="M10" s="55" t="e">
        <f>G10/G$75</f>
        <v>#DIV/0!</v>
      </c>
      <c r="N10" s="48" t="e">
        <f t="shared" ref="N10:R17" si="4">C10/B10</f>
        <v>#DIV/0!</v>
      </c>
      <c r="O10" s="43" t="e">
        <f t="shared" si="4"/>
        <v>#DIV/0!</v>
      </c>
      <c r="P10" s="43" t="e">
        <f t="shared" si="4"/>
        <v>#DIV/0!</v>
      </c>
      <c r="Q10" s="43">
        <f t="shared" si="4"/>
        <v>1.1054855369910004</v>
      </c>
      <c r="R10" s="49">
        <f t="shared" si="4"/>
        <v>0</v>
      </c>
    </row>
    <row r="11" spans="1:18">
      <c r="A11" s="60" t="s">
        <v>33</v>
      </c>
      <c r="B11" s="27">
        <f t="shared" ref="B11:G11" si="5">SUM(B12:B16)</f>
        <v>0</v>
      </c>
      <c r="C11" s="23">
        <f t="shared" si="5"/>
        <v>0</v>
      </c>
      <c r="D11" s="23">
        <f t="shared" si="5"/>
        <v>0</v>
      </c>
      <c r="E11" s="23">
        <f t="shared" si="5"/>
        <v>194539</v>
      </c>
      <c r="F11" s="23">
        <f t="shared" si="5"/>
        <v>215032</v>
      </c>
      <c r="G11" s="23">
        <f t="shared" si="5"/>
        <v>0</v>
      </c>
      <c r="H11" s="55" t="e">
        <f t="shared" ref="H11:H37" si="6">B11/B$75</f>
        <v>#DIV/0!</v>
      </c>
      <c r="I11" s="55" t="e">
        <f t="shared" ref="I11:I37" si="7">C11/C$75</f>
        <v>#DIV/0!</v>
      </c>
      <c r="J11" s="55" t="e">
        <f t="shared" ref="J11:J37" si="8">D11/D$75</f>
        <v>#DIV/0!</v>
      </c>
      <c r="K11" s="55">
        <f t="shared" ref="K11:K37" si="9">E11/E$75</f>
        <v>0.35058136182114386</v>
      </c>
      <c r="L11" s="55">
        <f t="shared" ref="L11:L37" si="10">F11/F$75</f>
        <v>0.33888870502315921</v>
      </c>
      <c r="M11" s="55" t="e">
        <f t="shared" ref="M11:M37" si="11">G11/G$75</f>
        <v>#DIV/0!</v>
      </c>
      <c r="N11" s="45" t="e">
        <f t="shared" si="4"/>
        <v>#DIV/0!</v>
      </c>
      <c r="O11" s="46" t="e">
        <f t="shared" si="4"/>
        <v>#DIV/0!</v>
      </c>
      <c r="P11" s="46" t="e">
        <f t="shared" si="4"/>
        <v>#DIV/0!</v>
      </c>
      <c r="Q11" s="46">
        <f t="shared" si="4"/>
        <v>1.1053413454371617</v>
      </c>
      <c r="R11" s="47">
        <f t="shared" si="4"/>
        <v>0</v>
      </c>
    </row>
    <row r="12" spans="1:18">
      <c r="A12" s="62" t="s">
        <v>272</v>
      </c>
      <c r="B12" s="28"/>
      <c r="C12" s="24"/>
      <c r="D12" s="24"/>
      <c r="E12" s="24">
        <v>79554</v>
      </c>
      <c r="F12" s="24">
        <v>88019</v>
      </c>
      <c r="G12" s="66"/>
      <c r="H12" s="55" t="e">
        <f t="shared" si="6"/>
        <v>#DIV/0!</v>
      </c>
      <c r="I12" s="55" t="e">
        <f t="shared" si="7"/>
        <v>#DIV/0!</v>
      </c>
      <c r="J12" s="55" t="e">
        <f t="shared" si="8"/>
        <v>#DIV/0!</v>
      </c>
      <c r="K12" s="55">
        <f t="shared" si="9"/>
        <v>0.14336533886942607</v>
      </c>
      <c r="L12" s="55">
        <f t="shared" si="10"/>
        <v>0.13871723709695977</v>
      </c>
      <c r="M12" s="55" t="e">
        <f t="shared" si="11"/>
        <v>#DIV/0!</v>
      </c>
      <c r="N12" s="45" t="e">
        <f t="shared" si="4"/>
        <v>#DIV/0!</v>
      </c>
      <c r="O12" s="46" t="e">
        <f t="shared" si="4"/>
        <v>#DIV/0!</v>
      </c>
      <c r="P12" s="46" t="e">
        <f t="shared" si="4"/>
        <v>#DIV/0!</v>
      </c>
      <c r="Q12" s="46">
        <f t="shared" si="4"/>
        <v>1.1064057118435278</v>
      </c>
      <c r="R12" s="47">
        <f t="shared" si="4"/>
        <v>0</v>
      </c>
    </row>
    <row r="13" spans="1:18">
      <c r="A13" s="62" t="s">
        <v>35</v>
      </c>
      <c r="B13" s="22"/>
      <c r="C13" s="23"/>
      <c r="D13" s="24"/>
      <c r="E13" s="24">
        <v>0</v>
      </c>
      <c r="F13" s="24">
        <v>0</v>
      </c>
      <c r="G13" s="66"/>
      <c r="H13" s="55" t="e">
        <f t="shared" si="6"/>
        <v>#DIV/0!</v>
      </c>
      <c r="I13" s="55" t="e">
        <f t="shared" si="7"/>
        <v>#DIV/0!</v>
      </c>
      <c r="J13" s="55" t="e">
        <f t="shared" si="8"/>
        <v>#DIV/0!</v>
      </c>
      <c r="K13" s="55">
        <f t="shared" si="9"/>
        <v>0</v>
      </c>
      <c r="L13" s="55">
        <f t="shared" si="10"/>
        <v>0</v>
      </c>
      <c r="M13" s="55" t="e">
        <f t="shared" si="11"/>
        <v>#DIV/0!</v>
      </c>
      <c r="N13" s="45" t="e">
        <f t="shared" si="4"/>
        <v>#DIV/0!</v>
      </c>
      <c r="O13" s="46" t="e">
        <f t="shared" si="4"/>
        <v>#DIV/0!</v>
      </c>
      <c r="P13" s="46" t="e">
        <f t="shared" si="4"/>
        <v>#DIV/0!</v>
      </c>
      <c r="Q13" s="46" t="e">
        <f t="shared" si="4"/>
        <v>#DIV/0!</v>
      </c>
      <c r="R13" s="47" t="e">
        <f t="shared" si="4"/>
        <v>#DIV/0!</v>
      </c>
    </row>
    <row r="14" spans="1:18">
      <c r="A14" s="62" t="s">
        <v>36</v>
      </c>
      <c r="B14" s="22"/>
      <c r="C14" s="23"/>
      <c r="D14" s="24"/>
      <c r="E14" s="24">
        <v>114985</v>
      </c>
      <c r="F14" s="24">
        <v>127013</v>
      </c>
      <c r="G14" s="66"/>
      <c r="H14" s="55" t="e">
        <f t="shared" si="6"/>
        <v>#DIV/0!</v>
      </c>
      <c r="I14" s="55" t="e">
        <f t="shared" si="7"/>
        <v>#DIV/0!</v>
      </c>
      <c r="J14" s="55" t="e">
        <f t="shared" si="8"/>
        <v>#DIV/0!</v>
      </c>
      <c r="K14" s="55">
        <f t="shared" si="9"/>
        <v>0.20721602295171779</v>
      </c>
      <c r="L14" s="55">
        <f t="shared" si="10"/>
        <v>0.20017146792619944</v>
      </c>
      <c r="M14" s="55" t="e">
        <f t="shared" si="11"/>
        <v>#DIV/0!</v>
      </c>
      <c r="N14" s="45" t="e">
        <f t="shared" si="4"/>
        <v>#DIV/0!</v>
      </c>
      <c r="O14" s="46" t="e">
        <f t="shared" si="4"/>
        <v>#DIV/0!</v>
      </c>
      <c r="P14" s="46" t="e">
        <f t="shared" si="4"/>
        <v>#DIV/0!</v>
      </c>
      <c r="Q14" s="46">
        <f t="shared" si="4"/>
        <v>1.1046049484715397</v>
      </c>
      <c r="R14" s="47">
        <f t="shared" si="4"/>
        <v>0</v>
      </c>
    </row>
    <row r="15" spans="1:18">
      <c r="A15" s="62" t="s">
        <v>37</v>
      </c>
      <c r="B15" s="22"/>
      <c r="C15" s="23"/>
      <c r="D15" s="24"/>
      <c r="E15" s="24">
        <v>0</v>
      </c>
      <c r="F15" s="24">
        <v>0</v>
      </c>
      <c r="G15" s="66"/>
      <c r="H15" s="55" t="e">
        <f t="shared" si="6"/>
        <v>#DIV/0!</v>
      </c>
      <c r="I15" s="55" t="e">
        <f t="shared" si="7"/>
        <v>#DIV/0!</v>
      </c>
      <c r="J15" s="55" t="e">
        <f t="shared" si="8"/>
        <v>#DIV/0!</v>
      </c>
      <c r="K15" s="55">
        <f t="shared" si="9"/>
        <v>0</v>
      </c>
      <c r="L15" s="55">
        <f t="shared" si="10"/>
        <v>0</v>
      </c>
      <c r="M15" s="55" t="e">
        <f t="shared" si="11"/>
        <v>#DIV/0!</v>
      </c>
      <c r="N15" s="45" t="e">
        <f t="shared" si="4"/>
        <v>#DIV/0!</v>
      </c>
      <c r="O15" s="46" t="e">
        <f t="shared" si="4"/>
        <v>#DIV/0!</v>
      </c>
      <c r="P15" s="46" t="e">
        <f t="shared" si="4"/>
        <v>#DIV/0!</v>
      </c>
      <c r="Q15" s="46" t="e">
        <f t="shared" si="4"/>
        <v>#DIV/0!</v>
      </c>
      <c r="R15" s="47" t="e">
        <f t="shared" si="4"/>
        <v>#DIV/0!</v>
      </c>
    </row>
    <row r="16" spans="1:18">
      <c r="A16" s="62" t="s">
        <v>38</v>
      </c>
      <c r="B16" s="22"/>
      <c r="C16" s="23"/>
      <c r="D16" s="24"/>
      <c r="E16" s="24">
        <v>0</v>
      </c>
      <c r="F16" s="24">
        <v>0</v>
      </c>
      <c r="G16" s="66"/>
      <c r="H16" s="55" t="e">
        <f t="shared" si="6"/>
        <v>#DIV/0!</v>
      </c>
      <c r="I16" s="55" t="e">
        <f t="shared" si="7"/>
        <v>#DIV/0!</v>
      </c>
      <c r="J16" s="55" t="e">
        <f t="shared" si="8"/>
        <v>#DIV/0!</v>
      </c>
      <c r="K16" s="55">
        <f t="shared" si="9"/>
        <v>0</v>
      </c>
      <c r="L16" s="55">
        <f t="shared" si="10"/>
        <v>0</v>
      </c>
      <c r="M16" s="55" t="e">
        <f t="shared" si="11"/>
        <v>#DIV/0!</v>
      </c>
      <c r="N16" s="45" t="e">
        <f t="shared" si="4"/>
        <v>#DIV/0!</v>
      </c>
      <c r="O16" s="46" t="e">
        <f t="shared" si="4"/>
        <v>#DIV/0!</v>
      </c>
      <c r="P16" s="46" t="e">
        <f t="shared" si="4"/>
        <v>#DIV/0!</v>
      </c>
      <c r="Q16" s="46" t="e">
        <f>F16/E16</f>
        <v>#DIV/0!</v>
      </c>
      <c r="R16" s="47" t="e">
        <f t="shared" si="4"/>
        <v>#DIV/0!</v>
      </c>
    </row>
    <row r="17" spans="1:18">
      <c r="A17" s="60" t="s">
        <v>39</v>
      </c>
      <c r="B17" s="22"/>
      <c r="C17" s="23"/>
      <c r="D17" s="24"/>
      <c r="E17" s="24">
        <v>2566</v>
      </c>
      <c r="F17" s="24">
        <v>3798</v>
      </c>
      <c r="G17" s="66"/>
      <c r="H17" s="55" t="e">
        <f t="shared" si="6"/>
        <v>#DIV/0!</v>
      </c>
      <c r="I17" s="55" t="e">
        <f t="shared" si="7"/>
        <v>#DIV/0!</v>
      </c>
      <c r="J17" s="55" t="e">
        <f t="shared" si="8"/>
        <v>#DIV/0!</v>
      </c>
      <c r="K17" s="55">
        <f t="shared" si="9"/>
        <v>4.6242232890734251E-3</v>
      </c>
      <c r="L17" s="55">
        <f t="shared" si="10"/>
        <v>5.9856174972932339E-3</v>
      </c>
      <c r="M17" s="55" t="e">
        <f t="shared" si="11"/>
        <v>#DIV/0!</v>
      </c>
      <c r="N17" s="45" t="e">
        <f t="shared" si="4"/>
        <v>#DIV/0!</v>
      </c>
      <c r="O17" s="46" t="e">
        <f t="shared" si="4"/>
        <v>#DIV/0!</v>
      </c>
      <c r="P17" s="46" t="e">
        <f t="shared" si="4"/>
        <v>#DIV/0!</v>
      </c>
      <c r="Q17" s="46">
        <f t="shared" si="4"/>
        <v>1.48012470771629</v>
      </c>
      <c r="R17" s="47">
        <f t="shared" si="4"/>
        <v>0</v>
      </c>
    </row>
    <row r="18" spans="1:18">
      <c r="A18" s="60" t="s">
        <v>40</v>
      </c>
      <c r="B18" s="22"/>
      <c r="C18" s="23"/>
      <c r="D18" s="24"/>
      <c r="E18" s="24">
        <v>10459</v>
      </c>
      <c r="F18" s="24">
        <v>10629</v>
      </c>
      <c r="G18" s="66"/>
      <c r="H18" s="55" t="e">
        <f t="shared" si="6"/>
        <v>#DIV/0!</v>
      </c>
      <c r="I18" s="55" t="e">
        <f t="shared" si="7"/>
        <v>#DIV/0!</v>
      </c>
      <c r="J18" s="55" t="e">
        <f t="shared" si="8"/>
        <v>#DIV/0!</v>
      </c>
      <c r="K18" s="55">
        <f t="shared" si="9"/>
        <v>1.8848305292446983E-2</v>
      </c>
      <c r="L18" s="55">
        <f t="shared" si="10"/>
        <v>1.6751218635789832E-2</v>
      </c>
      <c r="M18" s="55" t="e">
        <f t="shared" si="11"/>
        <v>#DIV/0!</v>
      </c>
      <c r="N18" s="45" t="e">
        <f t="shared" ref="N18" si="12">C18/B18</f>
        <v>#DIV/0!</v>
      </c>
      <c r="O18" s="46" t="e">
        <f t="shared" ref="O18" si="13">D18/C18</f>
        <v>#DIV/0!</v>
      </c>
      <c r="P18" s="46" t="e">
        <f t="shared" ref="P18" si="14">E18/D18</f>
        <v>#DIV/0!</v>
      </c>
      <c r="Q18" s="46">
        <f t="shared" ref="Q18" si="15">F18/E18</f>
        <v>1.0162539439716991</v>
      </c>
      <c r="R18" s="47">
        <f t="shared" ref="R18" si="16">G18/F18</f>
        <v>0</v>
      </c>
    </row>
    <row r="19" spans="1:18">
      <c r="A19" s="59" t="s">
        <v>41</v>
      </c>
      <c r="B19" s="20">
        <f t="shared" ref="B19:G19" si="17">SUM(B20:B21)</f>
        <v>0</v>
      </c>
      <c r="C19" s="21">
        <f t="shared" si="17"/>
        <v>0</v>
      </c>
      <c r="D19" s="21">
        <f t="shared" si="17"/>
        <v>0</v>
      </c>
      <c r="E19" s="21">
        <f t="shared" si="17"/>
        <v>51</v>
      </c>
      <c r="F19" s="21">
        <f t="shared" si="17"/>
        <v>45</v>
      </c>
      <c r="G19" s="21">
        <f t="shared" si="17"/>
        <v>0</v>
      </c>
      <c r="H19" s="55" t="e">
        <f t="shared" si="6"/>
        <v>#DIV/0!</v>
      </c>
      <c r="I19" s="55" t="e">
        <f t="shared" si="7"/>
        <v>#DIV/0!</v>
      </c>
      <c r="J19" s="55" t="e">
        <f t="shared" si="8"/>
        <v>#DIV/0!</v>
      </c>
      <c r="K19" s="55">
        <f t="shared" si="9"/>
        <v>9.1907789455473378E-5</v>
      </c>
      <c r="L19" s="55">
        <f t="shared" si="10"/>
        <v>7.0919638593521734E-5</v>
      </c>
      <c r="M19" s="55" t="e">
        <f t="shared" si="11"/>
        <v>#DIV/0!</v>
      </c>
      <c r="N19" s="48" t="e">
        <f t="shared" ref="N19:N26" si="18">C19/B19</f>
        <v>#DIV/0!</v>
      </c>
      <c r="O19" s="43" t="e">
        <f t="shared" ref="O19:O26" si="19">D19/C19</f>
        <v>#DIV/0!</v>
      </c>
      <c r="P19" s="43" t="e">
        <f t="shared" ref="P19:P26" si="20">E19/D19</f>
        <v>#DIV/0!</v>
      </c>
      <c r="Q19" s="43">
        <f t="shared" ref="Q19:Q26" si="21">F19/E19</f>
        <v>0.88235294117647056</v>
      </c>
      <c r="R19" s="49">
        <f t="shared" ref="R19:R26" si="22">G19/F19</f>
        <v>0</v>
      </c>
    </row>
    <row r="20" spans="1:18">
      <c r="A20" s="60" t="s">
        <v>42</v>
      </c>
      <c r="B20" s="22"/>
      <c r="C20" s="23"/>
      <c r="D20" s="24"/>
      <c r="E20" s="24">
        <v>0</v>
      </c>
      <c r="F20" s="24">
        <v>0</v>
      </c>
      <c r="G20" s="66"/>
      <c r="H20" s="55" t="e">
        <f t="shared" si="6"/>
        <v>#DIV/0!</v>
      </c>
      <c r="I20" s="55" t="e">
        <f t="shared" si="7"/>
        <v>#DIV/0!</v>
      </c>
      <c r="J20" s="55" t="e">
        <f t="shared" si="8"/>
        <v>#DIV/0!</v>
      </c>
      <c r="K20" s="55">
        <f t="shared" si="9"/>
        <v>0</v>
      </c>
      <c r="L20" s="55">
        <f t="shared" si="10"/>
        <v>0</v>
      </c>
      <c r="M20" s="55" t="e">
        <f t="shared" si="11"/>
        <v>#DIV/0!</v>
      </c>
      <c r="N20" s="45" t="e">
        <f t="shared" si="18"/>
        <v>#DIV/0!</v>
      </c>
      <c r="O20" s="46" t="e">
        <f t="shared" si="19"/>
        <v>#DIV/0!</v>
      </c>
      <c r="P20" s="46" t="e">
        <f t="shared" si="20"/>
        <v>#DIV/0!</v>
      </c>
      <c r="Q20" s="46" t="e">
        <f t="shared" si="21"/>
        <v>#DIV/0!</v>
      </c>
      <c r="R20" s="47" t="e">
        <f t="shared" si="22"/>
        <v>#DIV/0!</v>
      </c>
    </row>
    <row r="21" spans="1:18">
      <c r="A21" s="60" t="s">
        <v>43</v>
      </c>
      <c r="B21" s="22"/>
      <c r="C21" s="23"/>
      <c r="D21" s="24"/>
      <c r="E21" s="24">
        <v>51</v>
      </c>
      <c r="F21" s="24">
        <v>45</v>
      </c>
      <c r="G21" s="66"/>
      <c r="H21" s="55" t="e">
        <f t="shared" si="6"/>
        <v>#DIV/0!</v>
      </c>
      <c r="I21" s="55" t="e">
        <f t="shared" si="7"/>
        <v>#DIV/0!</v>
      </c>
      <c r="J21" s="55" t="e">
        <f t="shared" si="8"/>
        <v>#DIV/0!</v>
      </c>
      <c r="K21" s="55">
        <f t="shared" si="9"/>
        <v>9.1907789455473378E-5</v>
      </c>
      <c r="L21" s="55">
        <f t="shared" si="10"/>
        <v>7.0919638593521734E-5</v>
      </c>
      <c r="M21" s="55" t="e">
        <f t="shared" si="11"/>
        <v>#DIV/0!</v>
      </c>
      <c r="N21" s="45" t="e">
        <f t="shared" si="18"/>
        <v>#DIV/0!</v>
      </c>
      <c r="O21" s="46" t="e">
        <f t="shared" si="19"/>
        <v>#DIV/0!</v>
      </c>
      <c r="P21" s="46" t="e">
        <f t="shared" si="20"/>
        <v>#DIV/0!</v>
      </c>
      <c r="Q21" s="46">
        <f t="shared" si="21"/>
        <v>0.88235294117647056</v>
      </c>
      <c r="R21" s="47">
        <f t="shared" si="22"/>
        <v>0</v>
      </c>
    </row>
    <row r="22" spans="1:18">
      <c r="A22" s="59" t="s">
        <v>44</v>
      </c>
      <c r="B22" s="20">
        <f>B23+B24+B25+B30+B35</f>
        <v>0</v>
      </c>
      <c r="C22" s="21">
        <f t="shared" ref="C22:G22" si="23">C23+C24+C25+C30+C35</f>
        <v>0</v>
      </c>
      <c r="D22" s="21">
        <f t="shared" si="23"/>
        <v>0</v>
      </c>
      <c r="E22" s="21">
        <f>E23+E24+E25+E30+E35</f>
        <v>2693</v>
      </c>
      <c r="F22" s="21">
        <f>F23+F24+F30+F35+F25</f>
        <v>25667</v>
      </c>
      <c r="G22" s="21">
        <f t="shared" si="23"/>
        <v>0</v>
      </c>
      <c r="H22" s="55" t="e">
        <f t="shared" si="6"/>
        <v>#DIV/0!</v>
      </c>
      <c r="I22" s="55" t="e">
        <f t="shared" si="7"/>
        <v>#DIV/0!</v>
      </c>
      <c r="J22" s="55" t="e">
        <f t="shared" si="8"/>
        <v>#DIV/0!</v>
      </c>
      <c r="K22" s="55">
        <f t="shared" si="9"/>
        <v>4.8530917059527411E-3</v>
      </c>
      <c r="L22" s="55">
        <f t="shared" si="10"/>
        <v>4.0450985861776048E-2</v>
      </c>
      <c r="M22" s="55" t="e">
        <f t="shared" si="11"/>
        <v>#DIV/0!</v>
      </c>
      <c r="N22" s="45" t="e">
        <f t="shared" si="18"/>
        <v>#DIV/0!</v>
      </c>
      <c r="O22" s="46" t="e">
        <f t="shared" si="19"/>
        <v>#DIV/0!</v>
      </c>
      <c r="P22" s="46" t="e">
        <f t="shared" si="20"/>
        <v>#DIV/0!</v>
      </c>
      <c r="Q22" s="46">
        <f t="shared" si="21"/>
        <v>9.5310063126624573</v>
      </c>
      <c r="R22" s="47">
        <f t="shared" si="22"/>
        <v>0</v>
      </c>
    </row>
    <row r="23" spans="1:18">
      <c r="A23" s="60" t="s">
        <v>45</v>
      </c>
      <c r="B23" s="22"/>
      <c r="C23" s="23"/>
      <c r="D23" s="24"/>
      <c r="E23" s="24"/>
      <c r="F23" s="24"/>
      <c r="G23" s="66"/>
      <c r="H23" s="55" t="e">
        <f t="shared" si="6"/>
        <v>#DIV/0!</v>
      </c>
      <c r="I23" s="55" t="e">
        <f t="shared" si="7"/>
        <v>#DIV/0!</v>
      </c>
      <c r="J23" s="55" t="e">
        <f t="shared" si="8"/>
        <v>#DIV/0!</v>
      </c>
      <c r="K23" s="55">
        <f t="shared" si="9"/>
        <v>0</v>
      </c>
      <c r="L23" s="55">
        <f t="shared" si="10"/>
        <v>0</v>
      </c>
      <c r="M23" s="55" t="e">
        <f t="shared" si="11"/>
        <v>#DIV/0!</v>
      </c>
      <c r="N23" s="45" t="e">
        <f t="shared" si="18"/>
        <v>#DIV/0!</v>
      </c>
      <c r="O23" s="46" t="e">
        <f t="shared" si="19"/>
        <v>#DIV/0!</v>
      </c>
      <c r="P23" s="46" t="e">
        <f t="shared" si="20"/>
        <v>#DIV/0!</v>
      </c>
      <c r="Q23" s="46" t="e">
        <f t="shared" si="21"/>
        <v>#DIV/0!</v>
      </c>
      <c r="R23" s="47" t="e">
        <f t="shared" si="22"/>
        <v>#DIV/0!</v>
      </c>
    </row>
    <row r="24" spans="1:18">
      <c r="A24" s="60" t="s">
        <v>46</v>
      </c>
      <c r="B24" s="22"/>
      <c r="C24" s="23"/>
      <c r="D24" s="24"/>
      <c r="E24" s="24"/>
      <c r="F24" s="24"/>
      <c r="G24" s="66"/>
      <c r="H24" s="55" t="e">
        <f t="shared" si="6"/>
        <v>#DIV/0!</v>
      </c>
      <c r="I24" s="55" t="e">
        <f t="shared" si="7"/>
        <v>#DIV/0!</v>
      </c>
      <c r="J24" s="55" t="e">
        <f t="shared" si="8"/>
        <v>#DIV/0!</v>
      </c>
      <c r="K24" s="55">
        <f t="shared" si="9"/>
        <v>0</v>
      </c>
      <c r="L24" s="55">
        <f t="shared" si="10"/>
        <v>0</v>
      </c>
      <c r="M24" s="55" t="e">
        <f t="shared" si="11"/>
        <v>#DIV/0!</v>
      </c>
      <c r="N24" s="45" t="e">
        <f t="shared" si="18"/>
        <v>#DIV/0!</v>
      </c>
      <c r="O24" s="46" t="e">
        <f t="shared" si="19"/>
        <v>#DIV/0!</v>
      </c>
      <c r="P24" s="46" t="e">
        <f t="shared" si="20"/>
        <v>#DIV/0!</v>
      </c>
      <c r="Q24" s="46" t="e">
        <f t="shared" si="21"/>
        <v>#DIV/0!</v>
      </c>
      <c r="R24" s="47" t="e">
        <f t="shared" si="22"/>
        <v>#DIV/0!</v>
      </c>
    </row>
    <row r="25" spans="1:18">
      <c r="A25" s="60" t="s">
        <v>47</v>
      </c>
      <c r="B25" s="27"/>
      <c r="C25" s="23"/>
      <c r="D25" s="23"/>
      <c r="E25" s="23">
        <f>SUM(E26:E29)</f>
        <v>2693</v>
      </c>
      <c r="F25" s="23">
        <f>SUM(F26:F29)</f>
        <v>2950</v>
      </c>
      <c r="G25" s="23">
        <f t="shared" ref="G25" si="24">SUM(G26:G29)</f>
        <v>0</v>
      </c>
      <c r="H25" s="55" t="e">
        <f t="shared" si="6"/>
        <v>#DIV/0!</v>
      </c>
      <c r="I25" s="55" t="e">
        <f t="shared" si="7"/>
        <v>#DIV/0!</v>
      </c>
      <c r="J25" s="55" t="e">
        <f t="shared" si="8"/>
        <v>#DIV/0!</v>
      </c>
      <c r="K25" s="55">
        <f t="shared" si="9"/>
        <v>4.8530917059527411E-3</v>
      </c>
      <c r="L25" s="55">
        <f t="shared" si="10"/>
        <v>4.6491763077975354E-3</v>
      </c>
      <c r="M25" s="55" t="e">
        <f t="shared" si="11"/>
        <v>#DIV/0!</v>
      </c>
      <c r="N25" s="45" t="e">
        <f t="shared" si="18"/>
        <v>#DIV/0!</v>
      </c>
      <c r="O25" s="46" t="e">
        <f t="shared" si="19"/>
        <v>#DIV/0!</v>
      </c>
      <c r="P25" s="46" t="e">
        <f>E25/D25</f>
        <v>#DIV/0!</v>
      </c>
      <c r="Q25" s="46" t="e">
        <f>#REF!/E25</f>
        <v>#REF!</v>
      </c>
      <c r="R25" s="47" t="e">
        <f>G25/#REF!</f>
        <v>#REF!</v>
      </c>
    </row>
    <row r="26" spans="1:18">
      <c r="A26" s="62" t="s">
        <v>48</v>
      </c>
      <c r="B26" s="22"/>
      <c r="C26" s="23"/>
      <c r="D26" s="24"/>
      <c r="E26" s="24">
        <v>2693</v>
      </c>
      <c r="F26" s="24">
        <v>2950</v>
      </c>
      <c r="G26" s="66"/>
      <c r="H26" s="55" t="e">
        <f t="shared" si="6"/>
        <v>#DIV/0!</v>
      </c>
      <c r="I26" s="55" t="e">
        <f t="shared" si="7"/>
        <v>#DIV/0!</v>
      </c>
      <c r="J26" s="55" t="e">
        <f t="shared" si="8"/>
        <v>#DIV/0!</v>
      </c>
      <c r="K26" s="55">
        <f t="shared" si="9"/>
        <v>4.8530917059527411E-3</v>
      </c>
      <c r="L26" s="55">
        <f t="shared" si="10"/>
        <v>4.6491763077975354E-3</v>
      </c>
      <c r="M26" s="55" t="e">
        <f t="shared" si="11"/>
        <v>#DIV/0!</v>
      </c>
      <c r="N26" s="45" t="e">
        <f t="shared" si="18"/>
        <v>#DIV/0!</v>
      </c>
      <c r="O26" s="46" t="e">
        <f t="shared" si="19"/>
        <v>#DIV/0!</v>
      </c>
      <c r="P26" s="46" t="e">
        <f t="shared" si="20"/>
        <v>#DIV/0!</v>
      </c>
      <c r="Q26" s="46">
        <f t="shared" si="21"/>
        <v>1.0954326030449313</v>
      </c>
      <c r="R26" s="47">
        <f t="shared" si="22"/>
        <v>0</v>
      </c>
    </row>
    <row r="27" spans="1:18">
      <c r="A27" s="62" t="s">
        <v>49</v>
      </c>
      <c r="B27" s="22"/>
      <c r="C27" s="23"/>
      <c r="D27" s="24"/>
      <c r="E27" s="24"/>
      <c r="F27" s="24"/>
      <c r="G27" s="66"/>
      <c r="H27" s="55" t="e">
        <f t="shared" si="6"/>
        <v>#DIV/0!</v>
      </c>
      <c r="I27" s="55" t="e">
        <f t="shared" si="7"/>
        <v>#DIV/0!</v>
      </c>
      <c r="J27" s="55" t="e">
        <f t="shared" si="8"/>
        <v>#DIV/0!</v>
      </c>
      <c r="K27" s="55">
        <f t="shared" si="9"/>
        <v>0</v>
      </c>
      <c r="L27" s="55">
        <f t="shared" si="10"/>
        <v>0</v>
      </c>
      <c r="M27" s="55" t="e">
        <f t="shared" si="11"/>
        <v>#DIV/0!</v>
      </c>
      <c r="N27" s="45" t="e">
        <f t="shared" ref="N27:N35" si="25">C27/B27</f>
        <v>#DIV/0!</v>
      </c>
      <c r="O27" s="46" t="e">
        <f t="shared" ref="O27:O35" si="26">D27/C27</f>
        <v>#DIV/0!</v>
      </c>
      <c r="P27" s="46" t="e">
        <f t="shared" ref="P27:P35" si="27">E27/D27</f>
        <v>#DIV/0!</v>
      </c>
      <c r="Q27" s="46" t="e">
        <f t="shared" ref="Q27:Q35" si="28">F27/E27</f>
        <v>#DIV/0!</v>
      </c>
      <c r="R27" s="47" t="e">
        <f t="shared" ref="R27:R35" si="29">G27/F27</f>
        <v>#DIV/0!</v>
      </c>
    </row>
    <row r="28" spans="1:18">
      <c r="A28" s="62" t="s">
        <v>50</v>
      </c>
      <c r="B28" s="22"/>
      <c r="C28" s="23"/>
      <c r="D28" s="24"/>
      <c r="E28" s="24"/>
      <c r="F28" s="24"/>
      <c r="G28" s="66"/>
      <c r="H28" s="55" t="e">
        <f t="shared" si="6"/>
        <v>#DIV/0!</v>
      </c>
      <c r="I28" s="55" t="e">
        <f t="shared" si="7"/>
        <v>#DIV/0!</v>
      </c>
      <c r="J28" s="55" t="e">
        <f t="shared" si="8"/>
        <v>#DIV/0!</v>
      </c>
      <c r="K28" s="55">
        <f t="shared" si="9"/>
        <v>0</v>
      </c>
      <c r="L28" s="55">
        <f t="shared" si="10"/>
        <v>0</v>
      </c>
      <c r="M28" s="55" t="e">
        <f t="shared" si="11"/>
        <v>#DIV/0!</v>
      </c>
      <c r="N28" s="45" t="e">
        <f t="shared" si="25"/>
        <v>#DIV/0!</v>
      </c>
      <c r="O28" s="46" t="e">
        <f t="shared" si="26"/>
        <v>#DIV/0!</v>
      </c>
      <c r="P28" s="46" t="e">
        <f t="shared" si="27"/>
        <v>#DIV/0!</v>
      </c>
      <c r="Q28" s="46" t="e">
        <f t="shared" si="28"/>
        <v>#DIV/0!</v>
      </c>
      <c r="R28" s="47" t="e">
        <f t="shared" si="29"/>
        <v>#DIV/0!</v>
      </c>
    </row>
    <row r="29" spans="1:18">
      <c r="A29" s="62" t="s">
        <v>51</v>
      </c>
      <c r="B29" s="22"/>
      <c r="C29" s="23"/>
      <c r="D29" s="24"/>
      <c r="E29" s="24"/>
      <c r="F29" s="24"/>
      <c r="G29" s="66"/>
      <c r="H29" s="55" t="e">
        <f t="shared" si="6"/>
        <v>#DIV/0!</v>
      </c>
      <c r="I29" s="55" t="e">
        <f t="shared" si="7"/>
        <v>#DIV/0!</v>
      </c>
      <c r="J29" s="55" t="e">
        <f t="shared" si="8"/>
        <v>#DIV/0!</v>
      </c>
      <c r="K29" s="55">
        <f t="shared" si="9"/>
        <v>0</v>
      </c>
      <c r="L29" s="55">
        <f t="shared" si="10"/>
        <v>0</v>
      </c>
      <c r="M29" s="55" t="e">
        <f t="shared" si="11"/>
        <v>#DIV/0!</v>
      </c>
      <c r="N29" s="45" t="e">
        <f t="shared" si="25"/>
        <v>#DIV/0!</v>
      </c>
      <c r="O29" s="46" t="e">
        <f t="shared" si="26"/>
        <v>#DIV/0!</v>
      </c>
      <c r="P29" s="46" t="e">
        <f t="shared" si="27"/>
        <v>#DIV/0!</v>
      </c>
      <c r="Q29" s="46" t="e">
        <f t="shared" si="28"/>
        <v>#DIV/0!</v>
      </c>
      <c r="R29" s="47" t="e">
        <f t="shared" si="29"/>
        <v>#DIV/0!</v>
      </c>
    </row>
    <row r="30" spans="1:18">
      <c r="A30" s="60" t="s">
        <v>52</v>
      </c>
      <c r="B30" s="27"/>
      <c r="C30" s="23"/>
      <c r="D30" s="23"/>
      <c r="E30" s="23">
        <f t="shared" ref="E30:F30" si="30">SUM(E31:E34)</f>
        <v>0</v>
      </c>
      <c r="F30" s="23">
        <f t="shared" si="30"/>
        <v>22717</v>
      </c>
      <c r="G30" s="23">
        <f>SUM(G31:G34)</f>
        <v>0</v>
      </c>
      <c r="H30" s="55" t="e">
        <f t="shared" si="6"/>
        <v>#DIV/0!</v>
      </c>
      <c r="I30" s="55" t="e">
        <f t="shared" si="7"/>
        <v>#DIV/0!</v>
      </c>
      <c r="J30" s="55" t="e">
        <f t="shared" si="8"/>
        <v>#DIV/0!</v>
      </c>
      <c r="K30" s="55">
        <f t="shared" si="9"/>
        <v>0</v>
      </c>
      <c r="L30" s="55">
        <f t="shared" si="10"/>
        <v>3.5801809553978513E-2</v>
      </c>
      <c r="M30" s="55" t="e">
        <f t="shared" si="11"/>
        <v>#DIV/0!</v>
      </c>
      <c r="N30" s="45" t="e">
        <f t="shared" si="25"/>
        <v>#DIV/0!</v>
      </c>
      <c r="O30" s="46" t="e">
        <f t="shared" si="26"/>
        <v>#DIV/0!</v>
      </c>
      <c r="P30" s="46" t="e">
        <f t="shared" si="27"/>
        <v>#DIV/0!</v>
      </c>
      <c r="Q30" s="46" t="e">
        <f t="shared" si="28"/>
        <v>#DIV/0!</v>
      </c>
      <c r="R30" s="47">
        <f t="shared" si="29"/>
        <v>0</v>
      </c>
    </row>
    <row r="31" spans="1:18">
      <c r="A31" s="62" t="s">
        <v>48</v>
      </c>
      <c r="B31" s="22"/>
      <c r="C31" s="23"/>
      <c r="D31" s="24"/>
      <c r="E31" s="24">
        <v>0</v>
      </c>
      <c r="F31" s="24">
        <v>22717</v>
      </c>
      <c r="G31" s="66"/>
      <c r="H31" s="55" t="e">
        <f t="shared" si="6"/>
        <v>#DIV/0!</v>
      </c>
      <c r="I31" s="55" t="e">
        <f t="shared" si="7"/>
        <v>#DIV/0!</v>
      </c>
      <c r="J31" s="55" t="e">
        <f t="shared" si="8"/>
        <v>#DIV/0!</v>
      </c>
      <c r="K31" s="55">
        <f t="shared" si="9"/>
        <v>0</v>
      </c>
      <c r="L31" s="55">
        <f t="shared" si="10"/>
        <v>3.5801809553978513E-2</v>
      </c>
      <c r="M31" s="55" t="e">
        <f t="shared" si="11"/>
        <v>#DIV/0!</v>
      </c>
      <c r="N31" s="45" t="e">
        <f t="shared" si="25"/>
        <v>#DIV/0!</v>
      </c>
      <c r="O31" s="46" t="e">
        <f t="shared" si="26"/>
        <v>#DIV/0!</v>
      </c>
      <c r="P31" s="46" t="e">
        <f t="shared" si="27"/>
        <v>#DIV/0!</v>
      </c>
      <c r="Q31" s="46" t="e">
        <f t="shared" si="28"/>
        <v>#DIV/0!</v>
      </c>
      <c r="R31" s="47">
        <f t="shared" si="29"/>
        <v>0</v>
      </c>
    </row>
    <row r="32" spans="1:18">
      <c r="A32" s="62" t="s">
        <v>49</v>
      </c>
      <c r="B32" s="22"/>
      <c r="C32" s="23"/>
      <c r="D32" s="24"/>
      <c r="E32" s="24"/>
      <c r="F32" s="24"/>
      <c r="G32" s="66"/>
      <c r="H32" s="55" t="e">
        <f t="shared" si="6"/>
        <v>#DIV/0!</v>
      </c>
      <c r="I32" s="55" t="e">
        <f t="shared" si="7"/>
        <v>#DIV/0!</v>
      </c>
      <c r="J32" s="55" t="e">
        <f t="shared" si="8"/>
        <v>#DIV/0!</v>
      </c>
      <c r="K32" s="55">
        <f t="shared" si="9"/>
        <v>0</v>
      </c>
      <c r="L32" s="55">
        <f t="shared" si="10"/>
        <v>0</v>
      </c>
      <c r="M32" s="55" t="e">
        <f t="shared" si="11"/>
        <v>#DIV/0!</v>
      </c>
      <c r="N32" s="45" t="e">
        <f t="shared" si="25"/>
        <v>#DIV/0!</v>
      </c>
      <c r="O32" s="46" t="e">
        <f t="shared" si="26"/>
        <v>#DIV/0!</v>
      </c>
      <c r="P32" s="46" t="e">
        <f t="shared" si="27"/>
        <v>#DIV/0!</v>
      </c>
      <c r="Q32" s="46" t="e">
        <f t="shared" si="28"/>
        <v>#DIV/0!</v>
      </c>
      <c r="R32" s="47" t="e">
        <f t="shared" si="29"/>
        <v>#DIV/0!</v>
      </c>
    </row>
    <row r="33" spans="1:18">
      <c r="A33" s="62" t="s">
        <v>50</v>
      </c>
      <c r="B33" s="22"/>
      <c r="C33" s="23"/>
      <c r="D33" s="24"/>
      <c r="E33" s="24"/>
      <c r="F33" s="24"/>
      <c r="G33" s="66"/>
      <c r="H33" s="55" t="e">
        <f t="shared" si="6"/>
        <v>#DIV/0!</v>
      </c>
      <c r="I33" s="55" t="e">
        <f t="shared" si="7"/>
        <v>#DIV/0!</v>
      </c>
      <c r="J33" s="55" t="e">
        <f t="shared" si="8"/>
        <v>#DIV/0!</v>
      </c>
      <c r="K33" s="55">
        <f t="shared" si="9"/>
        <v>0</v>
      </c>
      <c r="L33" s="55">
        <f t="shared" si="10"/>
        <v>0</v>
      </c>
      <c r="M33" s="55" t="e">
        <f t="shared" si="11"/>
        <v>#DIV/0!</v>
      </c>
      <c r="N33" s="45" t="e">
        <f t="shared" si="25"/>
        <v>#DIV/0!</v>
      </c>
      <c r="O33" s="46" t="e">
        <f t="shared" si="26"/>
        <v>#DIV/0!</v>
      </c>
      <c r="P33" s="46" t="e">
        <f t="shared" si="27"/>
        <v>#DIV/0!</v>
      </c>
      <c r="Q33" s="46" t="e">
        <f t="shared" si="28"/>
        <v>#DIV/0!</v>
      </c>
      <c r="R33" s="47" t="e">
        <f t="shared" si="29"/>
        <v>#DIV/0!</v>
      </c>
    </row>
    <row r="34" spans="1:18">
      <c r="A34" s="62" t="s">
        <v>51</v>
      </c>
      <c r="B34" s="22"/>
      <c r="C34" s="23"/>
      <c r="D34" s="24"/>
      <c r="E34" s="24"/>
      <c r="F34" s="24"/>
      <c r="G34" s="66"/>
      <c r="H34" s="55" t="e">
        <f t="shared" si="6"/>
        <v>#DIV/0!</v>
      </c>
      <c r="I34" s="55" t="e">
        <f t="shared" si="7"/>
        <v>#DIV/0!</v>
      </c>
      <c r="J34" s="55" t="e">
        <f t="shared" si="8"/>
        <v>#DIV/0!</v>
      </c>
      <c r="K34" s="55">
        <f t="shared" si="9"/>
        <v>0</v>
      </c>
      <c r="L34" s="55">
        <f t="shared" si="10"/>
        <v>0</v>
      </c>
      <c r="M34" s="55" t="e">
        <f t="shared" si="11"/>
        <v>#DIV/0!</v>
      </c>
      <c r="N34" s="45" t="e">
        <f t="shared" si="25"/>
        <v>#DIV/0!</v>
      </c>
      <c r="O34" s="46" t="e">
        <f t="shared" si="26"/>
        <v>#DIV/0!</v>
      </c>
      <c r="P34" s="46" t="e">
        <f t="shared" si="27"/>
        <v>#DIV/0!</v>
      </c>
      <c r="Q34" s="46" t="e">
        <f t="shared" si="28"/>
        <v>#DIV/0!</v>
      </c>
      <c r="R34" s="47" t="e">
        <f t="shared" si="29"/>
        <v>#DIV/0!</v>
      </c>
    </row>
    <row r="35" spans="1:18">
      <c r="A35" s="60" t="s">
        <v>53</v>
      </c>
      <c r="B35" s="22"/>
      <c r="C35" s="29"/>
      <c r="D35" s="24"/>
      <c r="E35" s="24"/>
      <c r="F35" s="24"/>
      <c r="G35" s="66"/>
      <c r="H35" s="55" t="e">
        <f t="shared" si="6"/>
        <v>#DIV/0!</v>
      </c>
      <c r="I35" s="55" t="e">
        <f t="shared" si="7"/>
        <v>#DIV/0!</v>
      </c>
      <c r="J35" s="55" t="e">
        <f t="shared" si="8"/>
        <v>#DIV/0!</v>
      </c>
      <c r="K35" s="55">
        <f t="shared" si="9"/>
        <v>0</v>
      </c>
      <c r="L35" s="55">
        <f t="shared" si="10"/>
        <v>0</v>
      </c>
      <c r="M35" s="55" t="e">
        <f t="shared" si="11"/>
        <v>#DIV/0!</v>
      </c>
      <c r="N35" s="45" t="e">
        <f t="shared" si="25"/>
        <v>#DIV/0!</v>
      </c>
      <c r="O35" s="46" t="e">
        <f t="shared" si="26"/>
        <v>#DIV/0!</v>
      </c>
      <c r="P35" s="46" t="e">
        <f t="shared" si="27"/>
        <v>#DIV/0!</v>
      </c>
      <c r="Q35" s="46" t="e">
        <f t="shared" si="28"/>
        <v>#DIV/0!</v>
      </c>
      <c r="R35" s="47" t="e">
        <f t="shared" si="29"/>
        <v>#DIV/0!</v>
      </c>
    </row>
    <row r="36" spans="1:18">
      <c r="A36" s="59" t="s">
        <v>54</v>
      </c>
      <c r="B36" s="30">
        <f t="shared" ref="B36:G36" si="31">SUM(B37:B38)</f>
        <v>0</v>
      </c>
      <c r="C36" s="31">
        <f t="shared" si="31"/>
        <v>0</v>
      </c>
      <c r="D36" s="31">
        <f t="shared" si="31"/>
        <v>0</v>
      </c>
      <c r="E36" s="31">
        <f t="shared" si="31"/>
        <v>74</v>
      </c>
      <c r="F36" s="31">
        <f t="shared" si="31"/>
        <v>72</v>
      </c>
      <c r="G36" s="31">
        <f t="shared" si="31"/>
        <v>0</v>
      </c>
      <c r="H36" s="55" t="e">
        <f t="shared" si="6"/>
        <v>#DIV/0!</v>
      </c>
      <c r="I36" s="55" t="e">
        <f t="shared" si="7"/>
        <v>#DIV/0!</v>
      </c>
      <c r="J36" s="55" t="e">
        <f t="shared" si="8"/>
        <v>#DIV/0!</v>
      </c>
      <c r="K36" s="55">
        <f t="shared" si="9"/>
        <v>1.3335640038637315E-4</v>
      </c>
      <c r="L36" s="55">
        <f t="shared" si="10"/>
        <v>1.1347142174963477E-4</v>
      </c>
      <c r="M36" s="55" t="e">
        <f t="shared" si="11"/>
        <v>#DIV/0!</v>
      </c>
      <c r="N36" s="48" t="e">
        <f t="shared" ref="N36:R37" si="32">C36/B36</f>
        <v>#DIV/0!</v>
      </c>
      <c r="O36" s="43" t="e">
        <f t="shared" si="32"/>
        <v>#DIV/0!</v>
      </c>
      <c r="P36" s="43" t="e">
        <f t="shared" si="32"/>
        <v>#DIV/0!</v>
      </c>
      <c r="Q36" s="43">
        <f t="shared" si="32"/>
        <v>0.97297297297297303</v>
      </c>
      <c r="R36" s="49">
        <f t="shared" si="32"/>
        <v>0</v>
      </c>
    </row>
    <row r="37" spans="1:18">
      <c r="A37" s="60" t="s">
        <v>55</v>
      </c>
      <c r="B37" s="22"/>
      <c r="C37" s="23"/>
      <c r="D37" s="24"/>
      <c r="E37" s="24"/>
      <c r="F37" s="24"/>
      <c r="G37" s="66"/>
      <c r="H37" s="55" t="e">
        <f t="shared" si="6"/>
        <v>#DIV/0!</v>
      </c>
      <c r="I37" s="55" t="e">
        <f t="shared" si="7"/>
        <v>#DIV/0!</v>
      </c>
      <c r="J37" s="55" t="e">
        <f t="shared" si="8"/>
        <v>#DIV/0!</v>
      </c>
      <c r="K37" s="55">
        <f t="shared" si="9"/>
        <v>0</v>
      </c>
      <c r="L37" s="55">
        <f t="shared" si="10"/>
        <v>0</v>
      </c>
      <c r="M37" s="55" t="e">
        <f t="shared" si="11"/>
        <v>#DIV/0!</v>
      </c>
      <c r="N37" s="45" t="e">
        <f t="shared" si="32"/>
        <v>#DIV/0!</v>
      </c>
      <c r="O37" s="46" t="e">
        <f t="shared" si="32"/>
        <v>#DIV/0!</v>
      </c>
      <c r="P37" s="46" t="e">
        <f t="shared" si="32"/>
        <v>#DIV/0!</v>
      </c>
      <c r="Q37" s="46" t="e">
        <f t="shared" si="32"/>
        <v>#DIV/0!</v>
      </c>
      <c r="R37" s="47" t="e">
        <f t="shared" si="32"/>
        <v>#DIV/0!</v>
      </c>
    </row>
    <row r="38" spans="1:18">
      <c r="A38" s="60" t="s">
        <v>56</v>
      </c>
      <c r="B38" s="22"/>
      <c r="C38" s="23"/>
      <c r="D38" s="24"/>
      <c r="E38" s="24">
        <v>74</v>
      </c>
      <c r="F38" s="24">
        <v>72</v>
      </c>
      <c r="G38" s="66"/>
      <c r="H38" s="45"/>
      <c r="I38" s="46"/>
      <c r="J38" s="46"/>
      <c r="K38" s="46"/>
      <c r="L38" s="46"/>
      <c r="M38" s="46"/>
      <c r="N38" s="45"/>
      <c r="O38" s="46"/>
      <c r="P38" s="46"/>
      <c r="Q38" s="46"/>
      <c r="R38" s="47"/>
    </row>
    <row r="39" spans="1:18">
      <c r="A39" s="63" t="s">
        <v>57</v>
      </c>
      <c r="B39" s="20">
        <f t="shared" ref="B39:G39" si="33">B40+B46+B58+B74</f>
        <v>0</v>
      </c>
      <c r="C39" s="21">
        <f t="shared" si="33"/>
        <v>0</v>
      </c>
      <c r="D39" s="21">
        <f t="shared" si="33"/>
        <v>0</v>
      </c>
      <c r="E39" s="21">
        <f t="shared" si="33"/>
        <v>341748</v>
      </c>
      <c r="F39" s="21">
        <f t="shared" si="33"/>
        <v>376253</v>
      </c>
      <c r="G39" s="21">
        <f t="shared" si="33"/>
        <v>0</v>
      </c>
      <c r="H39" s="55" t="e">
        <f t="shared" ref="H39" si="34">B39/B$75</f>
        <v>#DIV/0!</v>
      </c>
      <c r="I39" s="55" t="e">
        <f t="shared" ref="I39" si="35">C39/C$75</f>
        <v>#DIV/0!</v>
      </c>
      <c r="J39" s="55" t="e">
        <f t="shared" ref="J39" si="36">D39/D$75</f>
        <v>#DIV/0!</v>
      </c>
      <c r="K39" s="55">
        <f t="shared" ref="K39" si="37">E39/E$75</f>
        <v>0.61586869080057094</v>
      </c>
      <c r="L39" s="55">
        <f t="shared" ref="L39" si="38">F39/F$75</f>
        <v>0.59297170621618511</v>
      </c>
      <c r="M39" s="55" t="e">
        <f t="shared" ref="M39" si="39">G39/G$75</f>
        <v>#DIV/0!</v>
      </c>
      <c r="N39" s="48" t="e">
        <f t="shared" ref="N39:R45" si="40">C39/B39</f>
        <v>#DIV/0!</v>
      </c>
      <c r="O39" s="43" t="e">
        <f t="shared" si="40"/>
        <v>#DIV/0!</v>
      </c>
      <c r="P39" s="43" t="e">
        <f t="shared" si="40"/>
        <v>#DIV/0!</v>
      </c>
      <c r="Q39" s="43">
        <f t="shared" si="40"/>
        <v>1.1009662090195114</v>
      </c>
      <c r="R39" s="49">
        <f t="shared" si="40"/>
        <v>0</v>
      </c>
    </row>
    <row r="40" spans="1:18">
      <c r="A40" s="63" t="s">
        <v>58</v>
      </c>
      <c r="B40" s="30">
        <f>SUM(B41:B44)</f>
        <v>0</v>
      </c>
      <c r="C40" s="31">
        <f>SUM(C41:C45)</f>
        <v>0</v>
      </c>
      <c r="D40" s="31">
        <f>SUM(D41:D45)</f>
        <v>0</v>
      </c>
      <c r="E40" s="31">
        <f>SUM(E41:E45)</f>
        <v>42772</v>
      </c>
      <c r="F40" s="31">
        <f>SUM(F41:F45)</f>
        <v>47639</v>
      </c>
      <c r="G40" s="31">
        <f>SUM(G41:G45)</f>
        <v>0</v>
      </c>
      <c r="H40" s="55" t="e">
        <f t="shared" ref="H40:H42" si="41">B40/B$75</f>
        <v>#DIV/0!</v>
      </c>
      <c r="I40" s="55" t="e">
        <f t="shared" ref="I40:I42" si="42">C40/C$75</f>
        <v>#DIV/0!</v>
      </c>
      <c r="J40" s="55" t="e">
        <f t="shared" ref="J40:J42" si="43">D40/D$75</f>
        <v>#DIV/0!</v>
      </c>
      <c r="K40" s="55">
        <f t="shared" ref="K40:K42" si="44">E40/E$75</f>
        <v>7.7079999423323678E-2</v>
      </c>
      <c r="L40" s="55">
        <f t="shared" ref="L40:L42" si="45">F40/F$75</f>
        <v>7.5078681399039587E-2</v>
      </c>
      <c r="M40" s="55" t="e">
        <f t="shared" ref="M40:M42" si="46">G40/G$75</f>
        <v>#DIV/0!</v>
      </c>
      <c r="N40" s="48" t="e">
        <f t="shared" si="40"/>
        <v>#DIV/0!</v>
      </c>
      <c r="O40" s="43" t="e">
        <f t="shared" si="40"/>
        <v>#DIV/0!</v>
      </c>
      <c r="P40" s="43" t="e">
        <f t="shared" si="40"/>
        <v>#DIV/0!</v>
      </c>
      <c r="Q40" s="43">
        <f t="shared" si="40"/>
        <v>1.1137893949312634</v>
      </c>
      <c r="R40" s="49">
        <f t="shared" si="40"/>
        <v>0</v>
      </c>
    </row>
    <row r="41" spans="1:18">
      <c r="A41" s="60" t="s">
        <v>4</v>
      </c>
      <c r="B41" s="22"/>
      <c r="C41" s="23"/>
      <c r="D41" s="24"/>
      <c r="E41" s="24">
        <v>19771</v>
      </c>
      <c r="F41" s="24">
        <v>25163</v>
      </c>
      <c r="G41" s="66"/>
      <c r="H41" s="55" t="e">
        <f t="shared" si="41"/>
        <v>#DIV/0!</v>
      </c>
      <c r="I41" s="55" t="e">
        <f t="shared" si="42"/>
        <v>#DIV/0!</v>
      </c>
      <c r="J41" s="55" t="e">
        <f t="shared" si="43"/>
        <v>#DIV/0!</v>
      </c>
      <c r="K41" s="55">
        <f t="shared" si="44"/>
        <v>3.5629586378905183E-2</v>
      </c>
      <c r="L41" s="55">
        <f t="shared" si="45"/>
        <v>3.9656685909528602E-2</v>
      </c>
      <c r="M41" s="55" t="e">
        <f t="shared" si="46"/>
        <v>#DIV/0!</v>
      </c>
      <c r="N41" s="45" t="e">
        <f t="shared" si="40"/>
        <v>#DIV/0!</v>
      </c>
      <c r="O41" s="46" t="e">
        <f t="shared" si="40"/>
        <v>#DIV/0!</v>
      </c>
      <c r="P41" s="46" t="e">
        <f t="shared" si="40"/>
        <v>#DIV/0!</v>
      </c>
      <c r="Q41" s="46">
        <f t="shared" si="40"/>
        <v>1.27272267462445</v>
      </c>
      <c r="R41" s="47">
        <f t="shared" si="40"/>
        <v>0</v>
      </c>
    </row>
    <row r="42" spans="1:18">
      <c r="A42" s="60" t="s">
        <v>5</v>
      </c>
      <c r="B42" s="22"/>
      <c r="C42" s="23"/>
      <c r="D42" s="24"/>
      <c r="E42" s="24">
        <v>5274</v>
      </c>
      <c r="F42" s="24">
        <v>4320</v>
      </c>
      <c r="G42" s="66"/>
      <c r="H42" s="55" t="e">
        <f t="shared" si="41"/>
        <v>#DIV/0!</v>
      </c>
      <c r="I42" s="55" t="e">
        <f t="shared" si="42"/>
        <v>#DIV/0!</v>
      </c>
      <c r="J42" s="55" t="e">
        <f t="shared" si="43"/>
        <v>#DIV/0!</v>
      </c>
      <c r="K42" s="55">
        <f t="shared" si="44"/>
        <v>9.5043466978071891E-3</v>
      </c>
      <c r="L42" s="55">
        <f t="shared" si="45"/>
        <v>6.808285304978086E-3</v>
      </c>
      <c r="M42" s="55" t="e">
        <f t="shared" si="46"/>
        <v>#DIV/0!</v>
      </c>
      <c r="N42" s="45" t="e">
        <f t="shared" si="40"/>
        <v>#DIV/0!</v>
      </c>
      <c r="O42" s="46" t="e">
        <f t="shared" si="40"/>
        <v>#DIV/0!</v>
      </c>
      <c r="P42" s="46" t="e">
        <f t="shared" si="40"/>
        <v>#DIV/0!</v>
      </c>
      <c r="Q42" s="46">
        <f t="shared" si="40"/>
        <v>0.8191126279863481</v>
      </c>
      <c r="R42" s="47">
        <f t="shared" si="40"/>
        <v>0</v>
      </c>
    </row>
    <row r="43" spans="1:18">
      <c r="A43" s="60" t="s">
        <v>6</v>
      </c>
      <c r="B43" s="22"/>
      <c r="C43" s="23"/>
      <c r="D43" s="24"/>
      <c r="E43" s="24">
        <v>17172</v>
      </c>
      <c r="F43" s="24">
        <v>17765</v>
      </c>
      <c r="G43" s="66"/>
      <c r="H43" s="45"/>
      <c r="I43" s="46"/>
      <c r="J43" s="46"/>
      <c r="K43" s="46"/>
      <c r="L43" s="46"/>
      <c r="M43" s="46"/>
      <c r="N43" s="45"/>
      <c r="O43" s="46"/>
      <c r="P43" s="46" t="e">
        <f t="shared" si="40"/>
        <v>#DIV/0!</v>
      </c>
      <c r="Q43" s="46">
        <f t="shared" si="40"/>
        <v>1.0345329606335896</v>
      </c>
      <c r="R43" s="47">
        <f t="shared" si="40"/>
        <v>0</v>
      </c>
    </row>
    <row r="44" spans="1:18">
      <c r="A44" s="60" t="s">
        <v>7</v>
      </c>
      <c r="B44" s="27"/>
      <c r="C44" s="23"/>
      <c r="D44" s="24"/>
      <c r="E44" s="24">
        <v>312</v>
      </c>
      <c r="F44" s="24">
        <v>311</v>
      </c>
      <c r="G44" s="66"/>
      <c r="H44" s="45"/>
      <c r="I44" s="46"/>
      <c r="J44" s="46"/>
      <c r="K44" s="46"/>
      <c r="L44" s="46"/>
      <c r="M44" s="46"/>
      <c r="N44" s="45"/>
      <c r="O44" s="46"/>
      <c r="P44" s="46" t="e">
        <f t="shared" si="40"/>
        <v>#DIV/0!</v>
      </c>
      <c r="Q44" s="46">
        <f t="shared" si="40"/>
        <v>0.99679487179487181</v>
      </c>
      <c r="R44" s="47">
        <f t="shared" si="40"/>
        <v>0</v>
      </c>
    </row>
    <row r="45" spans="1:18">
      <c r="A45" s="60" t="s">
        <v>59</v>
      </c>
      <c r="B45" s="23"/>
      <c r="C45" s="23"/>
      <c r="D45" s="24"/>
      <c r="E45" s="24">
        <v>243</v>
      </c>
      <c r="F45" s="24">
        <v>80</v>
      </c>
      <c r="G45" s="66"/>
      <c r="H45" s="45"/>
      <c r="I45" s="46"/>
      <c r="J45" s="46"/>
      <c r="K45" s="46"/>
      <c r="L45" s="46"/>
      <c r="M45" s="46"/>
      <c r="N45" s="45"/>
      <c r="O45" s="46"/>
      <c r="P45" s="46" t="e">
        <f t="shared" si="40"/>
        <v>#DIV/0!</v>
      </c>
      <c r="Q45" s="46">
        <f t="shared" si="40"/>
        <v>0.32921810699588477</v>
      </c>
      <c r="R45" s="47">
        <f t="shared" si="40"/>
        <v>0</v>
      </c>
    </row>
    <row r="46" spans="1:18">
      <c r="A46" s="59" t="s">
        <v>60</v>
      </c>
      <c r="B46" s="20">
        <f t="shared" ref="B46:G46" si="47">B47+B51</f>
        <v>0</v>
      </c>
      <c r="C46" s="21">
        <f t="shared" si="47"/>
        <v>0</v>
      </c>
      <c r="D46" s="21">
        <f t="shared" si="47"/>
        <v>0</v>
      </c>
      <c r="E46" s="21">
        <f>E47+E51</f>
        <v>190430</v>
      </c>
      <c r="F46" s="21">
        <f>F47+F51</f>
        <v>197288</v>
      </c>
      <c r="G46" s="21">
        <f t="shared" si="47"/>
        <v>0</v>
      </c>
      <c r="H46" s="55" t="e">
        <f t="shared" ref="H46" si="48">B46/B$75</f>
        <v>#DIV/0!</v>
      </c>
      <c r="I46" s="55" t="e">
        <f t="shared" ref="I46" si="49">C46/C$75</f>
        <v>#DIV/0!</v>
      </c>
      <c r="J46" s="55" t="e">
        <f t="shared" ref="J46" si="50">D46/D$75</f>
        <v>#DIV/0!</v>
      </c>
      <c r="K46" s="55">
        <f t="shared" ref="K46" si="51">E46/E$75</f>
        <v>0.34317647737266266</v>
      </c>
      <c r="L46" s="55">
        <f t="shared" ref="L46" si="52">F46/F$75</f>
        <v>0.3109243035297492</v>
      </c>
      <c r="M46" s="55" t="e">
        <f t="shared" ref="M46" si="53">G46/G$75</f>
        <v>#DIV/0!</v>
      </c>
      <c r="N46" s="48" t="e">
        <f>C46/B46</f>
        <v>#DIV/0!</v>
      </c>
      <c r="O46" s="43" t="e">
        <f>D46/C46</f>
        <v>#DIV/0!</v>
      </c>
      <c r="P46" s="43" t="e">
        <f>E46/D46</f>
        <v>#DIV/0!</v>
      </c>
      <c r="Q46" s="43">
        <f>F46/E46</f>
        <v>1.0360132332090533</v>
      </c>
      <c r="R46" s="49">
        <f>G46/F46</f>
        <v>0</v>
      </c>
    </row>
    <row r="47" spans="1:18">
      <c r="A47" s="60" t="s">
        <v>61</v>
      </c>
      <c r="B47" s="29">
        <f t="shared" ref="B47:E47" si="54">SUM(B48:B50)</f>
        <v>0</v>
      </c>
      <c r="C47" s="29">
        <f t="shared" si="54"/>
        <v>0</v>
      </c>
      <c r="D47" s="29">
        <f t="shared" si="54"/>
        <v>0</v>
      </c>
      <c r="E47" s="29">
        <f t="shared" si="54"/>
        <v>280</v>
      </c>
      <c r="F47" s="29">
        <f>SUM(F48:F50)</f>
        <v>320</v>
      </c>
      <c r="G47" s="29">
        <f>SUM(G48:G50)</f>
        <v>0</v>
      </c>
      <c r="H47" s="45"/>
      <c r="I47" s="46"/>
      <c r="J47" s="46"/>
      <c r="K47" s="46"/>
      <c r="L47" s="46"/>
      <c r="M47" s="46"/>
      <c r="N47" s="45" t="e">
        <f>C47/B47</f>
        <v>#DIV/0!</v>
      </c>
      <c r="O47" s="46"/>
      <c r="P47" s="46"/>
      <c r="Q47" s="46"/>
      <c r="R47" s="47">
        <f>G47/F47</f>
        <v>0</v>
      </c>
    </row>
    <row r="48" spans="1:18">
      <c r="A48" s="62" t="s">
        <v>62</v>
      </c>
      <c r="B48" s="22"/>
      <c r="C48" s="23"/>
      <c r="D48" s="24"/>
      <c r="E48" s="24">
        <v>280</v>
      </c>
      <c r="F48" s="24">
        <v>320</v>
      </c>
      <c r="G48" s="66"/>
      <c r="H48" s="45"/>
      <c r="I48" s="46"/>
      <c r="J48" s="46"/>
      <c r="K48" s="46"/>
      <c r="L48" s="46"/>
      <c r="M48" s="46"/>
      <c r="N48" s="45"/>
      <c r="O48" s="46"/>
      <c r="P48" s="46"/>
      <c r="Q48" s="46"/>
      <c r="R48" s="47"/>
    </row>
    <row r="49" spans="1:18">
      <c r="A49" s="62" t="s">
        <v>63</v>
      </c>
      <c r="B49" s="22"/>
      <c r="C49" s="23"/>
      <c r="D49" s="24"/>
      <c r="E49" s="24"/>
      <c r="F49" s="24"/>
      <c r="G49" s="66"/>
      <c r="H49" s="45"/>
      <c r="I49" s="46"/>
      <c r="J49" s="46"/>
      <c r="K49" s="46"/>
      <c r="L49" s="46"/>
      <c r="M49" s="46"/>
      <c r="N49" s="45"/>
      <c r="O49" s="46"/>
      <c r="P49" s="46"/>
      <c r="Q49" s="46"/>
      <c r="R49" s="47"/>
    </row>
    <row r="50" spans="1:18">
      <c r="A50" s="62" t="s">
        <v>64</v>
      </c>
      <c r="B50" s="22"/>
      <c r="C50" s="23"/>
      <c r="D50" s="24"/>
      <c r="E50" s="24"/>
      <c r="F50" s="24"/>
      <c r="G50" s="66"/>
      <c r="H50" s="45"/>
      <c r="I50" s="46"/>
      <c r="J50" s="46"/>
      <c r="K50" s="46"/>
      <c r="L50" s="46"/>
      <c r="M50" s="46"/>
      <c r="N50" s="45"/>
      <c r="O50" s="46"/>
      <c r="P50" s="46"/>
      <c r="Q50" s="46"/>
      <c r="R50" s="47"/>
    </row>
    <row r="51" spans="1:18">
      <c r="A51" s="60" t="s">
        <v>65</v>
      </c>
      <c r="B51" s="22">
        <f t="shared" ref="B51:G51" si="55">SUM(B52:B57)</f>
        <v>0</v>
      </c>
      <c r="C51" s="29">
        <f t="shared" si="55"/>
        <v>0</v>
      </c>
      <c r="D51" s="29">
        <f t="shared" si="55"/>
        <v>0</v>
      </c>
      <c r="E51" s="29">
        <f>SUM(E52:E57)</f>
        <v>190150</v>
      </c>
      <c r="F51" s="29">
        <f>SUM(F52:F57)</f>
        <v>196968</v>
      </c>
      <c r="G51" s="29">
        <f t="shared" si="55"/>
        <v>0</v>
      </c>
      <c r="H51" s="55" t="e">
        <f t="shared" ref="H51" si="56">B51/B$75</f>
        <v>#DIV/0!</v>
      </c>
      <c r="I51" s="55" t="e">
        <f t="shared" ref="I51" si="57">C51/C$75</f>
        <v>#DIV/0!</v>
      </c>
      <c r="J51" s="55" t="e">
        <f t="shared" ref="J51" si="58">D51/D$75</f>
        <v>#DIV/0!</v>
      </c>
      <c r="K51" s="55">
        <f t="shared" ref="K51" si="59">E51/E$75</f>
        <v>0.3426718855874169</v>
      </c>
      <c r="L51" s="55">
        <f t="shared" ref="L51" si="60">F51/F$75</f>
        <v>0.31041998609975086</v>
      </c>
      <c r="M51" s="55" t="e">
        <f t="shared" ref="M51" si="61">G51/G$75</f>
        <v>#DIV/0!</v>
      </c>
      <c r="N51" s="45" t="e">
        <f t="shared" ref="N51:R54" si="62">C51/B51</f>
        <v>#DIV/0!</v>
      </c>
      <c r="O51" s="46" t="e">
        <f t="shared" si="62"/>
        <v>#DIV/0!</v>
      </c>
      <c r="P51" s="46" t="e">
        <f t="shared" si="62"/>
        <v>#DIV/0!</v>
      </c>
      <c r="Q51" s="46">
        <f t="shared" si="62"/>
        <v>1.0358559032342887</v>
      </c>
      <c r="R51" s="47">
        <f t="shared" si="62"/>
        <v>0</v>
      </c>
    </row>
    <row r="52" spans="1:18">
      <c r="A52" s="62" t="s">
        <v>62</v>
      </c>
      <c r="B52" s="22"/>
      <c r="C52" s="23"/>
      <c r="D52" s="24"/>
      <c r="E52" s="24">
        <v>190121</v>
      </c>
      <c r="F52" s="24">
        <v>196946</v>
      </c>
      <c r="G52" s="66"/>
      <c r="H52" s="55" t="e">
        <f t="shared" ref="H52:H54" si="63">B52/B$75</f>
        <v>#DIV/0!</v>
      </c>
      <c r="I52" s="55" t="e">
        <f t="shared" ref="I52:I54" si="64">C52/C$75</f>
        <v>#DIV/0!</v>
      </c>
      <c r="J52" s="55" t="e">
        <f t="shared" ref="J52:J54" si="65">D52/D$75</f>
        <v>#DIV/0!</v>
      </c>
      <c r="K52" s="55">
        <f t="shared" ref="K52:K54" si="66">E52/E$75</f>
        <v>0.34261962429537363</v>
      </c>
      <c r="L52" s="55">
        <f t="shared" ref="L52:L54" si="67">F52/F$75</f>
        <v>0.31038531427643845</v>
      </c>
      <c r="M52" s="55" t="e">
        <f t="shared" ref="M52:M54" si="68">G52/G$75</f>
        <v>#DIV/0!</v>
      </c>
      <c r="N52" s="45" t="e">
        <f t="shared" si="62"/>
        <v>#DIV/0!</v>
      </c>
      <c r="O52" s="46" t="e">
        <f t="shared" si="62"/>
        <v>#DIV/0!</v>
      </c>
      <c r="P52" s="46" t="e">
        <f t="shared" si="62"/>
        <v>#DIV/0!</v>
      </c>
      <c r="Q52" s="46">
        <f t="shared" si="62"/>
        <v>1.0358981911519507</v>
      </c>
      <c r="R52" s="47">
        <f t="shared" si="62"/>
        <v>0</v>
      </c>
    </row>
    <row r="53" spans="1:18">
      <c r="A53" s="62" t="s">
        <v>63</v>
      </c>
      <c r="B53" s="22"/>
      <c r="C53" s="23"/>
      <c r="D53" s="24"/>
      <c r="E53" s="24"/>
      <c r="F53" s="24"/>
      <c r="G53" s="66"/>
      <c r="H53" s="55" t="e">
        <f t="shared" si="63"/>
        <v>#DIV/0!</v>
      </c>
      <c r="I53" s="55" t="e">
        <f t="shared" si="64"/>
        <v>#DIV/0!</v>
      </c>
      <c r="J53" s="55" t="e">
        <f t="shared" si="65"/>
        <v>#DIV/0!</v>
      </c>
      <c r="K53" s="55">
        <f t="shared" si="66"/>
        <v>0</v>
      </c>
      <c r="L53" s="55">
        <f t="shared" si="67"/>
        <v>0</v>
      </c>
      <c r="M53" s="55" t="e">
        <f t="shared" si="68"/>
        <v>#DIV/0!</v>
      </c>
      <c r="N53" s="45" t="e">
        <f t="shared" si="62"/>
        <v>#DIV/0!</v>
      </c>
      <c r="O53" s="46" t="e">
        <f t="shared" si="62"/>
        <v>#DIV/0!</v>
      </c>
      <c r="P53" s="46" t="e">
        <f t="shared" si="62"/>
        <v>#DIV/0!</v>
      </c>
      <c r="Q53" s="46" t="e">
        <f t="shared" si="62"/>
        <v>#DIV/0!</v>
      </c>
      <c r="R53" s="47" t="e">
        <f t="shared" si="62"/>
        <v>#DIV/0!</v>
      </c>
    </row>
    <row r="54" spans="1:18">
      <c r="A54" s="62" t="s">
        <v>66</v>
      </c>
      <c r="B54" s="22"/>
      <c r="C54" s="23"/>
      <c r="D54" s="24"/>
      <c r="E54" s="24"/>
      <c r="F54" s="24"/>
      <c r="G54" s="66"/>
      <c r="H54" s="55" t="e">
        <f t="shared" si="63"/>
        <v>#DIV/0!</v>
      </c>
      <c r="I54" s="55" t="e">
        <f t="shared" si="64"/>
        <v>#DIV/0!</v>
      </c>
      <c r="J54" s="55" t="e">
        <f t="shared" si="65"/>
        <v>#DIV/0!</v>
      </c>
      <c r="K54" s="55">
        <f t="shared" si="66"/>
        <v>0</v>
      </c>
      <c r="L54" s="55">
        <f t="shared" si="67"/>
        <v>0</v>
      </c>
      <c r="M54" s="55" t="e">
        <f t="shared" si="68"/>
        <v>#DIV/0!</v>
      </c>
      <c r="N54" s="45" t="e">
        <f t="shared" si="62"/>
        <v>#DIV/0!</v>
      </c>
      <c r="O54" s="46" t="e">
        <f t="shared" si="62"/>
        <v>#DIV/0!</v>
      </c>
      <c r="P54" s="46" t="e">
        <f t="shared" si="62"/>
        <v>#DIV/0!</v>
      </c>
      <c r="Q54" s="46" t="e">
        <f t="shared" si="62"/>
        <v>#DIV/0!</v>
      </c>
      <c r="R54" s="47" t="e">
        <f t="shared" si="62"/>
        <v>#DIV/0!</v>
      </c>
    </row>
    <row r="55" spans="1:18">
      <c r="A55" s="62" t="s">
        <v>67</v>
      </c>
      <c r="B55" s="22"/>
      <c r="C55" s="23"/>
      <c r="D55" s="24"/>
      <c r="E55" s="24"/>
      <c r="F55" s="24"/>
      <c r="G55" s="66"/>
      <c r="H55" s="45"/>
      <c r="I55" s="46"/>
      <c r="J55" s="46"/>
      <c r="K55" s="46"/>
      <c r="L55" s="46"/>
      <c r="M55" s="46"/>
      <c r="N55" s="45"/>
      <c r="O55" s="46"/>
      <c r="P55" s="46"/>
      <c r="Q55" s="46"/>
      <c r="R55" s="47"/>
    </row>
    <row r="56" spans="1:18">
      <c r="A56" s="62" t="s">
        <v>64</v>
      </c>
      <c r="B56" s="22"/>
      <c r="C56" s="23"/>
      <c r="D56" s="24"/>
      <c r="E56" s="24">
        <v>29</v>
      </c>
      <c r="F56" s="24">
        <v>22</v>
      </c>
      <c r="G56" s="66"/>
      <c r="H56" s="45"/>
      <c r="I56" s="46"/>
      <c r="J56" s="46"/>
      <c r="K56" s="46"/>
      <c r="L56" s="46"/>
      <c r="M56" s="46"/>
      <c r="N56" s="45"/>
      <c r="O56" s="46"/>
      <c r="P56" s="46"/>
      <c r="Q56" s="46"/>
      <c r="R56" s="47"/>
    </row>
    <row r="57" spans="1:18">
      <c r="A57" s="62" t="s">
        <v>68</v>
      </c>
      <c r="B57" s="22"/>
      <c r="C57" s="23"/>
      <c r="D57" s="24"/>
      <c r="E57" s="24"/>
      <c r="F57" s="24"/>
      <c r="G57" s="66"/>
      <c r="H57" s="45"/>
      <c r="I57" s="46"/>
      <c r="J57" s="46"/>
      <c r="K57" s="46"/>
      <c r="L57" s="46"/>
      <c r="M57" s="46"/>
      <c r="N57" s="45"/>
      <c r="O57" s="46"/>
      <c r="P57" s="46"/>
      <c r="Q57" s="46"/>
      <c r="R57" s="47"/>
    </row>
    <row r="58" spans="1:18">
      <c r="A58" s="59" t="s">
        <v>69</v>
      </c>
      <c r="B58" s="20">
        <f t="shared" ref="B58:G58" si="69">B59+B64+B69+B73</f>
        <v>0</v>
      </c>
      <c r="C58" s="21">
        <f t="shared" si="69"/>
        <v>0</v>
      </c>
      <c r="D58" s="21">
        <f t="shared" si="69"/>
        <v>0</v>
      </c>
      <c r="E58" s="21">
        <f t="shared" si="69"/>
        <v>108189</v>
      </c>
      <c r="F58" s="21">
        <f t="shared" si="69"/>
        <v>130598</v>
      </c>
      <c r="G58" s="21">
        <f t="shared" si="69"/>
        <v>0</v>
      </c>
      <c r="H58" s="55" t="e">
        <f t="shared" ref="H58" si="70">B58/B$75</f>
        <v>#DIV/0!</v>
      </c>
      <c r="I58" s="55" t="e">
        <f t="shared" ref="I58" si="71">C58/C$75</f>
        <v>#DIV/0!</v>
      </c>
      <c r="J58" s="55" t="e">
        <f t="shared" ref="J58" si="72">D58/D$75</f>
        <v>#DIV/0!</v>
      </c>
      <c r="K58" s="55">
        <f t="shared" ref="K58" si="73">E58/E$75</f>
        <v>0.19496885947839626</v>
      </c>
      <c r="L58" s="55">
        <f t="shared" ref="L58" si="74">F58/F$75</f>
        <v>0.20582139913415001</v>
      </c>
      <c r="M58" s="55" t="e">
        <f t="shared" ref="M58" si="75">G58/G$75</f>
        <v>#DIV/0!</v>
      </c>
      <c r="N58" s="48" t="e">
        <f>C58/B58</f>
        <v>#DIV/0!</v>
      </c>
      <c r="O58" s="43" t="e">
        <f>D58/C58</f>
        <v>#DIV/0!</v>
      </c>
      <c r="P58" s="43" t="e">
        <f>E58/D58</f>
        <v>#DIV/0!</v>
      </c>
      <c r="Q58" s="43">
        <f>F58/E58</f>
        <v>1.20712826627476</v>
      </c>
      <c r="R58" s="49">
        <f>G58/F58</f>
        <v>0</v>
      </c>
    </row>
    <row r="59" spans="1:18">
      <c r="A59" s="60" t="s">
        <v>70</v>
      </c>
      <c r="B59" s="27">
        <f t="shared" ref="B59:G59" si="76">SUM(B60:B63)</f>
        <v>0</v>
      </c>
      <c r="C59" s="23">
        <f t="shared" si="76"/>
        <v>0</v>
      </c>
      <c r="D59" s="23">
        <f t="shared" si="76"/>
        <v>0</v>
      </c>
      <c r="E59" s="23">
        <f t="shared" si="76"/>
        <v>1314</v>
      </c>
      <c r="F59" s="23">
        <f t="shared" si="76"/>
        <v>1396</v>
      </c>
      <c r="G59" s="23">
        <f t="shared" si="76"/>
        <v>0</v>
      </c>
      <c r="H59" s="45"/>
      <c r="I59" s="46"/>
      <c r="J59" s="46"/>
      <c r="K59" s="46"/>
      <c r="L59" s="46"/>
      <c r="M59" s="46"/>
      <c r="N59" s="45"/>
      <c r="O59" s="46"/>
      <c r="P59" s="46"/>
      <c r="Q59" s="46"/>
      <c r="R59" s="47"/>
    </row>
    <row r="60" spans="1:18">
      <c r="A60" s="62" t="s">
        <v>48</v>
      </c>
      <c r="B60" s="22"/>
      <c r="C60" s="23"/>
      <c r="D60" s="24"/>
      <c r="E60" s="24"/>
      <c r="F60" s="24"/>
      <c r="G60" s="66"/>
      <c r="H60" s="45"/>
      <c r="I60" s="46"/>
      <c r="J60" s="46"/>
      <c r="K60" s="46"/>
      <c r="L60" s="46"/>
      <c r="M60" s="46"/>
      <c r="N60" s="45"/>
      <c r="O60" s="46"/>
      <c r="P60" s="46"/>
      <c r="Q60" s="46"/>
      <c r="R60" s="47"/>
    </row>
    <row r="61" spans="1:18">
      <c r="A61" s="62" t="s">
        <v>49</v>
      </c>
      <c r="B61" s="22"/>
      <c r="C61" s="23"/>
      <c r="D61" s="24"/>
      <c r="E61" s="24"/>
      <c r="F61" s="24"/>
      <c r="G61" s="66"/>
      <c r="H61" s="45"/>
      <c r="I61" s="46"/>
      <c r="J61" s="46"/>
      <c r="K61" s="46"/>
      <c r="L61" s="46"/>
      <c r="M61" s="46"/>
      <c r="N61" s="45"/>
      <c r="O61" s="46"/>
      <c r="P61" s="46"/>
      <c r="Q61" s="46"/>
      <c r="R61" s="47"/>
    </row>
    <row r="62" spans="1:18">
      <c r="A62" s="62" t="s">
        <v>50</v>
      </c>
      <c r="B62" s="22"/>
      <c r="C62" s="23"/>
      <c r="D62" s="24"/>
      <c r="E62" s="24">
        <v>1314</v>
      </c>
      <c r="F62" s="24">
        <v>1396</v>
      </c>
      <c r="G62" s="66"/>
      <c r="H62" s="45"/>
      <c r="I62" s="46"/>
      <c r="J62" s="46"/>
      <c r="K62" s="46"/>
      <c r="L62" s="46"/>
      <c r="M62" s="46"/>
      <c r="N62" s="45"/>
      <c r="O62" s="46"/>
      <c r="P62" s="46"/>
      <c r="Q62" s="46"/>
      <c r="R62" s="47"/>
    </row>
    <row r="63" spans="1:18">
      <c r="A63" s="62" t="s">
        <v>71</v>
      </c>
      <c r="B63" s="22"/>
      <c r="C63" s="29"/>
      <c r="D63" s="24"/>
      <c r="E63" s="24"/>
      <c r="F63" s="24"/>
      <c r="G63" s="66"/>
      <c r="H63" s="45"/>
      <c r="I63" s="46"/>
      <c r="J63" s="46"/>
      <c r="K63" s="46"/>
      <c r="L63" s="46"/>
      <c r="M63" s="46"/>
      <c r="N63" s="45"/>
      <c r="O63" s="46"/>
      <c r="P63" s="46"/>
      <c r="Q63" s="46"/>
      <c r="R63" s="47"/>
    </row>
    <row r="64" spans="1:18">
      <c r="A64" s="60" t="s">
        <v>72</v>
      </c>
      <c r="B64" s="27">
        <f t="shared" ref="B64:G64" si="77">SUM(B65:B68)</f>
        <v>0</v>
      </c>
      <c r="C64" s="23">
        <f t="shared" si="77"/>
        <v>0</v>
      </c>
      <c r="D64" s="23">
        <f t="shared" si="77"/>
        <v>0</v>
      </c>
      <c r="E64" s="23">
        <f t="shared" si="77"/>
        <v>0</v>
      </c>
      <c r="F64" s="23">
        <f t="shared" si="77"/>
        <v>0</v>
      </c>
      <c r="G64" s="23">
        <f t="shared" si="77"/>
        <v>0</v>
      </c>
      <c r="H64" s="45"/>
      <c r="I64" s="46"/>
      <c r="J64" s="46"/>
      <c r="K64" s="46"/>
      <c r="L64" s="46"/>
      <c r="M64" s="46"/>
      <c r="N64" s="45"/>
      <c r="O64" s="46"/>
      <c r="P64" s="46"/>
      <c r="Q64" s="46"/>
      <c r="R64" s="47"/>
    </row>
    <row r="65" spans="1:18">
      <c r="A65" s="62" t="s">
        <v>48</v>
      </c>
      <c r="B65" s="22"/>
      <c r="C65" s="23"/>
      <c r="D65" s="24"/>
      <c r="E65" s="24"/>
      <c r="F65" s="24"/>
      <c r="G65" s="66"/>
      <c r="H65" s="45"/>
      <c r="I65" s="46"/>
      <c r="J65" s="46"/>
      <c r="K65" s="46"/>
      <c r="L65" s="46"/>
      <c r="M65" s="46"/>
      <c r="N65" s="45"/>
      <c r="O65" s="46"/>
      <c r="P65" s="46"/>
      <c r="Q65" s="46"/>
      <c r="R65" s="47"/>
    </row>
    <row r="66" spans="1:18">
      <c r="A66" s="62" t="s">
        <v>49</v>
      </c>
      <c r="B66" s="22"/>
      <c r="C66" s="23"/>
      <c r="D66" s="24"/>
      <c r="E66" s="24"/>
      <c r="F66" s="24"/>
      <c r="G66" s="66"/>
      <c r="H66" s="45"/>
      <c r="I66" s="46"/>
      <c r="J66" s="46"/>
      <c r="K66" s="46"/>
      <c r="L66" s="46"/>
      <c r="M66" s="46"/>
      <c r="N66" s="45"/>
      <c r="O66" s="46"/>
      <c r="P66" s="46"/>
      <c r="Q66" s="46"/>
      <c r="R66" s="47"/>
    </row>
    <row r="67" spans="1:18">
      <c r="A67" s="62" t="s">
        <v>50</v>
      </c>
      <c r="B67" s="22"/>
      <c r="C67" s="23"/>
      <c r="D67" s="24"/>
      <c r="E67" s="24"/>
      <c r="F67" s="24"/>
      <c r="G67" s="66"/>
      <c r="H67" s="45"/>
      <c r="I67" s="46"/>
      <c r="J67" s="46"/>
      <c r="K67" s="46"/>
      <c r="L67" s="46"/>
      <c r="M67" s="46"/>
      <c r="N67" s="45"/>
      <c r="O67" s="46"/>
      <c r="P67" s="46"/>
      <c r="Q67" s="46"/>
      <c r="R67" s="47"/>
    </row>
    <row r="68" spans="1:18">
      <c r="A68" s="62" t="s">
        <v>71</v>
      </c>
      <c r="B68" s="22"/>
      <c r="C68" s="23"/>
      <c r="D68" s="24"/>
      <c r="E68" s="24"/>
      <c r="F68" s="24"/>
      <c r="G68" s="66"/>
      <c r="H68" s="45"/>
      <c r="I68" s="46"/>
      <c r="J68" s="46"/>
      <c r="K68" s="46"/>
      <c r="L68" s="46"/>
      <c r="M68" s="46"/>
      <c r="N68" s="45"/>
      <c r="O68" s="46"/>
      <c r="P68" s="46"/>
      <c r="Q68" s="46"/>
      <c r="R68" s="47"/>
    </row>
    <row r="69" spans="1:18">
      <c r="A69" s="60" t="s">
        <v>73</v>
      </c>
      <c r="B69" s="22">
        <f>SUM(B70:B72)</f>
        <v>0</v>
      </c>
      <c r="C69" s="29">
        <f>SUM(C70:C72)</f>
        <v>0</v>
      </c>
      <c r="D69" s="29">
        <f t="shared" ref="D69:F69" si="78">SUM(D70:D72)</f>
        <v>0</v>
      </c>
      <c r="E69" s="29">
        <f t="shared" si="78"/>
        <v>106875</v>
      </c>
      <c r="F69" s="29">
        <f t="shared" si="78"/>
        <v>129202</v>
      </c>
      <c r="G69" s="29">
        <f>SUM(G70:G72)</f>
        <v>0</v>
      </c>
      <c r="H69" s="55" t="e">
        <f t="shared" ref="H69" si="79">B69/B$75</f>
        <v>#DIV/0!</v>
      </c>
      <c r="I69" s="55" t="e">
        <f t="shared" ref="I69" si="80">C69/C$75</f>
        <v>#DIV/0!</v>
      </c>
      <c r="J69" s="55" t="e">
        <f t="shared" ref="J69" si="81">D69/D$75</f>
        <v>#DIV/0!</v>
      </c>
      <c r="K69" s="55">
        <f t="shared" ref="K69" si="82">E69/E$75</f>
        <v>0.19260088231477876</v>
      </c>
      <c r="L69" s="55">
        <f t="shared" ref="L69" si="83">F69/F$75</f>
        <v>0.2036213143457821</v>
      </c>
      <c r="M69" s="55" t="e">
        <f t="shared" ref="M69" si="84">G69/G$75</f>
        <v>#DIV/0!</v>
      </c>
      <c r="N69" s="45" t="e">
        <f>C69/B69</f>
        <v>#DIV/0!</v>
      </c>
      <c r="O69" s="46" t="e">
        <f>D69/C69</f>
        <v>#DIV/0!</v>
      </c>
      <c r="P69" s="46" t="e">
        <f>E69/D69</f>
        <v>#DIV/0!</v>
      </c>
      <c r="Q69" s="46">
        <f>F69/E69</f>
        <v>1.2089076023391814</v>
      </c>
      <c r="R69" s="47">
        <f>G69/F69</f>
        <v>0</v>
      </c>
    </row>
    <row r="70" spans="1:18">
      <c r="A70" s="62" t="s">
        <v>74</v>
      </c>
      <c r="B70" s="22"/>
      <c r="C70" s="23"/>
      <c r="D70" s="24"/>
      <c r="E70" s="24">
        <v>106828</v>
      </c>
      <c r="F70" s="24">
        <v>129158</v>
      </c>
      <c r="G70" s="66"/>
      <c r="H70" s="55" t="e">
        <f t="shared" ref="H70" si="85">B70/B$75</f>
        <v>#DIV/0!</v>
      </c>
      <c r="I70" s="55" t="e">
        <f t="shared" ref="I70" si="86">C70/C$75</f>
        <v>#DIV/0!</v>
      </c>
      <c r="J70" s="55" t="e">
        <f t="shared" ref="J70" si="87">D70/D$75</f>
        <v>#DIV/0!</v>
      </c>
      <c r="K70" s="55">
        <f t="shared" ref="K70" si="88">E70/E$75</f>
        <v>0.19251618297939824</v>
      </c>
      <c r="L70" s="55">
        <f t="shared" ref="L70" si="89">F70/F$75</f>
        <v>0.20355197069915731</v>
      </c>
      <c r="M70" s="55" t="e">
        <f t="shared" ref="M70" si="90">G70/G$75</f>
        <v>#DIV/0!</v>
      </c>
      <c r="N70" s="45" t="e">
        <f t="shared" ref="N70:R75" si="91">C70/B70</f>
        <v>#DIV/0!</v>
      </c>
      <c r="O70" s="46" t="e">
        <f>D70/C70</f>
        <v>#DIV/0!</v>
      </c>
      <c r="P70" s="46" t="e">
        <f>E70/D70</f>
        <v>#DIV/0!</v>
      </c>
      <c r="Q70" s="46">
        <f>F70/E70</f>
        <v>1.2090275957614109</v>
      </c>
      <c r="R70" s="47">
        <f>G70/F70</f>
        <v>0</v>
      </c>
    </row>
    <row r="71" spans="1:18">
      <c r="A71" s="62" t="s">
        <v>75</v>
      </c>
      <c r="B71" s="22"/>
      <c r="C71" s="23"/>
      <c r="D71" s="24"/>
      <c r="E71" s="24">
        <v>29</v>
      </c>
      <c r="F71" s="24">
        <v>35</v>
      </c>
      <c r="G71" s="66"/>
      <c r="H71" s="45"/>
      <c r="I71" s="46"/>
      <c r="J71" s="46"/>
      <c r="K71" s="46"/>
      <c r="L71" s="46"/>
      <c r="M71" s="46"/>
      <c r="N71" s="45"/>
      <c r="O71" s="46"/>
      <c r="P71" s="46"/>
      <c r="Q71" s="46"/>
      <c r="R71" s="47"/>
    </row>
    <row r="72" spans="1:18">
      <c r="A72" s="62" t="s">
        <v>76</v>
      </c>
      <c r="B72" s="22"/>
      <c r="C72" s="29"/>
      <c r="D72" s="24"/>
      <c r="E72" s="24">
        <v>18</v>
      </c>
      <c r="F72" s="24">
        <v>9</v>
      </c>
      <c r="G72" s="66"/>
      <c r="H72" s="45"/>
      <c r="I72" s="46"/>
      <c r="J72" s="46"/>
      <c r="K72" s="46"/>
      <c r="L72" s="46"/>
      <c r="M72" s="46"/>
      <c r="N72" s="45"/>
      <c r="O72" s="46"/>
      <c r="P72" s="46"/>
      <c r="Q72" s="46"/>
      <c r="R72" s="47"/>
    </row>
    <row r="73" spans="1:18">
      <c r="A73" s="60" t="s">
        <v>77</v>
      </c>
      <c r="B73" s="22"/>
      <c r="C73" s="29"/>
      <c r="D73" s="24"/>
      <c r="E73" s="24"/>
      <c r="F73" s="24"/>
      <c r="G73" s="66"/>
      <c r="H73" s="45"/>
      <c r="I73" s="46"/>
      <c r="J73" s="46"/>
      <c r="K73" s="46"/>
      <c r="L73" s="46"/>
      <c r="M73" s="46"/>
      <c r="N73" s="45"/>
      <c r="O73" s="46"/>
      <c r="P73" s="46"/>
      <c r="Q73" s="46"/>
      <c r="R73" s="47"/>
    </row>
    <row r="74" spans="1:18" s="17" customFormat="1">
      <c r="A74" s="59" t="s">
        <v>78</v>
      </c>
      <c r="B74" s="30"/>
      <c r="C74" s="31"/>
      <c r="D74" s="35"/>
      <c r="E74" s="35">
        <v>357</v>
      </c>
      <c r="F74" s="35">
        <v>728</v>
      </c>
      <c r="G74" s="68"/>
      <c r="H74" s="55" t="e">
        <f t="shared" ref="H74" si="92">B74/B$75</f>
        <v>#DIV/0!</v>
      </c>
      <c r="I74" s="55" t="e">
        <f t="shared" ref="I74" si="93">C74/C$75</f>
        <v>#DIV/0!</v>
      </c>
      <c r="J74" s="55" t="e">
        <f t="shared" ref="J74" si="94">D74/D$75</f>
        <v>#DIV/0!</v>
      </c>
      <c r="K74" s="55">
        <f t="shared" ref="K74" si="95">E74/E$75</f>
        <v>6.4335452618831369E-4</v>
      </c>
      <c r="L74" s="55">
        <f t="shared" ref="L74" si="96">F74/F$75</f>
        <v>1.147322153246307E-3</v>
      </c>
      <c r="M74" s="55" t="e">
        <f t="shared" ref="M74" si="97">G74/G$75</f>
        <v>#DIV/0!</v>
      </c>
      <c r="N74" s="48" t="e">
        <f t="shared" si="91"/>
        <v>#DIV/0!</v>
      </c>
      <c r="O74" s="43" t="e">
        <f t="shared" si="91"/>
        <v>#DIV/0!</v>
      </c>
      <c r="P74" s="43" t="e">
        <f t="shared" si="91"/>
        <v>#DIV/0!</v>
      </c>
      <c r="Q74" s="43">
        <f t="shared" si="91"/>
        <v>2.0392156862745097</v>
      </c>
      <c r="R74" s="49">
        <f t="shared" si="91"/>
        <v>0</v>
      </c>
    </row>
    <row r="75" spans="1:18">
      <c r="A75" s="64" t="s">
        <v>79</v>
      </c>
      <c r="B75" s="32">
        <f t="shared" ref="B75:G75" si="98">B4+B39</f>
        <v>0</v>
      </c>
      <c r="C75" s="33">
        <f t="shared" si="98"/>
        <v>0</v>
      </c>
      <c r="D75" s="33">
        <f t="shared" si="98"/>
        <v>0</v>
      </c>
      <c r="E75" s="33">
        <f>E4+E39</f>
        <v>554904</v>
      </c>
      <c r="F75" s="33">
        <f t="shared" si="98"/>
        <v>634521</v>
      </c>
      <c r="G75" s="33">
        <f t="shared" si="98"/>
        <v>0</v>
      </c>
      <c r="H75" s="55" t="e">
        <f t="shared" ref="H75" si="99">B75/B$75</f>
        <v>#DIV/0!</v>
      </c>
      <c r="I75" s="55" t="e">
        <f t="shared" ref="I75" si="100">C75/C$75</f>
        <v>#DIV/0!</v>
      </c>
      <c r="J75" s="55" t="e">
        <f t="shared" ref="J75" si="101">D75/D$75</f>
        <v>#DIV/0!</v>
      </c>
      <c r="K75" s="55">
        <f t="shared" ref="K75" si="102">E75/E$75</f>
        <v>1</v>
      </c>
      <c r="L75" s="55">
        <f t="shared" ref="L75" si="103">F75/F$75</f>
        <v>1</v>
      </c>
      <c r="M75" s="55" t="e">
        <f t="shared" ref="M75" si="104">G75/G$75</f>
        <v>#DIV/0!</v>
      </c>
      <c r="N75" s="48" t="e">
        <f t="shared" si="91"/>
        <v>#DIV/0!</v>
      </c>
      <c r="O75" s="51" t="e">
        <f t="shared" si="91"/>
        <v>#DIV/0!</v>
      </c>
      <c r="P75" s="51" t="e">
        <f t="shared" si="91"/>
        <v>#DIV/0!</v>
      </c>
      <c r="Q75" s="51">
        <f t="shared" si="91"/>
        <v>1.1434788720211064</v>
      </c>
      <c r="R75" s="52">
        <f t="shared" si="91"/>
        <v>0</v>
      </c>
    </row>
    <row r="76" spans="1:18" ht="11" thickBot="1">
      <c r="A76" s="4"/>
      <c r="B76" s="10"/>
      <c r="C76" s="10"/>
      <c r="D76" s="10"/>
      <c r="E76" s="10"/>
      <c r="F76" s="10"/>
      <c r="G76" s="10"/>
      <c r="H76" s="12"/>
      <c r="I76" s="12"/>
      <c r="J76" s="12"/>
      <c r="K76" s="13"/>
      <c r="L76" s="13"/>
      <c r="M76" s="13"/>
      <c r="N76" s="80"/>
      <c r="O76" s="80"/>
      <c r="P76" s="80"/>
      <c r="Q76" s="80"/>
    </row>
    <row r="77" spans="1:18" ht="13.5" customHeight="1">
      <c r="A77" s="210" t="s">
        <v>80</v>
      </c>
      <c r="B77" s="212" t="s">
        <v>203</v>
      </c>
      <c r="C77" s="212"/>
      <c r="D77" s="212"/>
      <c r="E77" s="212"/>
      <c r="F77" s="212"/>
      <c r="G77" s="213"/>
      <c r="H77" s="203" t="s">
        <v>25</v>
      </c>
      <c r="I77" s="204"/>
      <c r="J77" s="204"/>
      <c r="K77" s="204"/>
      <c r="L77" s="204"/>
      <c r="M77" s="205"/>
      <c r="N77" s="206" t="s">
        <v>26</v>
      </c>
      <c r="O77" s="206"/>
      <c r="P77" s="206"/>
      <c r="Q77" s="206"/>
      <c r="R77" s="206"/>
    </row>
    <row r="78" spans="1:18">
      <c r="A78" s="211"/>
      <c r="B78" s="129">
        <f t="shared" ref="B78:G78" si="105">B3</f>
        <v>2011</v>
      </c>
      <c r="C78" s="129">
        <f t="shared" si="105"/>
        <v>2012</v>
      </c>
      <c r="D78" s="129">
        <f t="shared" si="105"/>
        <v>2013</v>
      </c>
      <c r="E78" s="129">
        <f t="shared" si="105"/>
        <v>2014</v>
      </c>
      <c r="F78" s="129">
        <f t="shared" si="105"/>
        <v>2015</v>
      </c>
      <c r="G78" s="145">
        <f t="shared" si="105"/>
        <v>2016</v>
      </c>
      <c r="H78" s="8">
        <f t="shared" ref="H78:M78" si="106">B78</f>
        <v>2011</v>
      </c>
      <c r="I78" s="8">
        <f t="shared" si="106"/>
        <v>2012</v>
      </c>
      <c r="J78" s="8">
        <f t="shared" si="106"/>
        <v>2013</v>
      </c>
      <c r="K78" s="8">
        <f t="shared" si="106"/>
        <v>2014</v>
      </c>
      <c r="L78" s="8">
        <f t="shared" si="106"/>
        <v>2015</v>
      </c>
      <c r="M78" s="8">
        <f t="shared" si="106"/>
        <v>2016</v>
      </c>
      <c r="N78" s="8" t="s">
        <v>250</v>
      </c>
      <c r="O78" s="8" t="s">
        <v>251</v>
      </c>
      <c r="P78" s="8" t="s">
        <v>252</v>
      </c>
      <c r="Q78" s="8" t="s">
        <v>253</v>
      </c>
      <c r="R78" s="8" t="s">
        <v>254</v>
      </c>
    </row>
    <row r="79" spans="1:18">
      <c r="A79" s="146" t="s">
        <v>0</v>
      </c>
      <c r="B79" s="136">
        <f>SUM(B80:B88)</f>
        <v>0</v>
      </c>
      <c r="C79" s="136">
        <f>SUM(C80:C88)</f>
        <v>0</v>
      </c>
      <c r="D79" s="136">
        <f>SUM(D80:D88)</f>
        <v>0</v>
      </c>
      <c r="E79" s="136">
        <f t="shared" ref="E79" si="107">SUM(E80:E88)</f>
        <v>429356</v>
      </c>
      <c r="F79" s="136">
        <f t="shared" ref="F79:G79" si="108">SUM(F80:F88)</f>
        <v>491578</v>
      </c>
      <c r="G79" s="147">
        <f t="shared" si="108"/>
        <v>0</v>
      </c>
      <c r="H79" s="42" t="e">
        <f>B79/B$126</f>
        <v>#DIV/0!</v>
      </c>
      <c r="I79" s="42" t="e">
        <f t="shared" ref="I79:M79" si="109">C79/C$126</f>
        <v>#DIV/0!</v>
      </c>
      <c r="J79" s="42" t="e">
        <f t="shared" si="109"/>
        <v>#DIV/0!</v>
      </c>
      <c r="K79" s="42">
        <f t="shared" si="109"/>
        <v>0.77374825194988683</v>
      </c>
      <c r="L79" s="42">
        <f t="shared" si="109"/>
        <v>0.77472298001169382</v>
      </c>
      <c r="M79" s="42" t="e">
        <f t="shared" si="109"/>
        <v>#DIV/0!</v>
      </c>
      <c r="N79" s="48" t="e">
        <f>C79/B79</f>
        <v>#DIV/0!</v>
      </c>
      <c r="O79" s="43" t="e">
        <f t="shared" ref="O79:R80" si="110">D79/C79</f>
        <v>#DIV/0!</v>
      </c>
      <c r="P79" s="43" t="e">
        <f t="shared" si="110"/>
        <v>#DIV/0!</v>
      </c>
      <c r="Q79" s="43">
        <f t="shared" si="110"/>
        <v>1.1449193676110268</v>
      </c>
      <c r="R79" s="49">
        <f t="shared" si="110"/>
        <v>0</v>
      </c>
    </row>
    <row r="80" spans="1:18">
      <c r="A80" s="148" t="s">
        <v>81</v>
      </c>
      <c r="B80" s="131"/>
      <c r="C80" s="132"/>
      <c r="D80" s="133"/>
      <c r="E80" s="133">
        <v>7499</v>
      </c>
      <c r="F80" s="133">
        <v>7499</v>
      </c>
      <c r="G80" s="149"/>
      <c r="H80" s="42" t="e">
        <f>B80/B$126</f>
        <v>#DIV/0!</v>
      </c>
      <c r="I80" s="42" t="e">
        <f t="shared" ref="I80" si="111">C80/C$126</f>
        <v>#DIV/0!</v>
      </c>
      <c r="J80" s="42" t="e">
        <f t="shared" ref="J80" si="112">D80/D$126</f>
        <v>#DIV/0!</v>
      </c>
      <c r="K80" s="42">
        <f t="shared" ref="K80" si="113">E80/E$126</f>
        <v>1.3514049276992056E-2</v>
      </c>
      <c r="L80" s="42">
        <f t="shared" ref="L80" si="114">F80/F$126</f>
        <v>1.181836377361821E-2</v>
      </c>
      <c r="M80" s="42" t="e">
        <f t="shared" ref="M80" si="115">G80/G$126</f>
        <v>#DIV/0!</v>
      </c>
      <c r="N80" s="45" t="e">
        <f>C80/B80</f>
        <v>#DIV/0!</v>
      </c>
      <c r="O80" s="46" t="e">
        <f t="shared" si="110"/>
        <v>#DIV/0!</v>
      </c>
      <c r="P80" s="46" t="e">
        <f t="shared" si="110"/>
        <v>#DIV/0!</v>
      </c>
      <c r="Q80" s="46">
        <f t="shared" si="110"/>
        <v>1</v>
      </c>
      <c r="R80" s="47">
        <f t="shared" si="110"/>
        <v>0</v>
      </c>
    </row>
    <row r="81" spans="1:18">
      <c r="A81" s="148" t="s">
        <v>82</v>
      </c>
      <c r="B81" s="131"/>
      <c r="C81" s="132"/>
      <c r="D81" s="133"/>
      <c r="E81" s="133"/>
      <c r="F81" s="133"/>
      <c r="G81" s="149"/>
      <c r="H81" s="45"/>
      <c r="I81" s="46"/>
      <c r="J81" s="46"/>
      <c r="K81" s="46"/>
      <c r="L81" s="46"/>
      <c r="M81" s="46"/>
      <c r="N81" s="45"/>
      <c r="O81" s="46"/>
      <c r="P81" s="46"/>
      <c r="Q81" s="46"/>
      <c r="R81" s="47"/>
    </row>
    <row r="82" spans="1:18" ht="12" customHeight="1">
      <c r="A82" s="148" t="s">
        <v>83</v>
      </c>
      <c r="B82" s="131"/>
      <c r="C82" s="132"/>
      <c r="D82" s="133"/>
      <c r="E82" s="133"/>
      <c r="F82" s="133"/>
      <c r="G82" s="149"/>
      <c r="H82" s="45"/>
      <c r="I82" s="46"/>
      <c r="J82" s="46"/>
      <c r="K82" s="46"/>
      <c r="L82" s="46"/>
      <c r="M82" s="46"/>
      <c r="N82" s="45"/>
      <c r="O82" s="46"/>
      <c r="P82" s="46"/>
      <c r="Q82" s="46"/>
      <c r="R82" s="47"/>
    </row>
    <row r="83" spans="1:18">
      <c r="A83" s="148" t="s">
        <v>273</v>
      </c>
      <c r="B83" s="131"/>
      <c r="C83" s="132"/>
      <c r="D83" s="133"/>
      <c r="E83" s="133">
        <f>316109+18146-1199</f>
        <v>333056</v>
      </c>
      <c r="F83" s="133">
        <f>374291+18146-1850</f>
        <v>390587</v>
      </c>
      <c r="G83" s="149"/>
      <c r="H83" s="42" t="e">
        <f>B83/B$126</f>
        <v>#DIV/0!</v>
      </c>
      <c r="I83" s="42" t="e">
        <f t="shared" ref="I83:I84" si="116">C83/C$126</f>
        <v>#DIV/0!</v>
      </c>
      <c r="J83" s="42" t="e">
        <f t="shared" ref="J83:J84" si="117">D83/D$126</f>
        <v>#DIV/0!</v>
      </c>
      <c r="K83" s="42">
        <f t="shared" ref="K83:K84" si="118">E83/E$126</f>
        <v>0.60020472009572823</v>
      </c>
      <c r="L83" s="42">
        <f t="shared" ref="L83:L84" si="119">F83/F$126</f>
        <v>0.61556197509617494</v>
      </c>
      <c r="M83" s="42" t="e">
        <f t="shared" ref="M83:M84" si="120">G83/G$126</f>
        <v>#DIV/0!</v>
      </c>
      <c r="N83" s="45" t="e">
        <f t="shared" ref="N83:R84" si="121">C83/B83</f>
        <v>#DIV/0!</v>
      </c>
      <c r="O83" s="46" t="e">
        <f t="shared" si="121"/>
        <v>#DIV/0!</v>
      </c>
      <c r="P83" s="46" t="e">
        <f t="shared" si="121"/>
        <v>#DIV/0!</v>
      </c>
      <c r="Q83" s="46">
        <f t="shared" si="121"/>
        <v>1.1727367169485012</v>
      </c>
      <c r="R83" s="47">
        <f t="shared" si="121"/>
        <v>0</v>
      </c>
    </row>
    <row r="84" spans="1:18">
      <c r="A84" s="148" t="s">
        <v>85</v>
      </c>
      <c r="B84" s="131"/>
      <c r="C84" s="132"/>
      <c r="D84" s="133"/>
      <c r="E84" s="133">
        <v>947</v>
      </c>
      <c r="F84" s="133">
        <v>805</v>
      </c>
      <c r="G84" s="149"/>
      <c r="H84" s="42" t="e">
        <f>B84/B$126</f>
        <v>#DIV/0!</v>
      </c>
      <c r="I84" s="42" t="e">
        <f t="shared" si="116"/>
        <v>#DIV/0!</v>
      </c>
      <c r="J84" s="42" t="e">
        <f t="shared" si="117"/>
        <v>#DIV/0!</v>
      </c>
      <c r="K84" s="42">
        <f t="shared" si="118"/>
        <v>1.7066015022418292E-3</v>
      </c>
      <c r="L84" s="42">
        <f t="shared" si="119"/>
        <v>1.2686735348396664E-3</v>
      </c>
      <c r="M84" s="42" t="e">
        <f t="shared" si="120"/>
        <v>#DIV/0!</v>
      </c>
      <c r="N84" s="45" t="e">
        <f t="shared" si="121"/>
        <v>#DIV/0!</v>
      </c>
      <c r="O84" s="46" t="e">
        <f t="shared" si="121"/>
        <v>#DIV/0!</v>
      </c>
      <c r="P84" s="46" t="e">
        <f t="shared" si="121"/>
        <v>#DIV/0!</v>
      </c>
      <c r="Q84" s="46">
        <f t="shared" si="121"/>
        <v>0.85005279831045411</v>
      </c>
      <c r="R84" s="47">
        <f t="shared" si="121"/>
        <v>0</v>
      </c>
    </row>
    <row r="85" spans="1:18">
      <c r="A85" s="148" t="s">
        <v>86</v>
      </c>
      <c r="B85" s="131"/>
      <c r="C85" s="132"/>
      <c r="D85" s="133"/>
      <c r="E85" s="133"/>
      <c r="F85" s="133"/>
      <c r="G85" s="149"/>
      <c r="H85" s="45"/>
      <c r="I85" s="46"/>
      <c r="J85" s="46"/>
      <c r="K85" s="46"/>
      <c r="L85" s="46"/>
      <c r="M85" s="46"/>
      <c r="N85" s="45"/>
      <c r="O85" s="46"/>
      <c r="P85" s="46"/>
      <c r="Q85" s="46"/>
      <c r="R85" s="47"/>
    </row>
    <row r="86" spans="1:18">
      <c r="A86" s="148" t="s">
        <v>87</v>
      </c>
      <c r="B86" s="131"/>
      <c r="C86" s="131"/>
      <c r="D86" s="132"/>
      <c r="E86" s="133">
        <v>-181</v>
      </c>
      <c r="F86" s="133">
        <v>-181</v>
      </c>
      <c r="G86" s="149"/>
      <c r="H86" s="42" t="e">
        <f>B86/B$126</f>
        <v>#DIV/0!</v>
      </c>
      <c r="I86" s="42" t="e">
        <f t="shared" ref="I86:I87" si="122">C86/C$126</f>
        <v>#DIV/0!</v>
      </c>
      <c r="J86" s="42" t="e">
        <f t="shared" ref="J86:J87" si="123">D86/D$126</f>
        <v>#DIV/0!</v>
      </c>
      <c r="K86" s="42">
        <f t="shared" ref="K86:K87" si="124">E86/E$126</f>
        <v>-3.2618254689099376E-4</v>
      </c>
      <c r="L86" s="42">
        <f t="shared" ref="L86:L87" si="125">F86/F$126</f>
        <v>-2.8525454634283185E-4</v>
      </c>
      <c r="M86" s="42" t="e">
        <f t="shared" ref="M86:M87" si="126">G86/G$126</f>
        <v>#DIV/0!</v>
      </c>
      <c r="N86" s="45" t="e">
        <f t="shared" ref="N86:R87" si="127">C86/B86</f>
        <v>#DIV/0!</v>
      </c>
      <c r="O86" s="46" t="e">
        <f>D86/C86</f>
        <v>#DIV/0!</v>
      </c>
      <c r="P86" s="46" t="e">
        <f>E86/D86</f>
        <v>#DIV/0!</v>
      </c>
      <c r="Q86" s="46">
        <f>F86/E86</f>
        <v>1</v>
      </c>
      <c r="R86" s="47">
        <f>G86/F86</f>
        <v>0</v>
      </c>
    </row>
    <row r="87" spans="1:18">
      <c r="A87" s="148" t="s">
        <v>88</v>
      </c>
      <c r="B87" s="131"/>
      <c r="C87" s="132"/>
      <c r="D87" s="133"/>
      <c r="E87" s="133">
        <v>88035</v>
      </c>
      <c r="F87" s="133">
        <v>92868</v>
      </c>
      <c r="G87" s="149"/>
      <c r="H87" s="42" t="e">
        <f>B87/B$126</f>
        <v>#DIV/0!</v>
      </c>
      <c r="I87" s="42" t="e">
        <f t="shared" si="122"/>
        <v>#DIV/0!</v>
      </c>
      <c r="J87" s="42" t="e">
        <f t="shared" si="123"/>
        <v>#DIV/0!</v>
      </c>
      <c r="K87" s="42">
        <f t="shared" si="124"/>
        <v>0.15864906362181566</v>
      </c>
      <c r="L87" s="42">
        <f t="shared" si="125"/>
        <v>0.14635922215340391</v>
      </c>
      <c r="M87" s="42" t="e">
        <f t="shared" si="126"/>
        <v>#DIV/0!</v>
      </c>
      <c r="N87" s="45" t="e">
        <f t="shared" si="127"/>
        <v>#DIV/0!</v>
      </c>
      <c r="O87" s="46" t="e">
        <f t="shared" si="127"/>
        <v>#DIV/0!</v>
      </c>
      <c r="P87" s="46" t="e">
        <f t="shared" si="127"/>
        <v>#DIV/0!</v>
      </c>
      <c r="Q87" s="46">
        <f t="shared" si="127"/>
        <v>1.0548986198670982</v>
      </c>
      <c r="R87" s="47">
        <f t="shared" si="127"/>
        <v>0</v>
      </c>
    </row>
    <row r="88" spans="1:18">
      <c r="A88" s="148" t="s">
        <v>89</v>
      </c>
      <c r="B88" s="136"/>
      <c r="C88" s="136"/>
      <c r="D88" s="133"/>
      <c r="E88" s="133"/>
      <c r="F88" s="133"/>
      <c r="G88" s="149"/>
      <c r="H88" s="45"/>
      <c r="I88" s="46"/>
      <c r="J88" s="46"/>
      <c r="K88" s="46"/>
      <c r="L88" s="46"/>
      <c r="M88" s="46"/>
      <c r="N88" s="45"/>
      <c r="O88" s="46"/>
      <c r="P88" s="46"/>
      <c r="Q88" s="46"/>
      <c r="R88" s="47"/>
    </row>
    <row r="89" spans="1:18">
      <c r="A89" s="146" t="s">
        <v>90</v>
      </c>
      <c r="B89" s="130">
        <f>B90+B98+B105+B122</f>
        <v>0</v>
      </c>
      <c r="C89" s="130">
        <f>C90+C98+C105+C122</f>
        <v>0</v>
      </c>
      <c r="D89" s="130">
        <f t="shared" ref="D89:F89" si="128">D90+D98+D105+D122</f>
        <v>0</v>
      </c>
      <c r="E89" s="130">
        <f>E90+E98+E105+E122</f>
        <v>125548</v>
      </c>
      <c r="F89" s="130">
        <f t="shared" si="128"/>
        <v>142943</v>
      </c>
      <c r="G89" s="150">
        <f t="shared" ref="G89" si="129">G90+G98+G105+G122</f>
        <v>0</v>
      </c>
      <c r="H89" s="42" t="e">
        <f>B89/B$126</f>
        <v>#DIV/0!</v>
      </c>
      <c r="I89" s="42" t="e">
        <f t="shared" ref="I89:I90" si="130">C89/C$126</f>
        <v>#DIV/0!</v>
      </c>
      <c r="J89" s="42" t="e">
        <f t="shared" ref="J89:J90" si="131">D89/D$126</f>
        <v>#DIV/0!</v>
      </c>
      <c r="K89" s="42">
        <f t="shared" ref="K89:K90" si="132">E89/E$126</f>
        <v>0.22625174805011317</v>
      </c>
      <c r="L89" s="42">
        <f t="shared" ref="L89:L90" si="133">F89/F$126</f>
        <v>0.22527701998830613</v>
      </c>
      <c r="M89" s="42" t="e">
        <f t="shared" ref="M89:M90" si="134">G89/G$126</f>
        <v>#DIV/0!</v>
      </c>
      <c r="N89" s="48" t="e">
        <f t="shared" ref="N89:R90" si="135">C89/B89</f>
        <v>#DIV/0!</v>
      </c>
      <c r="O89" s="43" t="e">
        <f t="shared" si="135"/>
        <v>#DIV/0!</v>
      </c>
      <c r="P89" s="43" t="e">
        <f t="shared" si="135"/>
        <v>#DIV/0!</v>
      </c>
      <c r="Q89" s="43">
        <f t="shared" si="135"/>
        <v>1.13855258546532</v>
      </c>
      <c r="R89" s="49">
        <f t="shared" si="135"/>
        <v>0</v>
      </c>
    </row>
    <row r="90" spans="1:18">
      <c r="A90" s="151" t="s">
        <v>91</v>
      </c>
      <c r="B90" s="136">
        <f>B91+B92+B95</f>
        <v>0</v>
      </c>
      <c r="C90" s="136">
        <f>C91+C92+C95</f>
        <v>0</v>
      </c>
      <c r="D90" s="136">
        <f>D91+D92+D95</f>
        <v>0</v>
      </c>
      <c r="E90" s="136">
        <f>E91+E92+E95</f>
        <v>17343</v>
      </c>
      <c r="F90" s="136">
        <f>F91+F92+F95</f>
        <v>19833</v>
      </c>
      <c r="G90" s="147">
        <f t="shared" ref="G90" si="136">G91+G92+G95</f>
        <v>0</v>
      </c>
      <c r="H90" s="42" t="e">
        <f>B90/B$126</f>
        <v>#DIV/0!</v>
      </c>
      <c r="I90" s="42" t="e">
        <f t="shared" si="130"/>
        <v>#DIV/0!</v>
      </c>
      <c r="J90" s="42" t="e">
        <f t="shared" si="131"/>
        <v>#DIV/0!</v>
      </c>
      <c r="K90" s="42">
        <f t="shared" si="132"/>
        <v>3.1254054755417156E-2</v>
      </c>
      <c r="L90" s="42">
        <f t="shared" si="133"/>
        <v>3.1256648716118142E-2</v>
      </c>
      <c r="M90" s="42" t="e">
        <f t="shared" si="134"/>
        <v>#DIV/0!</v>
      </c>
      <c r="N90" s="48" t="e">
        <f t="shared" si="135"/>
        <v>#DIV/0!</v>
      </c>
      <c r="O90" s="43" t="e">
        <f t="shared" si="135"/>
        <v>#DIV/0!</v>
      </c>
      <c r="P90" s="43" t="e">
        <f t="shared" si="135"/>
        <v>#DIV/0!</v>
      </c>
      <c r="Q90" s="43">
        <f t="shared" si="135"/>
        <v>1.1435737761632936</v>
      </c>
      <c r="R90" s="49">
        <f t="shared" si="135"/>
        <v>0</v>
      </c>
    </row>
    <row r="91" spans="1:18">
      <c r="A91" s="148" t="s">
        <v>92</v>
      </c>
      <c r="B91" s="132"/>
      <c r="C91" s="132"/>
      <c r="D91" s="133"/>
      <c r="E91" s="133">
        <v>6789</v>
      </c>
      <c r="F91" s="133">
        <v>8899</v>
      </c>
      <c r="G91" s="149"/>
      <c r="H91" s="45"/>
      <c r="I91" s="46"/>
      <c r="J91" s="46"/>
      <c r="K91" s="46"/>
      <c r="L91" s="46"/>
      <c r="M91" s="46"/>
      <c r="N91" s="45"/>
      <c r="O91" s="46"/>
      <c r="P91" s="46"/>
      <c r="Q91" s="46"/>
      <c r="R91" s="47"/>
    </row>
    <row r="92" spans="1:18">
      <c r="A92" s="148" t="s">
        <v>93</v>
      </c>
      <c r="B92" s="131">
        <f>SUM(B93:B94)</f>
        <v>0</v>
      </c>
      <c r="C92" s="131">
        <f>SUM(C93:C94)</f>
        <v>0</v>
      </c>
      <c r="D92" s="131">
        <f>SUM(D93:D94)</f>
        <v>0</v>
      </c>
      <c r="E92" s="131">
        <f t="shared" ref="E92:G92" si="137">SUM(E93:E94)</f>
        <v>10554</v>
      </c>
      <c r="F92" s="131">
        <f t="shared" si="137"/>
        <v>10934</v>
      </c>
      <c r="G92" s="131">
        <f t="shared" si="137"/>
        <v>0</v>
      </c>
      <c r="H92" s="42" t="e">
        <f>B92/B$126</f>
        <v>#DIV/0!</v>
      </c>
      <c r="I92" s="42" t="e">
        <f t="shared" ref="I92:I93" si="138">C92/C$126</f>
        <v>#DIV/0!</v>
      </c>
      <c r="J92" s="42" t="e">
        <f t="shared" ref="J92:J93" si="139">D92/D$126</f>
        <v>#DIV/0!</v>
      </c>
      <c r="K92" s="42">
        <f t="shared" ref="K92:K93" si="140">E92/E$126</f>
        <v>1.9019506076726787E-2</v>
      </c>
      <c r="L92" s="42">
        <f t="shared" ref="L92:L93" si="141">F92/F$126</f>
        <v>1.7231896186257034E-2</v>
      </c>
      <c r="M92" s="42" t="e">
        <f t="shared" ref="M92:M93" si="142">G92/G$126</f>
        <v>#DIV/0!</v>
      </c>
      <c r="N92" s="45" t="e">
        <f t="shared" ref="N92:R93" si="143">C92/B92</f>
        <v>#DIV/0!</v>
      </c>
      <c r="O92" s="46" t="e">
        <f t="shared" si="143"/>
        <v>#DIV/0!</v>
      </c>
      <c r="P92" s="46" t="e">
        <f t="shared" si="143"/>
        <v>#DIV/0!</v>
      </c>
      <c r="Q92" s="46">
        <f t="shared" si="143"/>
        <v>1.0360053060451013</v>
      </c>
      <c r="R92" s="47">
        <f t="shared" si="143"/>
        <v>0</v>
      </c>
    </row>
    <row r="93" spans="1:18">
      <c r="A93" s="153" t="s">
        <v>94</v>
      </c>
      <c r="B93" s="131"/>
      <c r="C93" s="132"/>
      <c r="D93" s="133"/>
      <c r="E93" s="133">
        <v>9996</v>
      </c>
      <c r="F93" s="133">
        <v>10356</v>
      </c>
      <c r="G93" s="149"/>
      <c r="H93" s="42" t="e">
        <f>B93/B$126</f>
        <v>#DIV/0!</v>
      </c>
      <c r="I93" s="42" t="e">
        <f t="shared" si="138"/>
        <v>#DIV/0!</v>
      </c>
      <c r="J93" s="42" t="e">
        <f t="shared" si="139"/>
        <v>#DIV/0!</v>
      </c>
      <c r="K93" s="42">
        <f t="shared" si="140"/>
        <v>1.8013926733272782E-2</v>
      </c>
      <c r="L93" s="42">
        <f t="shared" si="141"/>
        <v>1.6320972828322466E-2</v>
      </c>
      <c r="M93" s="42" t="e">
        <f t="shared" si="142"/>
        <v>#DIV/0!</v>
      </c>
      <c r="N93" s="45" t="e">
        <f t="shared" si="143"/>
        <v>#DIV/0!</v>
      </c>
      <c r="O93" s="46" t="e">
        <f t="shared" si="143"/>
        <v>#DIV/0!</v>
      </c>
      <c r="P93" s="46" t="e">
        <f t="shared" si="143"/>
        <v>#DIV/0!</v>
      </c>
      <c r="Q93" s="46">
        <f t="shared" si="143"/>
        <v>1.0360144057623049</v>
      </c>
      <c r="R93" s="47">
        <f t="shared" si="143"/>
        <v>0</v>
      </c>
    </row>
    <row r="94" spans="1:18">
      <c r="A94" s="153" t="s">
        <v>95</v>
      </c>
      <c r="B94" s="131"/>
      <c r="C94" s="131"/>
      <c r="D94" s="133"/>
      <c r="E94" s="133">
        <v>558</v>
      </c>
      <c r="F94" s="133">
        <v>578</v>
      </c>
      <c r="G94" s="149"/>
      <c r="H94" s="45"/>
      <c r="I94" s="46"/>
      <c r="J94" s="46"/>
      <c r="K94" s="46"/>
      <c r="L94" s="46"/>
      <c r="M94" s="46"/>
      <c r="N94" s="45"/>
      <c r="O94" s="46"/>
      <c r="P94" s="46"/>
      <c r="Q94" s="46"/>
      <c r="R94" s="47"/>
    </row>
    <row r="95" spans="1:18">
      <c r="A95" s="148" t="s">
        <v>96</v>
      </c>
      <c r="B95" s="131"/>
      <c r="C95" s="131"/>
      <c r="D95" s="131"/>
      <c r="E95" s="131">
        <f>SUM(E96:E97)</f>
        <v>0</v>
      </c>
      <c r="F95" s="131">
        <f>SUM(F96:F97)</f>
        <v>0</v>
      </c>
      <c r="G95" s="152">
        <f t="shared" ref="G95" si="144">SUM(G96:G97)</f>
        <v>0</v>
      </c>
      <c r="H95" s="45"/>
      <c r="I95" s="46"/>
      <c r="J95" s="46"/>
      <c r="K95" s="46"/>
      <c r="L95" s="46"/>
      <c r="M95" s="46"/>
      <c r="N95" s="45"/>
      <c r="O95" s="46"/>
      <c r="P95" s="46"/>
      <c r="Q95" s="46"/>
      <c r="R95" s="47"/>
    </row>
    <row r="96" spans="1:18">
      <c r="A96" s="153" t="s">
        <v>94</v>
      </c>
      <c r="B96" s="131"/>
      <c r="C96" s="132"/>
      <c r="D96" s="133"/>
      <c r="F96" s="133"/>
      <c r="G96" s="149"/>
      <c r="H96" s="45"/>
      <c r="I96" s="46"/>
      <c r="J96" s="46"/>
      <c r="K96" s="46"/>
      <c r="L96" s="46"/>
      <c r="M96" s="46"/>
      <c r="N96" s="45"/>
      <c r="O96" s="46"/>
      <c r="P96" s="46"/>
      <c r="Q96" s="46"/>
      <c r="R96" s="47"/>
    </row>
    <row r="97" spans="1:18" ht="12" customHeight="1">
      <c r="A97" s="153" t="s">
        <v>97</v>
      </c>
      <c r="B97" s="131"/>
      <c r="C97" s="131"/>
      <c r="D97" s="133"/>
      <c r="E97" s="133"/>
      <c r="F97" s="133"/>
      <c r="G97" s="149"/>
      <c r="H97" s="45"/>
      <c r="I97" s="46"/>
      <c r="J97" s="46"/>
      <c r="K97" s="46"/>
      <c r="L97" s="46"/>
      <c r="M97" s="46"/>
      <c r="N97" s="45"/>
      <c r="O97" s="46"/>
      <c r="P97" s="46"/>
      <c r="Q97" s="46"/>
      <c r="R97" s="47"/>
    </row>
    <row r="98" spans="1:18">
      <c r="A98" s="151" t="s">
        <v>98</v>
      </c>
      <c r="B98" s="136">
        <f>B99+B100</f>
        <v>0</v>
      </c>
      <c r="C98" s="136">
        <f>C99+C100</f>
        <v>0</v>
      </c>
      <c r="D98" s="136">
        <f t="shared" ref="D98:F98" si="145">D99+D100</f>
        <v>0</v>
      </c>
      <c r="E98" s="136">
        <f t="shared" si="145"/>
        <v>50</v>
      </c>
      <c r="F98" s="136">
        <f t="shared" si="145"/>
        <v>7</v>
      </c>
      <c r="G98" s="147">
        <f t="shared" ref="G98" si="146">G99+G100</f>
        <v>0</v>
      </c>
      <c r="H98" s="42" t="e">
        <f>B98/B$126</f>
        <v>#DIV/0!</v>
      </c>
      <c r="I98" s="42" t="e">
        <f t="shared" ref="I98" si="147">C98/C$126</f>
        <v>#DIV/0!</v>
      </c>
      <c r="J98" s="42" t="e">
        <f t="shared" ref="J98" si="148">D98/D$126</f>
        <v>#DIV/0!</v>
      </c>
      <c r="K98" s="42">
        <f t="shared" ref="K98" si="149">E98/E$126</f>
        <v>9.0105675936738607E-5</v>
      </c>
      <c r="L98" s="42">
        <f t="shared" ref="L98" si="150">F98/F$126</f>
        <v>1.103194378121449E-5</v>
      </c>
      <c r="M98" s="42" t="e">
        <f t="shared" ref="M98" si="151">G98/G$126</f>
        <v>#DIV/0!</v>
      </c>
      <c r="N98" s="48" t="e">
        <f>C98/B98</f>
        <v>#DIV/0!</v>
      </c>
      <c r="O98" s="43" t="e">
        <f>D98/C98</f>
        <v>#DIV/0!</v>
      </c>
      <c r="P98" s="43" t="e">
        <f>E98/D98</f>
        <v>#DIV/0!</v>
      </c>
      <c r="Q98" s="43">
        <f>F98/E98</f>
        <v>0.14000000000000001</v>
      </c>
      <c r="R98" s="49">
        <f>G98/F98</f>
        <v>0</v>
      </c>
    </row>
    <row r="99" spans="1:18">
      <c r="A99" s="148" t="s">
        <v>99</v>
      </c>
      <c r="B99" s="132"/>
      <c r="C99" s="132"/>
      <c r="D99" s="142"/>
      <c r="E99" s="142"/>
      <c r="F99" s="142"/>
      <c r="G99" s="149"/>
      <c r="H99" s="45"/>
      <c r="I99" s="46"/>
      <c r="J99" s="46"/>
      <c r="K99" s="46"/>
      <c r="L99" s="46"/>
      <c r="M99" s="46"/>
      <c r="N99" s="45"/>
      <c r="O99" s="46"/>
      <c r="P99" s="46"/>
      <c r="Q99" s="46"/>
      <c r="R99" s="47"/>
    </row>
    <row r="100" spans="1:18">
      <c r="A100" s="148" t="s">
        <v>100</v>
      </c>
      <c r="B100" s="131">
        <f>SUM(B101:B104)</f>
        <v>0</v>
      </c>
      <c r="C100" s="131">
        <f>SUM(C101:C104)</f>
        <v>0</v>
      </c>
      <c r="D100" s="137">
        <f>SUM(D101:D104)</f>
        <v>0</v>
      </c>
      <c r="E100" s="137">
        <f t="shared" ref="E100:G100" si="152">SUM(E101:E104)</f>
        <v>50</v>
      </c>
      <c r="F100" s="137">
        <f t="shared" si="152"/>
        <v>7</v>
      </c>
      <c r="G100" s="137">
        <f t="shared" si="152"/>
        <v>0</v>
      </c>
      <c r="H100" s="42" t="e">
        <f>B100/B$126</f>
        <v>#DIV/0!</v>
      </c>
      <c r="I100" s="42" t="e">
        <f t="shared" ref="I100:I101" si="153">C100/C$126</f>
        <v>#DIV/0!</v>
      </c>
      <c r="J100" s="42" t="e">
        <f t="shared" ref="J100:J101" si="154">D100/D$126</f>
        <v>#DIV/0!</v>
      </c>
      <c r="K100" s="42">
        <f t="shared" ref="K100:K101" si="155">E100/E$126</f>
        <v>9.0105675936738607E-5</v>
      </c>
      <c r="L100" s="42">
        <f t="shared" ref="L100:L101" si="156">F100/F$126</f>
        <v>1.103194378121449E-5</v>
      </c>
      <c r="M100" s="42" t="e">
        <f t="shared" ref="M100:M101" si="157">G100/G$126</f>
        <v>#DIV/0!</v>
      </c>
      <c r="N100" s="45" t="e">
        <f t="shared" ref="N100:R101" si="158">C100/B100</f>
        <v>#DIV/0!</v>
      </c>
      <c r="O100" s="46" t="e">
        <f t="shared" si="158"/>
        <v>#DIV/0!</v>
      </c>
      <c r="P100" s="46" t="e">
        <f t="shared" si="158"/>
        <v>#DIV/0!</v>
      </c>
      <c r="Q100" s="46">
        <f t="shared" si="158"/>
        <v>0.14000000000000001</v>
      </c>
      <c r="R100" s="47">
        <f t="shared" si="158"/>
        <v>0</v>
      </c>
    </row>
    <row r="101" spans="1:18">
      <c r="A101" s="153" t="s">
        <v>101</v>
      </c>
      <c r="B101" s="131"/>
      <c r="C101" s="132"/>
      <c r="D101" s="142"/>
      <c r="E101" s="142"/>
      <c r="F101" s="142"/>
      <c r="G101" s="149">
        <v>0</v>
      </c>
      <c r="H101" s="42" t="e">
        <f>B101/B$126</f>
        <v>#DIV/0!</v>
      </c>
      <c r="I101" s="42" t="e">
        <f t="shared" si="153"/>
        <v>#DIV/0!</v>
      </c>
      <c r="J101" s="42" t="e">
        <f t="shared" si="154"/>
        <v>#DIV/0!</v>
      </c>
      <c r="K101" s="42">
        <f t="shared" si="155"/>
        <v>0</v>
      </c>
      <c r="L101" s="42">
        <f t="shared" si="156"/>
        <v>0</v>
      </c>
      <c r="M101" s="42" t="e">
        <f t="shared" si="157"/>
        <v>#DIV/0!</v>
      </c>
      <c r="N101" s="45" t="e">
        <f t="shared" si="158"/>
        <v>#DIV/0!</v>
      </c>
      <c r="O101" s="46" t="e">
        <f t="shared" si="158"/>
        <v>#DIV/0!</v>
      </c>
      <c r="P101" s="46" t="e">
        <f t="shared" si="158"/>
        <v>#DIV/0!</v>
      </c>
      <c r="Q101" s="46" t="e">
        <f t="shared" si="158"/>
        <v>#DIV/0!</v>
      </c>
      <c r="R101" s="47" t="e">
        <f t="shared" si="158"/>
        <v>#DIV/0!</v>
      </c>
    </row>
    <row r="102" spans="1:18">
      <c r="A102" s="153" t="s">
        <v>102</v>
      </c>
      <c r="B102" s="131"/>
      <c r="C102" s="132"/>
      <c r="D102" s="133"/>
      <c r="E102" s="133"/>
      <c r="F102" s="133"/>
      <c r="G102" s="149"/>
      <c r="H102" s="45"/>
      <c r="I102" s="46"/>
      <c r="J102" s="46"/>
      <c r="K102" s="46"/>
      <c r="L102" s="46"/>
      <c r="M102" s="46"/>
      <c r="N102" s="45"/>
      <c r="O102" s="46"/>
      <c r="P102" s="46"/>
      <c r="Q102" s="46"/>
      <c r="R102" s="47"/>
    </row>
    <row r="103" spans="1:18">
      <c r="A103" s="153" t="s">
        <v>103</v>
      </c>
      <c r="B103" s="131"/>
      <c r="C103" s="132"/>
      <c r="D103" s="133"/>
      <c r="E103" s="133"/>
      <c r="F103" s="133"/>
      <c r="G103" s="149"/>
      <c r="H103" s="45"/>
      <c r="I103" s="46"/>
      <c r="J103" s="46"/>
      <c r="K103" s="46"/>
      <c r="L103" s="46"/>
      <c r="M103" s="46"/>
      <c r="N103" s="45"/>
      <c r="O103" s="46"/>
      <c r="P103" s="46"/>
      <c r="Q103" s="46"/>
      <c r="R103" s="47"/>
    </row>
    <row r="104" spans="1:18">
      <c r="A104" s="153" t="s">
        <v>64</v>
      </c>
      <c r="B104" s="131"/>
      <c r="C104" s="131"/>
      <c r="D104" s="133"/>
      <c r="E104" s="133">
        <v>50</v>
      </c>
      <c r="F104" s="133">
        <v>7</v>
      </c>
      <c r="G104" s="149"/>
      <c r="H104" s="45"/>
      <c r="I104" s="46"/>
      <c r="J104" s="46"/>
      <c r="K104" s="46"/>
      <c r="L104" s="46"/>
      <c r="M104" s="46"/>
      <c r="N104" s="45"/>
      <c r="O104" s="46"/>
      <c r="P104" s="46"/>
      <c r="Q104" s="46"/>
      <c r="R104" s="47"/>
    </row>
    <row r="105" spans="1:18">
      <c r="A105" s="151" t="s">
        <v>104</v>
      </c>
      <c r="B105" s="130">
        <f>B106+B110+B121</f>
        <v>0</v>
      </c>
      <c r="C105" s="130">
        <f>C106+C110+C121</f>
        <v>0</v>
      </c>
      <c r="D105" s="143">
        <f>D106+D110+D121</f>
        <v>0</v>
      </c>
      <c r="E105" s="143">
        <f t="shared" ref="E105" si="159">E106+E110+E121</f>
        <v>97466</v>
      </c>
      <c r="F105" s="143">
        <f t="shared" ref="F105:G105" si="160">F106+F110+F121</f>
        <v>112879</v>
      </c>
      <c r="G105" s="150">
        <f t="shared" si="160"/>
        <v>0</v>
      </c>
      <c r="H105" s="42" t="e">
        <f>B105/B$126</f>
        <v>#DIV/0!</v>
      </c>
      <c r="I105" s="42" t="e">
        <f t="shared" ref="I105" si="161">C105/C$126</f>
        <v>#DIV/0!</v>
      </c>
      <c r="J105" s="42" t="e">
        <f t="shared" ref="J105" si="162">D105/D$126</f>
        <v>#DIV/0!</v>
      </c>
      <c r="K105" s="42">
        <f t="shared" ref="K105" si="163">E105/E$126</f>
        <v>0.1756447962170033</v>
      </c>
      <c r="L105" s="42">
        <f t="shared" ref="L105" si="164">F105/F$126</f>
        <v>0.17789639743995864</v>
      </c>
      <c r="M105" s="42" t="e">
        <f t="shared" ref="M105" si="165">G105/G$126</f>
        <v>#DIV/0!</v>
      </c>
      <c r="N105" s="48" t="e">
        <f>C105/B105</f>
        <v>#DIV/0!</v>
      </c>
      <c r="O105" s="43" t="e">
        <f>D105/C105</f>
        <v>#DIV/0!</v>
      </c>
      <c r="P105" s="43" t="e">
        <f>E105/D105</f>
        <v>#DIV/0!</v>
      </c>
      <c r="Q105" s="43">
        <f>F105/E105</f>
        <v>1.158137196560852</v>
      </c>
      <c r="R105" s="49">
        <f>G105/F105</f>
        <v>0</v>
      </c>
    </row>
    <row r="106" spans="1:18">
      <c r="A106" s="148" t="s">
        <v>99</v>
      </c>
      <c r="B106" s="131">
        <f>SUM(B107:B109)</f>
        <v>0</v>
      </c>
      <c r="C106" s="131">
        <f>SUM(C107:C109)</f>
        <v>0</v>
      </c>
      <c r="D106" s="144">
        <f>SUM(D107:D109)</f>
        <v>0</v>
      </c>
      <c r="E106" s="144">
        <f t="shared" ref="E106" si="166">SUM(E107:E109)</f>
        <v>0</v>
      </c>
      <c r="F106" s="144">
        <f t="shared" ref="F106:G106" si="167">SUM(F107:F109)</f>
        <v>132</v>
      </c>
      <c r="G106" s="152">
        <f t="shared" si="167"/>
        <v>0</v>
      </c>
      <c r="H106" s="45"/>
      <c r="I106" s="46"/>
      <c r="J106" s="46"/>
      <c r="K106" s="46"/>
      <c r="L106" s="46"/>
      <c r="M106" s="46"/>
      <c r="N106" s="45"/>
      <c r="O106" s="46"/>
      <c r="P106" s="46"/>
      <c r="Q106" s="46"/>
      <c r="R106" s="47"/>
    </row>
    <row r="107" spans="1:18">
      <c r="A107" s="153" t="s">
        <v>105</v>
      </c>
      <c r="B107" s="131"/>
      <c r="C107" s="132"/>
      <c r="D107" s="135"/>
      <c r="E107" s="135">
        <v>0</v>
      </c>
      <c r="F107" s="135">
        <v>132</v>
      </c>
      <c r="G107" s="149"/>
      <c r="H107" s="45"/>
      <c r="I107" s="46"/>
      <c r="J107" s="46"/>
      <c r="K107" s="46"/>
      <c r="L107" s="46"/>
      <c r="M107" s="46"/>
      <c r="N107" s="45"/>
      <c r="O107" s="46"/>
      <c r="P107" s="46"/>
      <c r="Q107" s="46"/>
      <c r="R107" s="47"/>
    </row>
    <row r="108" spans="1:18">
      <c r="A108" s="153" t="s">
        <v>106</v>
      </c>
      <c r="B108" s="131"/>
      <c r="C108" s="132"/>
      <c r="D108" s="135"/>
      <c r="E108" s="135"/>
      <c r="F108" s="135"/>
      <c r="G108" s="149"/>
      <c r="H108" s="45"/>
      <c r="I108" s="46"/>
      <c r="J108" s="46"/>
      <c r="K108" s="46"/>
      <c r="L108" s="46"/>
      <c r="M108" s="46"/>
      <c r="N108" s="45"/>
      <c r="O108" s="46"/>
      <c r="P108" s="46"/>
      <c r="Q108" s="46"/>
      <c r="R108" s="47"/>
    </row>
    <row r="109" spans="1:18">
      <c r="A109" s="153" t="s">
        <v>64</v>
      </c>
      <c r="B109" s="131"/>
      <c r="C109" s="132"/>
      <c r="D109" s="135"/>
      <c r="E109" s="135"/>
      <c r="F109" s="135"/>
      <c r="G109" s="149"/>
      <c r="H109" s="45"/>
      <c r="I109" s="46"/>
      <c r="J109" s="46"/>
      <c r="K109" s="46"/>
      <c r="L109" s="46"/>
      <c r="M109" s="46"/>
      <c r="N109" s="45"/>
      <c r="O109" s="46"/>
      <c r="P109" s="46"/>
      <c r="Q109" s="46"/>
      <c r="R109" s="47"/>
    </row>
    <row r="110" spans="1:18">
      <c r="A110" s="148" t="s">
        <v>100</v>
      </c>
      <c r="B110" s="132">
        <f>SUM(B111:B120)</f>
        <v>0</v>
      </c>
      <c r="C110" s="132">
        <f>SUM(C111:C120)</f>
        <v>0</v>
      </c>
      <c r="D110" s="134">
        <f>SUM(D111:D120)</f>
        <v>0</v>
      </c>
      <c r="E110" s="134">
        <f t="shared" ref="E110:F110" si="168">SUM(E111:E120)</f>
        <v>97466</v>
      </c>
      <c r="F110" s="134">
        <f t="shared" si="168"/>
        <v>112747</v>
      </c>
      <c r="G110" s="154"/>
      <c r="H110" s="42" t="e">
        <f>B110/B$126</f>
        <v>#DIV/0!</v>
      </c>
      <c r="I110" s="42" t="e">
        <f t="shared" ref="I110" si="169">C110/C$126</f>
        <v>#DIV/0!</v>
      </c>
      <c r="J110" s="42" t="e">
        <f t="shared" ref="J110" si="170">D110/D$126</f>
        <v>#DIV/0!</v>
      </c>
      <c r="K110" s="42">
        <f t="shared" ref="K110" si="171">E110/E$126</f>
        <v>0.1756447962170033</v>
      </c>
      <c r="L110" s="42">
        <f t="shared" ref="L110" si="172">F110/F$126</f>
        <v>0.17768836650008432</v>
      </c>
      <c r="M110" s="42" t="e">
        <f t="shared" ref="M110" si="173">G110/G$126</f>
        <v>#DIV/0!</v>
      </c>
      <c r="N110" s="45" t="e">
        <f>C110/B110</f>
        <v>#DIV/0!</v>
      </c>
      <c r="O110" s="46" t="e">
        <f>D110/C110</f>
        <v>#DIV/0!</v>
      </c>
      <c r="P110" s="46" t="e">
        <f>E110/D110</f>
        <v>#DIV/0!</v>
      </c>
      <c r="Q110" s="46">
        <f>F110/E110</f>
        <v>1.1567828781318614</v>
      </c>
      <c r="R110" s="47">
        <f>G110/F110</f>
        <v>0</v>
      </c>
    </row>
    <row r="111" spans="1:18">
      <c r="A111" s="153" t="s">
        <v>101</v>
      </c>
      <c r="B111" s="131"/>
      <c r="C111" s="132"/>
      <c r="D111" s="135"/>
      <c r="E111" s="135"/>
      <c r="F111" s="135"/>
      <c r="G111" s="149"/>
      <c r="H111" s="45"/>
      <c r="I111" s="46"/>
      <c r="J111" s="46"/>
      <c r="K111" s="46"/>
      <c r="L111" s="46"/>
      <c r="M111" s="46"/>
      <c r="N111" s="45"/>
      <c r="O111" s="46"/>
      <c r="P111" s="46"/>
      <c r="Q111" s="46"/>
      <c r="R111" s="47"/>
    </row>
    <row r="112" spans="1:18">
      <c r="A112" s="153" t="s">
        <v>102</v>
      </c>
      <c r="B112" s="131"/>
      <c r="C112" s="132"/>
      <c r="D112" s="135"/>
      <c r="E112" s="135"/>
      <c r="F112" s="135"/>
      <c r="G112" s="149"/>
      <c r="H112" s="45"/>
      <c r="I112" s="46"/>
      <c r="J112" s="46"/>
      <c r="K112" s="46"/>
      <c r="L112" s="46"/>
      <c r="M112" s="46"/>
      <c r="N112" s="45"/>
      <c r="O112" s="46"/>
      <c r="P112" s="46"/>
      <c r="Q112" s="46"/>
      <c r="R112" s="47"/>
    </row>
    <row r="113" spans="1:18">
      <c r="A113" s="153" t="s">
        <v>103</v>
      </c>
      <c r="B113" s="131"/>
      <c r="C113" s="132"/>
      <c r="D113" s="135"/>
      <c r="E113" s="135"/>
      <c r="F113" s="135"/>
      <c r="G113" s="149"/>
      <c r="H113" s="45"/>
      <c r="I113" s="46"/>
      <c r="J113" s="46"/>
      <c r="K113" s="46"/>
      <c r="L113" s="46"/>
      <c r="M113" s="46"/>
      <c r="N113" s="45"/>
      <c r="O113" s="46"/>
      <c r="P113" s="46"/>
      <c r="Q113" s="46"/>
      <c r="R113" s="47"/>
    </row>
    <row r="114" spans="1:18">
      <c r="A114" s="153" t="s">
        <v>105</v>
      </c>
      <c r="B114" s="132"/>
      <c r="C114" s="132"/>
      <c r="D114" s="135"/>
      <c r="E114" s="135">
        <v>68989</v>
      </c>
      <c r="F114" s="135">
        <v>84918</v>
      </c>
      <c r="G114" s="149"/>
      <c r="H114" s="42" t="e">
        <f>B114/B$126</f>
        <v>#DIV/0!</v>
      </c>
      <c r="I114" s="42" t="e">
        <f t="shared" ref="I114" si="174">C114/C$126</f>
        <v>#DIV/0!</v>
      </c>
      <c r="J114" s="42" t="e">
        <f t="shared" ref="J114" si="175">D114/D$126</f>
        <v>#DIV/0!</v>
      </c>
      <c r="K114" s="42">
        <f t="shared" ref="K114" si="176">E114/E$126</f>
        <v>0.1243260095439932</v>
      </c>
      <c r="L114" s="42">
        <f t="shared" ref="L114" si="177">F114/F$126</f>
        <v>0.13383008600188173</v>
      </c>
      <c r="M114" s="42" t="e">
        <f t="shared" ref="M114" si="178">G114/G$126</f>
        <v>#DIV/0!</v>
      </c>
      <c r="N114" s="45" t="e">
        <f>C114/B114</f>
        <v>#DIV/0!</v>
      </c>
      <c r="O114" s="46" t="e">
        <f>D114/C114</f>
        <v>#DIV/0!</v>
      </c>
      <c r="P114" s="46" t="e">
        <f>E114/D114</f>
        <v>#DIV/0!</v>
      </c>
      <c r="Q114" s="46">
        <f>F114/E114</f>
        <v>1.2308918813144125</v>
      </c>
      <c r="R114" s="47">
        <f>G114/F114</f>
        <v>0</v>
      </c>
    </row>
    <row r="115" spans="1:18">
      <c r="A115" s="153" t="s">
        <v>106</v>
      </c>
      <c r="B115" s="131"/>
      <c r="C115" s="132"/>
      <c r="D115" s="131"/>
      <c r="E115" s="132"/>
      <c r="F115" s="131"/>
      <c r="G115" s="132"/>
      <c r="H115" s="45"/>
      <c r="I115" s="46"/>
      <c r="J115" s="46"/>
      <c r="K115" s="46"/>
      <c r="L115" s="46"/>
      <c r="M115" s="46"/>
      <c r="N115" s="45"/>
      <c r="O115" s="46"/>
      <c r="P115" s="46"/>
      <c r="Q115" s="46"/>
      <c r="R115" s="47"/>
    </row>
    <row r="116" spans="1:18">
      <c r="A116" s="153" t="s">
        <v>107</v>
      </c>
      <c r="B116" s="131"/>
      <c r="C116" s="132"/>
      <c r="D116" s="133"/>
      <c r="E116" s="133"/>
      <c r="F116" s="133"/>
      <c r="G116" s="149"/>
      <c r="H116" s="45"/>
      <c r="I116" s="46"/>
      <c r="J116" s="46"/>
      <c r="K116" s="46"/>
      <c r="L116" s="46"/>
      <c r="M116" s="46"/>
      <c r="N116" s="45"/>
      <c r="O116" s="46"/>
      <c r="P116" s="46"/>
      <c r="Q116" s="46"/>
      <c r="R116" s="47"/>
    </row>
    <row r="117" spans="1:18">
      <c r="A117" s="153" t="s">
        <v>108</v>
      </c>
      <c r="B117" s="131"/>
      <c r="C117" s="131"/>
      <c r="D117" s="133"/>
      <c r="E117" s="133"/>
      <c r="F117" s="133"/>
      <c r="G117" s="149"/>
      <c r="H117" s="45"/>
      <c r="I117" s="46"/>
      <c r="J117" s="46"/>
      <c r="K117" s="46"/>
      <c r="L117" s="46"/>
      <c r="M117" s="46"/>
      <c r="N117" s="45"/>
      <c r="O117" s="46"/>
      <c r="P117" s="46"/>
      <c r="Q117" s="46"/>
      <c r="R117" s="47"/>
    </row>
    <row r="118" spans="1:18">
      <c r="A118" s="153" t="s">
        <v>109</v>
      </c>
      <c r="B118" s="131"/>
      <c r="C118" s="132"/>
      <c r="D118" s="133"/>
      <c r="E118" s="133">
        <v>20464</v>
      </c>
      <c r="F118" s="133">
        <v>17336</v>
      </c>
      <c r="G118" s="149"/>
      <c r="H118" s="42" t="e">
        <f>B118/B$126</f>
        <v>#DIV/0!</v>
      </c>
      <c r="I118" s="42" t="e">
        <f t="shared" ref="I118" si="179">C118/C$126</f>
        <v>#DIV/0!</v>
      </c>
      <c r="J118" s="42" t="e">
        <f t="shared" ref="J118" si="180">D118/D$126</f>
        <v>#DIV/0!</v>
      </c>
      <c r="K118" s="42">
        <f t="shared" ref="K118" si="181">E118/E$126</f>
        <v>3.6878451047388378E-2</v>
      </c>
      <c r="L118" s="42">
        <f t="shared" ref="L118" si="182">F118/F$126</f>
        <v>2.732139677016206E-2</v>
      </c>
      <c r="M118" s="42" t="e">
        <f t="shared" ref="M118" si="183">G118/G$126</f>
        <v>#DIV/0!</v>
      </c>
      <c r="N118" s="45" t="e">
        <f t="shared" ref="N118:R122" si="184">C118/B118</f>
        <v>#DIV/0!</v>
      </c>
      <c r="O118" s="46" t="e">
        <f t="shared" si="184"/>
        <v>#DIV/0!</v>
      </c>
      <c r="P118" s="46" t="e">
        <f t="shared" si="184"/>
        <v>#DIV/0!</v>
      </c>
      <c r="Q118" s="46">
        <f t="shared" si="184"/>
        <v>0.84714620797498041</v>
      </c>
      <c r="R118" s="47">
        <f t="shared" si="184"/>
        <v>0</v>
      </c>
    </row>
    <row r="119" spans="1:18">
      <c r="A119" s="153" t="s">
        <v>110</v>
      </c>
      <c r="B119" s="131"/>
      <c r="C119" s="132"/>
      <c r="D119" s="133"/>
      <c r="E119" s="133">
        <v>5940</v>
      </c>
      <c r="F119" s="133">
        <v>6010</v>
      </c>
      <c r="G119" s="149"/>
      <c r="H119" s="42" t="e">
        <f t="shared" ref="H119:H122" si="185">B119/B$126</f>
        <v>#DIV/0!</v>
      </c>
      <c r="I119" s="42" t="e">
        <f t="shared" ref="I119:I122" si="186">C119/C$126</f>
        <v>#DIV/0!</v>
      </c>
      <c r="J119" s="42" t="e">
        <f t="shared" ref="J119:J122" si="187">D119/D$126</f>
        <v>#DIV/0!</v>
      </c>
      <c r="K119" s="42">
        <f t="shared" ref="K119:K122" si="188">E119/E$126</f>
        <v>1.0704554301284546E-2</v>
      </c>
      <c r="L119" s="42">
        <f t="shared" ref="L119:L122" si="189">F119/F$126</f>
        <v>9.4717117321570128E-3</v>
      </c>
      <c r="M119" s="42" t="e">
        <f t="shared" ref="M119:M122" si="190">G119/G$126</f>
        <v>#DIV/0!</v>
      </c>
      <c r="N119" s="45" t="e">
        <f t="shared" si="184"/>
        <v>#DIV/0!</v>
      </c>
      <c r="O119" s="46" t="e">
        <f t="shared" si="184"/>
        <v>#DIV/0!</v>
      </c>
      <c r="P119" s="46" t="e">
        <f t="shared" si="184"/>
        <v>#DIV/0!</v>
      </c>
      <c r="Q119" s="46">
        <f t="shared" si="184"/>
        <v>1.0117845117845117</v>
      </c>
      <c r="R119" s="47">
        <f t="shared" si="184"/>
        <v>0</v>
      </c>
    </row>
    <row r="120" spans="1:18">
      <c r="A120" s="153" t="s">
        <v>64</v>
      </c>
      <c r="B120" s="131"/>
      <c r="C120" s="132"/>
      <c r="D120" s="133"/>
      <c r="E120" s="133">
        <v>2073</v>
      </c>
      <c r="F120" s="133">
        <v>4483</v>
      </c>
      <c r="G120" s="149"/>
      <c r="H120" s="42" t="e">
        <f t="shared" si="185"/>
        <v>#DIV/0!</v>
      </c>
      <c r="I120" s="42" t="e">
        <f t="shared" si="186"/>
        <v>#DIV/0!</v>
      </c>
      <c r="J120" s="42" t="e">
        <f t="shared" si="187"/>
        <v>#DIV/0!</v>
      </c>
      <c r="K120" s="42">
        <f t="shared" si="188"/>
        <v>3.7357813243371826E-3</v>
      </c>
      <c r="L120" s="42">
        <f t="shared" si="189"/>
        <v>7.0651719958835088E-3</v>
      </c>
      <c r="M120" s="42" t="e">
        <f t="shared" si="190"/>
        <v>#DIV/0!</v>
      </c>
      <c r="N120" s="45" t="e">
        <f t="shared" si="184"/>
        <v>#DIV/0!</v>
      </c>
      <c r="O120" s="46" t="e">
        <f t="shared" si="184"/>
        <v>#DIV/0!</v>
      </c>
      <c r="P120" s="46" t="e">
        <f t="shared" si="184"/>
        <v>#DIV/0!</v>
      </c>
      <c r="Q120" s="46">
        <f t="shared" si="184"/>
        <v>2.1625663289917991</v>
      </c>
      <c r="R120" s="47">
        <f t="shared" si="184"/>
        <v>0</v>
      </c>
    </row>
    <row r="121" spans="1:18">
      <c r="A121" s="148" t="s">
        <v>111</v>
      </c>
      <c r="B121" s="131"/>
      <c r="C121" s="131"/>
      <c r="D121" s="133"/>
      <c r="E121" s="133"/>
      <c r="F121" s="133"/>
      <c r="G121" s="149"/>
      <c r="H121" s="42" t="e">
        <f t="shared" si="185"/>
        <v>#DIV/0!</v>
      </c>
      <c r="I121" s="42" t="e">
        <f t="shared" si="186"/>
        <v>#DIV/0!</v>
      </c>
      <c r="J121" s="42" t="e">
        <f t="shared" si="187"/>
        <v>#DIV/0!</v>
      </c>
      <c r="K121" s="42">
        <f t="shared" si="188"/>
        <v>0</v>
      </c>
      <c r="L121" s="42">
        <f t="shared" si="189"/>
        <v>0</v>
      </c>
      <c r="M121" s="42" t="e">
        <f t="shared" si="190"/>
        <v>#DIV/0!</v>
      </c>
      <c r="N121" s="45" t="e">
        <f t="shared" si="184"/>
        <v>#DIV/0!</v>
      </c>
      <c r="O121" s="46" t="e">
        <f t="shared" si="184"/>
        <v>#DIV/0!</v>
      </c>
      <c r="P121" s="46" t="e">
        <f t="shared" si="184"/>
        <v>#DIV/0!</v>
      </c>
      <c r="Q121" s="46" t="e">
        <f t="shared" si="184"/>
        <v>#DIV/0!</v>
      </c>
      <c r="R121" s="47" t="e">
        <f t="shared" si="184"/>
        <v>#DIV/0!</v>
      </c>
    </row>
    <row r="122" spans="1:18">
      <c r="A122" s="151" t="s">
        <v>112</v>
      </c>
      <c r="B122" s="130">
        <f>SUM(B123:B125)</f>
        <v>0</v>
      </c>
      <c r="C122" s="130">
        <f>SUM(C123:C125)</f>
        <v>0</v>
      </c>
      <c r="D122" s="130">
        <f>SUM(D123:D125)</f>
        <v>0</v>
      </c>
      <c r="E122" s="130">
        <f t="shared" ref="E122" si="191">SUM(E123:E125)</f>
        <v>10689</v>
      </c>
      <c r="F122" s="130">
        <f t="shared" ref="F122:G122" si="192">SUM(F123:F125)</f>
        <v>10224</v>
      </c>
      <c r="G122" s="150">
        <f t="shared" si="192"/>
        <v>0</v>
      </c>
      <c r="H122" s="42" t="e">
        <f t="shared" si="185"/>
        <v>#DIV/0!</v>
      </c>
      <c r="I122" s="42" t="e">
        <f t="shared" si="186"/>
        <v>#DIV/0!</v>
      </c>
      <c r="J122" s="42" t="e">
        <f t="shared" si="187"/>
        <v>#DIV/0!</v>
      </c>
      <c r="K122" s="42">
        <f t="shared" si="188"/>
        <v>1.9262791401755981E-2</v>
      </c>
      <c r="L122" s="42">
        <f t="shared" si="189"/>
        <v>1.6112941888448137E-2</v>
      </c>
      <c r="M122" s="42" t="e">
        <f t="shared" si="190"/>
        <v>#DIV/0!</v>
      </c>
      <c r="N122" s="48" t="e">
        <f t="shared" si="184"/>
        <v>#DIV/0!</v>
      </c>
      <c r="O122" s="43" t="e">
        <f t="shared" si="184"/>
        <v>#DIV/0!</v>
      </c>
      <c r="P122" s="43" t="e">
        <f t="shared" si="184"/>
        <v>#DIV/0!</v>
      </c>
      <c r="Q122" s="43">
        <f t="shared" si="184"/>
        <v>0.95649733370754986</v>
      </c>
      <c r="R122" s="49">
        <f t="shared" si="184"/>
        <v>0</v>
      </c>
    </row>
    <row r="123" spans="1:18">
      <c r="A123" s="148" t="s">
        <v>113</v>
      </c>
      <c r="B123" s="132"/>
      <c r="C123" s="132"/>
      <c r="D123" s="133"/>
      <c r="E123" s="133">
        <v>10689</v>
      </c>
      <c r="F123" s="133">
        <v>10224</v>
      </c>
      <c r="G123" s="149"/>
      <c r="H123" s="45"/>
      <c r="I123" s="46"/>
      <c r="J123" s="46"/>
      <c r="K123" s="46"/>
      <c r="L123" s="46"/>
      <c r="M123" s="46"/>
      <c r="N123" s="45"/>
      <c r="O123" s="46"/>
      <c r="P123" s="46"/>
      <c r="Q123" s="46"/>
      <c r="R123" s="47"/>
    </row>
    <row r="124" spans="1:18">
      <c r="A124" s="148" t="s">
        <v>114</v>
      </c>
      <c r="B124" s="131"/>
      <c r="C124" s="132"/>
      <c r="D124" s="133"/>
      <c r="E124" s="133"/>
      <c r="F124" s="133"/>
      <c r="G124" s="149"/>
      <c r="H124" s="42" t="e">
        <f t="shared" ref="H124" si="193">B124/B$126</f>
        <v>#DIV/0!</v>
      </c>
      <c r="I124" s="42" t="e">
        <f t="shared" ref="I124" si="194">C124/C$126</f>
        <v>#DIV/0!</v>
      </c>
      <c r="J124" s="42" t="e">
        <f t="shared" ref="J124" si="195">D124/D$126</f>
        <v>#DIV/0!</v>
      </c>
      <c r="K124" s="42">
        <f t="shared" ref="K124" si="196">E124/E$126</f>
        <v>0</v>
      </c>
      <c r="L124" s="42">
        <f t="shared" ref="L124" si="197">F124/F$126</f>
        <v>0</v>
      </c>
      <c r="M124" s="42" t="e">
        <f t="shared" ref="M124" si="198">G124/G$126</f>
        <v>#DIV/0!</v>
      </c>
      <c r="N124" s="45" t="e">
        <f>C124/B124</f>
        <v>#DIV/0!</v>
      </c>
      <c r="O124" s="46" t="e">
        <f>D124/C124</f>
        <v>#DIV/0!</v>
      </c>
      <c r="P124" s="46" t="e">
        <f>E124/D124</f>
        <v>#DIV/0!</v>
      </c>
      <c r="Q124" s="46" t="e">
        <f>F124/E124</f>
        <v>#DIV/0!</v>
      </c>
      <c r="R124" s="47" t="e">
        <f>G124/F124</f>
        <v>#DIV/0!</v>
      </c>
    </row>
    <row r="125" spans="1:18">
      <c r="A125" s="148" t="s">
        <v>115</v>
      </c>
      <c r="B125" s="132"/>
      <c r="C125" s="132"/>
      <c r="D125" s="133"/>
      <c r="E125" s="133"/>
      <c r="F125" s="133"/>
      <c r="G125" s="149"/>
      <c r="H125" s="45"/>
      <c r="I125" s="46"/>
      <c r="J125" s="46"/>
      <c r="K125" s="46"/>
      <c r="L125" s="46"/>
      <c r="M125" s="46"/>
      <c r="N125" s="45"/>
      <c r="O125" s="46"/>
      <c r="P125" s="46"/>
      <c r="Q125" s="46"/>
      <c r="R125" s="47"/>
    </row>
    <row r="126" spans="1:18" ht="11" thickBot="1">
      <c r="A126" s="155" t="s">
        <v>116</v>
      </c>
      <c r="B126" s="156">
        <f>B89+B79</f>
        <v>0</v>
      </c>
      <c r="C126" s="156">
        <f>C89+C79</f>
        <v>0</v>
      </c>
      <c r="D126" s="156">
        <f>D89+D79</f>
        <v>0</v>
      </c>
      <c r="E126" s="156">
        <f>E89+E79</f>
        <v>554904</v>
      </c>
      <c r="F126" s="156">
        <f>F89+F79</f>
        <v>634521</v>
      </c>
      <c r="G126" s="157">
        <f t="shared" ref="G126:M126" si="199">G89+G79</f>
        <v>0</v>
      </c>
      <c r="H126" s="42" t="e">
        <f t="shared" ref="H126" si="200">B126/B$126</f>
        <v>#DIV/0!</v>
      </c>
      <c r="I126" s="42" t="e">
        <f t="shared" ref="I126" si="201">C126/C$126</f>
        <v>#DIV/0!</v>
      </c>
      <c r="J126" s="42" t="e">
        <f t="shared" ref="J126" si="202">D126/D$126</f>
        <v>#DIV/0!</v>
      </c>
      <c r="K126" s="42">
        <f t="shared" ref="K126" si="203">E126/E$126</f>
        <v>1</v>
      </c>
      <c r="L126" s="42">
        <f t="shared" ref="L126" si="204">F126/F$126</f>
        <v>1</v>
      </c>
      <c r="M126" s="42" t="e">
        <f t="shared" ref="M126" si="205">G126/G$126</f>
        <v>#DIV/0!</v>
      </c>
      <c r="N126" s="50" t="e">
        <f>C126/B126</f>
        <v>#DIV/0!</v>
      </c>
      <c r="O126" s="51" t="e">
        <f>D126/C126</f>
        <v>#DIV/0!</v>
      </c>
      <c r="P126" s="51" t="e">
        <f>E126/D126</f>
        <v>#DIV/0!</v>
      </c>
      <c r="Q126" s="51">
        <f>F126/E126</f>
        <v>1.1434788720211064</v>
      </c>
      <c r="R126" s="52">
        <f>G126/F126</f>
        <v>0</v>
      </c>
    </row>
    <row r="127" spans="1:18">
      <c r="B127" s="14"/>
      <c r="C127" s="14"/>
    </row>
    <row r="128" spans="1:18">
      <c r="B128" s="38">
        <f t="shared" ref="B128:G128" si="206">B75-B126</f>
        <v>0</v>
      </c>
      <c r="C128" s="38">
        <f t="shared" si="206"/>
        <v>0</v>
      </c>
      <c r="D128" s="38">
        <f>D75-D126</f>
        <v>0</v>
      </c>
      <c r="E128" s="113">
        <f t="shared" si="206"/>
        <v>0</v>
      </c>
      <c r="F128" s="113">
        <f t="shared" si="206"/>
        <v>0</v>
      </c>
      <c r="G128" s="38">
        <f t="shared" si="206"/>
        <v>0</v>
      </c>
    </row>
  </sheetData>
  <mergeCells count="8">
    <mergeCell ref="N77:R77"/>
    <mergeCell ref="A2:A3"/>
    <mergeCell ref="B2:G2"/>
    <mergeCell ref="A77:A78"/>
    <mergeCell ref="B77:G77"/>
    <mergeCell ref="H2:M2"/>
    <mergeCell ref="N2:R2"/>
    <mergeCell ref="H77:M77"/>
  </mergeCells>
  <phoneticPr fontId="0" type="noConversion"/>
  <printOptions horizontalCentered="1"/>
  <pageMargins left="0.25" right="0.24" top="0.25" bottom="0.22" header="0.24" footer="0.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2"/>
  <sheetViews>
    <sheetView tabSelected="1" topLeftCell="A2" zoomScale="75" zoomScaleNormal="75" zoomScalePageLayoutView="130" workbookViewId="0">
      <selection activeCell="F42" sqref="F42"/>
    </sheetView>
  </sheetViews>
  <sheetFormatPr defaultColWidth="8.83203125" defaultRowHeight="10.5"/>
  <cols>
    <col min="1" max="1" width="46" style="7" bestFit="1" customWidth="1"/>
    <col min="2" max="4" width="9.5" style="7" hidden="1" customWidth="1"/>
    <col min="5" max="6" width="10.83203125" style="7" bestFit="1" customWidth="1"/>
    <col min="7" max="7" width="10.83203125" style="7" customWidth="1"/>
    <col min="8" max="8" width="8.08203125" style="7" customWidth="1"/>
    <col min="9" max="9" width="12.83203125" style="7" customWidth="1"/>
    <col min="10" max="12" width="6.08203125" style="7" bestFit="1" customWidth="1"/>
    <col min="13" max="18" width="7.33203125" style="7" bestFit="1" customWidth="1"/>
    <col min="19" max="16384" width="8.83203125" style="7"/>
  </cols>
  <sheetData>
    <row r="1" spans="1:18">
      <c r="A1" s="11" t="s">
        <v>117</v>
      </c>
    </row>
    <row r="3" spans="1:18" ht="10.5" customHeight="1">
      <c r="A3" s="215"/>
      <c r="B3" s="203" t="s">
        <v>203</v>
      </c>
      <c r="C3" s="204"/>
      <c r="D3" s="204"/>
      <c r="E3" s="204"/>
      <c r="F3" s="204"/>
      <c r="G3" s="205"/>
      <c r="H3" s="203" t="s">
        <v>25</v>
      </c>
      <c r="I3" s="204"/>
      <c r="J3" s="204"/>
      <c r="K3" s="204"/>
      <c r="L3" s="204"/>
      <c r="M3" s="205"/>
      <c r="N3" s="206" t="s">
        <v>26</v>
      </c>
      <c r="O3" s="206"/>
      <c r="P3" s="206"/>
      <c r="Q3" s="206"/>
      <c r="R3" s="206"/>
    </row>
    <row r="4" spans="1:18" ht="10.5" customHeight="1">
      <c r="A4" s="216"/>
      <c r="B4" s="2">
        <v>2011</v>
      </c>
      <c r="C4" s="2">
        <v>2012</v>
      </c>
      <c r="D4" s="8">
        <v>2013</v>
      </c>
      <c r="E4" s="2">
        <v>2014</v>
      </c>
      <c r="F4" s="2">
        <v>2015</v>
      </c>
      <c r="G4" s="8">
        <v>2016</v>
      </c>
      <c r="H4" s="8">
        <f t="shared" ref="H4:M4" si="0">B4</f>
        <v>2011</v>
      </c>
      <c r="I4" s="8">
        <f t="shared" si="0"/>
        <v>2012</v>
      </c>
      <c r="J4" s="8">
        <f t="shared" si="0"/>
        <v>2013</v>
      </c>
      <c r="K4" s="8">
        <f t="shared" si="0"/>
        <v>2014</v>
      </c>
      <c r="L4" s="8">
        <f t="shared" si="0"/>
        <v>2015</v>
      </c>
      <c r="M4" s="8">
        <f t="shared" si="0"/>
        <v>2016</v>
      </c>
      <c r="N4" s="8" t="s">
        <v>250</v>
      </c>
      <c r="O4" s="8" t="s">
        <v>251</v>
      </c>
      <c r="P4" s="8" t="s">
        <v>252</v>
      </c>
      <c r="Q4" s="8" t="s">
        <v>253</v>
      </c>
      <c r="R4" s="8" t="s">
        <v>254</v>
      </c>
    </row>
    <row r="5" spans="1:18">
      <c r="A5" s="15" t="s">
        <v>118</v>
      </c>
      <c r="B5" s="35">
        <f t="shared" ref="B5:G5" si="1">SUM(B6:B9)</f>
        <v>0</v>
      </c>
      <c r="C5" s="35">
        <f t="shared" si="1"/>
        <v>0</v>
      </c>
      <c r="D5" s="35">
        <f t="shared" si="1"/>
        <v>0</v>
      </c>
      <c r="E5" s="35">
        <f t="shared" si="1"/>
        <v>594161</v>
      </c>
      <c r="F5" s="35">
        <f t="shared" si="1"/>
        <v>631188</v>
      </c>
      <c r="G5" s="35">
        <f t="shared" si="1"/>
        <v>0</v>
      </c>
      <c r="H5" s="42">
        <v>1</v>
      </c>
      <c r="I5" s="43">
        <v>1</v>
      </c>
      <c r="J5" s="43">
        <v>1</v>
      </c>
      <c r="K5" s="43">
        <v>1</v>
      </c>
      <c r="L5" s="43">
        <v>1</v>
      </c>
      <c r="M5" s="43"/>
      <c r="N5" s="42" t="e">
        <f>C5/B5</f>
        <v>#DIV/0!</v>
      </c>
      <c r="O5" s="43" t="e">
        <f>D5/C5</f>
        <v>#DIV/0!</v>
      </c>
      <c r="P5" s="43" t="e">
        <f>E5/D5</f>
        <v>#DIV/0!</v>
      </c>
      <c r="Q5" s="53">
        <f>F5/E5</f>
        <v>1.0623181258951697</v>
      </c>
      <c r="R5" s="44">
        <f>G5/F5</f>
        <v>0</v>
      </c>
    </row>
    <row r="6" spans="1:18" ht="13">
      <c r="A6" s="15" t="s">
        <v>119</v>
      </c>
      <c r="B6" s="28"/>
      <c r="C6" s="24"/>
      <c r="D6" s="24"/>
      <c r="E6" s="24"/>
      <c r="F6" s="24"/>
      <c r="G6" s="24"/>
      <c r="H6" s="45"/>
      <c r="I6" s="46"/>
      <c r="J6" s="46"/>
      <c r="K6" s="46"/>
      <c r="L6" s="46"/>
      <c r="M6" s="46"/>
      <c r="N6" s="45"/>
      <c r="O6" s="46"/>
      <c r="P6" s="46"/>
      <c r="Q6" s="46"/>
      <c r="R6" s="81"/>
    </row>
    <row r="7" spans="1:18" ht="13">
      <c r="A7" s="7" t="s">
        <v>120</v>
      </c>
      <c r="B7" s="28"/>
      <c r="C7" s="24"/>
      <c r="D7" s="24"/>
      <c r="E7" s="24"/>
      <c r="F7" s="24"/>
      <c r="G7" s="24"/>
      <c r="H7" s="45"/>
      <c r="I7" s="46"/>
      <c r="J7" s="46"/>
      <c r="K7" s="46"/>
      <c r="L7" s="46"/>
      <c r="M7" s="46"/>
      <c r="N7" s="45"/>
      <c r="O7" s="46"/>
      <c r="P7" s="46"/>
      <c r="Q7" s="46"/>
      <c r="R7" s="81"/>
    </row>
    <row r="8" spans="1:18" ht="14">
      <c r="A8" s="7" t="s">
        <v>121</v>
      </c>
      <c r="B8" s="110"/>
      <c r="C8" s="24"/>
      <c r="D8" s="24"/>
      <c r="E8" s="197">
        <v>567446</v>
      </c>
      <c r="F8" s="197">
        <v>608384</v>
      </c>
      <c r="G8" s="24"/>
      <c r="H8" s="45" t="e">
        <f t="shared" ref="H8:M8" si="2">B8/B5</f>
        <v>#DIV/0!</v>
      </c>
      <c r="I8" s="46" t="e">
        <f t="shared" si="2"/>
        <v>#DIV/0!</v>
      </c>
      <c r="J8" s="46" t="e">
        <f t="shared" si="2"/>
        <v>#DIV/0!</v>
      </c>
      <c r="K8" s="46">
        <f t="shared" si="2"/>
        <v>0.95503743934724761</v>
      </c>
      <c r="L8" s="46">
        <f t="shared" si="2"/>
        <v>0.96387130300322565</v>
      </c>
      <c r="M8" s="46" t="e">
        <f t="shared" si="2"/>
        <v>#DIV/0!</v>
      </c>
      <c r="N8" s="45" t="e">
        <f t="shared" ref="N8:N48" si="3">C8/B8</f>
        <v>#DIV/0!</v>
      </c>
      <c r="O8" s="46" t="e">
        <f>D8/C8</f>
        <v>#DIV/0!</v>
      </c>
      <c r="P8" s="46" t="e">
        <f>E8/D8</f>
        <v>#DIV/0!</v>
      </c>
      <c r="Q8" s="46">
        <f>F8/E8</f>
        <v>1.0721443097669205</v>
      </c>
      <c r="R8" s="47">
        <f>G8/F8</f>
        <v>0</v>
      </c>
    </row>
    <row r="9" spans="1:18" ht="13">
      <c r="A9" s="7" t="s">
        <v>122</v>
      </c>
      <c r="B9" s="28"/>
      <c r="C9" s="24"/>
      <c r="D9" s="24"/>
      <c r="E9" s="24">
        <v>26715</v>
      </c>
      <c r="F9" s="24">
        <v>22804</v>
      </c>
      <c r="G9" s="24"/>
      <c r="H9" s="45"/>
      <c r="I9" s="46"/>
      <c r="J9" s="46"/>
      <c r="K9" s="46"/>
      <c r="L9" s="46"/>
      <c r="M9" s="46"/>
      <c r="N9" s="45"/>
      <c r="O9" s="46"/>
      <c r="P9" s="46"/>
      <c r="Q9" s="46"/>
      <c r="R9" s="81"/>
    </row>
    <row r="10" spans="1:18">
      <c r="A10" s="15" t="s">
        <v>123</v>
      </c>
      <c r="B10" s="34">
        <f t="shared" ref="B10:G10" si="4">SUM(B11:B13)</f>
        <v>0</v>
      </c>
      <c r="C10" s="35">
        <f t="shared" si="4"/>
        <v>0</v>
      </c>
      <c r="D10" s="35">
        <f t="shared" si="4"/>
        <v>0</v>
      </c>
      <c r="E10" s="35">
        <f t="shared" si="4"/>
        <v>351243</v>
      </c>
      <c r="F10" s="35">
        <f t="shared" si="4"/>
        <v>380082</v>
      </c>
      <c r="G10" s="35">
        <f t="shared" si="4"/>
        <v>0</v>
      </c>
      <c r="H10" s="48" t="e">
        <f t="shared" ref="H10:M10" si="5">B10/B5</f>
        <v>#DIV/0!</v>
      </c>
      <c r="I10" s="43" t="e">
        <f t="shared" si="5"/>
        <v>#DIV/0!</v>
      </c>
      <c r="J10" s="43" t="e">
        <f t="shared" si="5"/>
        <v>#DIV/0!</v>
      </c>
      <c r="K10" s="43">
        <f t="shared" si="5"/>
        <v>0.59115795213755196</v>
      </c>
      <c r="L10" s="43">
        <f t="shared" si="5"/>
        <v>0.60216924276126926</v>
      </c>
      <c r="M10" s="43" t="e">
        <f t="shared" si="5"/>
        <v>#DIV/0!</v>
      </c>
      <c r="N10" s="48" t="e">
        <f t="shared" si="3"/>
        <v>#DIV/0!</v>
      </c>
      <c r="O10" s="43" t="e">
        <f>D10/C10</f>
        <v>#DIV/0!</v>
      </c>
      <c r="P10" s="43" t="e">
        <f>E10/D10</f>
        <v>#DIV/0!</v>
      </c>
      <c r="Q10" s="43">
        <f>F10/E10</f>
        <v>1.0821055508579531</v>
      </c>
      <c r="R10" s="49">
        <f>G10/F10</f>
        <v>0</v>
      </c>
    </row>
    <row r="11" spans="1:18" ht="13">
      <c r="A11" s="7" t="s">
        <v>124</v>
      </c>
      <c r="B11" s="28"/>
      <c r="C11" s="24"/>
      <c r="D11" s="24"/>
      <c r="E11" s="24"/>
      <c r="F11" s="24"/>
      <c r="G11" s="24"/>
      <c r="H11" s="45"/>
      <c r="I11" s="46"/>
      <c r="J11" s="46"/>
      <c r="K11" s="46"/>
      <c r="L11" s="46"/>
      <c r="M11" s="46"/>
      <c r="N11" s="45"/>
      <c r="O11" s="46"/>
      <c r="P11" s="46"/>
      <c r="Q11" s="46"/>
      <c r="R11" s="81"/>
    </row>
    <row r="12" spans="1:18">
      <c r="A12" s="7" t="s">
        <v>8</v>
      </c>
      <c r="B12" s="28"/>
      <c r="C12" s="24"/>
      <c r="D12" s="24"/>
      <c r="E12" s="24">
        <v>328154</v>
      </c>
      <c r="F12" s="24">
        <v>362093</v>
      </c>
      <c r="G12" s="24"/>
      <c r="H12" s="45" t="e">
        <f t="shared" ref="H12:M12" si="6">B12/B5</f>
        <v>#DIV/0!</v>
      </c>
      <c r="I12" s="46" t="e">
        <f t="shared" si="6"/>
        <v>#DIV/0!</v>
      </c>
      <c r="J12" s="46" t="e">
        <f t="shared" si="6"/>
        <v>#DIV/0!</v>
      </c>
      <c r="K12" s="46">
        <f t="shared" si="6"/>
        <v>0.55229811448412136</v>
      </c>
      <c r="L12" s="46">
        <f t="shared" si="6"/>
        <v>0.57366901778867785</v>
      </c>
      <c r="M12" s="46" t="e">
        <f t="shared" si="6"/>
        <v>#DIV/0!</v>
      </c>
      <c r="N12" s="45" t="e">
        <f t="shared" si="3"/>
        <v>#DIV/0!</v>
      </c>
      <c r="O12" s="46" t="e">
        <f>D12/C12</f>
        <v>#DIV/0!</v>
      </c>
      <c r="P12" s="46" t="e">
        <f>E12/D12</f>
        <v>#DIV/0!</v>
      </c>
      <c r="Q12" s="46">
        <f>F12/E12</f>
        <v>1.1034240021453341</v>
      </c>
      <c r="R12" s="47">
        <f>G12/F12</f>
        <v>0</v>
      </c>
    </row>
    <row r="13" spans="1:18" ht="13">
      <c r="A13" s="7" t="s">
        <v>125</v>
      </c>
      <c r="B13" s="28"/>
      <c r="C13" s="24"/>
      <c r="D13" s="24"/>
      <c r="E13" s="24">
        <v>23089</v>
      </c>
      <c r="F13" s="24">
        <v>17989</v>
      </c>
      <c r="G13" s="24"/>
      <c r="H13" s="45"/>
      <c r="I13" s="46"/>
      <c r="J13" s="46"/>
      <c r="K13" s="46"/>
      <c r="L13" s="46"/>
      <c r="M13" s="46"/>
      <c r="N13" s="45"/>
      <c r="O13" s="46"/>
      <c r="P13" s="46"/>
      <c r="Q13" s="46"/>
      <c r="R13" s="81"/>
    </row>
    <row r="14" spans="1:18">
      <c r="A14" s="15" t="s">
        <v>126</v>
      </c>
      <c r="B14" s="34">
        <f t="shared" ref="B14:G14" si="7">B5-B10</f>
        <v>0</v>
      </c>
      <c r="C14" s="35">
        <f t="shared" si="7"/>
        <v>0</v>
      </c>
      <c r="D14" s="35">
        <f t="shared" si="7"/>
        <v>0</v>
      </c>
      <c r="E14" s="35">
        <f t="shared" si="7"/>
        <v>242918</v>
      </c>
      <c r="F14" s="35">
        <f t="shared" si="7"/>
        <v>251106</v>
      </c>
      <c r="G14" s="35">
        <f t="shared" si="7"/>
        <v>0</v>
      </c>
      <c r="H14" s="48" t="e">
        <f t="shared" ref="H14:M14" si="8">B14/B5</f>
        <v>#DIV/0!</v>
      </c>
      <c r="I14" s="43" t="e">
        <f t="shared" si="8"/>
        <v>#DIV/0!</v>
      </c>
      <c r="J14" s="43" t="e">
        <f t="shared" si="8"/>
        <v>#DIV/0!</v>
      </c>
      <c r="K14" s="43">
        <f t="shared" si="8"/>
        <v>0.40884204786244804</v>
      </c>
      <c r="L14" s="43">
        <f t="shared" si="8"/>
        <v>0.39783075723873079</v>
      </c>
      <c r="M14" s="43" t="e">
        <f t="shared" si="8"/>
        <v>#DIV/0!</v>
      </c>
      <c r="N14" s="48" t="e">
        <f t="shared" si="3"/>
        <v>#DIV/0!</v>
      </c>
      <c r="O14" s="43" t="e">
        <f>D14/C14</f>
        <v>#DIV/0!</v>
      </c>
      <c r="P14" s="43" t="e">
        <f>E14/D14</f>
        <v>#DIV/0!</v>
      </c>
      <c r="Q14" s="43">
        <f>F14/E14</f>
        <v>1.0337068475781952</v>
      </c>
      <c r="R14" s="49">
        <f>G14/F14</f>
        <v>0</v>
      </c>
    </row>
    <row r="15" spans="1:18" ht="13">
      <c r="A15" s="15" t="s">
        <v>13</v>
      </c>
      <c r="B15" s="28"/>
      <c r="C15" s="24"/>
      <c r="D15" s="24"/>
      <c r="E15" s="24">
        <v>94731</v>
      </c>
      <c r="F15" s="24">
        <v>92604</v>
      </c>
      <c r="G15" s="24"/>
      <c r="H15" s="45"/>
      <c r="I15" s="46"/>
      <c r="J15" s="46"/>
      <c r="K15" s="46"/>
      <c r="L15" s="46"/>
      <c r="M15" s="46"/>
      <c r="N15" s="45"/>
      <c r="O15" s="46"/>
      <c r="P15" s="46"/>
      <c r="Q15" s="46"/>
      <c r="R15" s="81"/>
    </row>
    <row r="16" spans="1:18">
      <c r="A16" s="15" t="s">
        <v>14</v>
      </c>
      <c r="B16" s="28"/>
      <c r="C16" s="24"/>
      <c r="D16" s="24"/>
      <c r="E16" s="24">
        <v>46235</v>
      </c>
      <c r="F16" s="24">
        <v>50320</v>
      </c>
      <c r="G16" s="24"/>
      <c r="H16" s="45" t="e">
        <f t="shared" ref="H16:M16" si="9">B16/B5</f>
        <v>#DIV/0!</v>
      </c>
      <c r="I16" s="46" t="e">
        <f t="shared" si="9"/>
        <v>#DIV/0!</v>
      </c>
      <c r="J16" s="46" t="e">
        <f t="shared" si="9"/>
        <v>#DIV/0!</v>
      </c>
      <c r="K16" s="46">
        <f t="shared" si="9"/>
        <v>7.7815608900617853E-2</v>
      </c>
      <c r="L16" s="46">
        <f t="shared" si="9"/>
        <v>7.9722681673289095E-2</v>
      </c>
      <c r="M16" s="46" t="e">
        <f t="shared" si="9"/>
        <v>#DIV/0!</v>
      </c>
      <c r="N16" s="45" t="e">
        <f t="shared" si="3"/>
        <v>#DIV/0!</v>
      </c>
      <c r="O16" s="46" t="e">
        <f t="shared" ref="O16:R20" si="10">D16/C16</f>
        <v>#DIV/0!</v>
      </c>
      <c r="P16" s="46" t="e">
        <f t="shared" si="10"/>
        <v>#DIV/0!</v>
      </c>
      <c r="Q16" s="46">
        <f t="shared" si="10"/>
        <v>1.0883529793446522</v>
      </c>
      <c r="R16" s="47">
        <f t="shared" si="10"/>
        <v>0</v>
      </c>
    </row>
    <row r="17" spans="1:18">
      <c r="A17" s="15" t="s">
        <v>127</v>
      </c>
      <c r="B17" s="34">
        <f t="shared" ref="B17:G17" si="11">B14-B15-B16</f>
        <v>0</v>
      </c>
      <c r="C17" s="35">
        <f t="shared" si="11"/>
        <v>0</v>
      </c>
      <c r="D17" s="35">
        <f t="shared" si="11"/>
        <v>0</v>
      </c>
      <c r="E17" s="35">
        <f t="shared" si="11"/>
        <v>101952</v>
      </c>
      <c r="F17" s="35">
        <f t="shared" si="11"/>
        <v>108182</v>
      </c>
      <c r="G17" s="35">
        <f t="shared" si="11"/>
        <v>0</v>
      </c>
      <c r="H17" s="48" t="e">
        <f t="shared" ref="H17:M17" si="12">B17/B5</f>
        <v>#DIV/0!</v>
      </c>
      <c r="I17" s="43" t="e">
        <f t="shared" si="12"/>
        <v>#DIV/0!</v>
      </c>
      <c r="J17" s="43" t="e">
        <f t="shared" si="12"/>
        <v>#DIV/0!</v>
      </c>
      <c r="K17" s="43">
        <f t="shared" si="12"/>
        <v>0.17158985527491707</v>
      </c>
      <c r="L17" s="43">
        <f t="shared" si="12"/>
        <v>0.17139425971342928</v>
      </c>
      <c r="M17" s="43" t="e">
        <f t="shared" si="12"/>
        <v>#DIV/0!</v>
      </c>
      <c r="N17" s="48" t="e">
        <f t="shared" si="3"/>
        <v>#DIV/0!</v>
      </c>
      <c r="O17" s="43" t="e">
        <f t="shared" si="10"/>
        <v>#DIV/0!</v>
      </c>
      <c r="P17" s="43" t="e">
        <f t="shared" si="10"/>
        <v>#DIV/0!</v>
      </c>
      <c r="Q17" s="43">
        <f t="shared" si="10"/>
        <v>1.0611071876961709</v>
      </c>
      <c r="R17" s="49">
        <f t="shared" si="10"/>
        <v>0</v>
      </c>
    </row>
    <row r="18" spans="1:18">
      <c r="A18" s="15" t="s">
        <v>15</v>
      </c>
      <c r="B18" s="34">
        <f t="shared" ref="B18:G18" si="13">SUM(B19:B21)</f>
        <v>0</v>
      </c>
      <c r="C18" s="35">
        <f t="shared" si="13"/>
        <v>0</v>
      </c>
      <c r="D18" s="35">
        <f t="shared" si="13"/>
        <v>0</v>
      </c>
      <c r="E18" s="35">
        <f t="shared" si="13"/>
        <v>1920</v>
      </c>
      <c r="F18" s="35">
        <f t="shared" si="13"/>
        <v>798</v>
      </c>
      <c r="G18" s="35">
        <f t="shared" si="13"/>
        <v>0</v>
      </c>
      <c r="H18" s="48" t="e">
        <f t="shared" ref="H18:M18" si="14">B18/B5</f>
        <v>#DIV/0!</v>
      </c>
      <c r="I18" s="43" t="e">
        <f t="shared" si="14"/>
        <v>#DIV/0!</v>
      </c>
      <c r="J18" s="43" t="e">
        <f t="shared" si="14"/>
        <v>#DIV/0!</v>
      </c>
      <c r="K18" s="43">
        <f t="shared" si="14"/>
        <v>3.231447368642506E-3</v>
      </c>
      <c r="L18" s="43">
        <f t="shared" si="14"/>
        <v>1.2642825909237817E-3</v>
      </c>
      <c r="M18" s="43" t="e">
        <f t="shared" si="14"/>
        <v>#DIV/0!</v>
      </c>
      <c r="N18" s="48" t="e">
        <f t="shared" si="3"/>
        <v>#DIV/0!</v>
      </c>
      <c r="O18" s="43" t="e">
        <f t="shared" si="10"/>
        <v>#DIV/0!</v>
      </c>
      <c r="P18" s="43" t="e">
        <f t="shared" si="10"/>
        <v>#DIV/0!</v>
      </c>
      <c r="Q18" s="43">
        <f t="shared" si="10"/>
        <v>0.41562500000000002</v>
      </c>
      <c r="R18" s="49">
        <f t="shared" si="10"/>
        <v>0</v>
      </c>
    </row>
    <row r="19" spans="1:18">
      <c r="A19" s="7" t="s">
        <v>128</v>
      </c>
      <c r="B19" s="28"/>
      <c r="C19" s="24"/>
      <c r="D19" s="24"/>
      <c r="E19" s="24">
        <v>80</v>
      </c>
      <c r="F19" s="24">
        <v>29</v>
      </c>
      <c r="G19" s="24"/>
      <c r="H19" s="45" t="e">
        <f t="shared" ref="H19:M19" si="15">B19/B5</f>
        <v>#DIV/0!</v>
      </c>
      <c r="I19" s="46" t="e">
        <f t="shared" si="15"/>
        <v>#DIV/0!</v>
      </c>
      <c r="J19" s="46" t="e">
        <f t="shared" si="15"/>
        <v>#DIV/0!</v>
      </c>
      <c r="K19" s="46">
        <f t="shared" si="15"/>
        <v>1.3464364036010442E-4</v>
      </c>
      <c r="L19" s="46">
        <f t="shared" si="15"/>
        <v>4.594510668770636E-5</v>
      </c>
      <c r="M19" s="46" t="e">
        <f t="shared" si="15"/>
        <v>#DIV/0!</v>
      </c>
      <c r="N19" s="45" t="e">
        <f t="shared" si="3"/>
        <v>#DIV/0!</v>
      </c>
      <c r="O19" s="46" t="e">
        <f t="shared" si="10"/>
        <v>#DIV/0!</v>
      </c>
      <c r="P19" s="46" t="e">
        <f t="shared" si="10"/>
        <v>#DIV/0!</v>
      </c>
      <c r="Q19" s="46">
        <f t="shared" si="10"/>
        <v>0.36249999999999999</v>
      </c>
      <c r="R19" s="47">
        <f t="shared" si="10"/>
        <v>0</v>
      </c>
    </row>
    <row r="20" spans="1:18" ht="13">
      <c r="A20" s="7" t="s">
        <v>9</v>
      </c>
      <c r="B20" s="28"/>
      <c r="C20" s="24"/>
      <c r="D20" s="24"/>
      <c r="E20" s="24">
        <v>0</v>
      </c>
      <c r="F20" s="24">
        <v>403</v>
      </c>
      <c r="G20" s="24"/>
      <c r="H20" s="45"/>
      <c r="I20" s="46"/>
      <c r="J20" s="46"/>
      <c r="K20" s="46"/>
      <c r="L20" s="46"/>
      <c r="M20" s="46"/>
      <c r="N20" s="45" t="e">
        <f t="shared" si="3"/>
        <v>#DIV/0!</v>
      </c>
      <c r="O20" s="46"/>
      <c r="P20" s="46" t="e">
        <f t="shared" si="10"/>
        <v>#DIV/0!</v>
      </c>
      <c r="Q20" s="46" t="e">
        <f t="shared" si="10"/>
        <v>#DIV/0!</v>
      </c>
      <c r="R20" s="81"/>
    </row>
    <row r="21" spans="1:18">
      <c r="A21" s="7" t="s">
        <v>129</v>
      </c>
      <c r="B21" s="28"/>
      <c r="C21" s="24"/>
      <c r="D21" s="24"/>
      <c r="E21" s="24">
        <v>1840</v>
      </c>
      <c r="F21" s="24">
        <v>366</v>
      </c>
      <c r="G21" s="24"/>
      <c r="H21" s="45" t="e">
        <f t="shared" ref="H21:M21" si="16">B21/B5</f>
        <v>#DIV/0!</v>
      </c>
      <c r="I21" s="46" t="e">
        <f t="shared" si="16"/>
        <v>#DIV/0!</v>
      </c>
      <c r="J21" s="46" t="e">
        <f t="shared" si="16"/>
        <v>#DIV/0!</v>
      </c>
      <c r="K21" s="46">
        <f t="shared" si="16"/>
        <v>3.0968037282824014E-3</v>
      </c>
      <c r="L21" s="46">
        <f t="shared" si="16"/>
        <v>5.7985893267932845E-4</v>
      </c>
      <c r="M21" s="46" t="e">
        <f t="shared" si="16"/>
        <v>#DIV/0!</v>
      </c>
      <c r="N21" s="45" t="e">
        <f t="shared" si="3"/>
        <v>#DIV/0!</v>
      </c>
      <c r="O21" s="46" t="e">
        <f t="shared" ref="O21:R22" si="17">D21/C21</f>
        <v>#DIV/0!</v>
      </c>
      <c r="P21" s="46" t="e">
        <f t="shared" si="17"/>
        <v>#DIV/0!</v>
      </c>
      <c r="Q21" s="46">
        <f t="shared" si="17"/>
        <v>0.19891304347826086</v>
      </c>
      <c r="R21" s="47">
        <f t="shared" si="17"/>
        <v>0</v>
      </c>
    </row>
    <row r="22" spans="1:18">
      <c r="A22" s="15" t="s">
        <v>16</v>
      </c>
      <c r="B22" s="34">
        <f t="shared" ref="B22:G22" si="18">SUM(B23:B25)</f>
        <v>0</v>
      </c>
      <c r="C22" s="35">
        <f t="shared" si="18"/>
        <v>0</v>
      </c>
      <c r="D22" s="35">
        <f t="shared" si="18"/>
        <v>0</v>
      </c>
      <c r="E22" s="35">
        <f t="shared" si="18"/>
        <v>950</v>
      </c>
      <c r="F22" s="35">
        <f t="shared" si="18"/>
        <v>1137</v>
      </c>
      <c r="G22" s="35">
        <f t="shared" si="18"/>
        <v>0</v>
      </c>
      <c r="H22" s="48" t="e">
        <f t="shared" ref="H22:M22" si="19">B22/B5</f>
        <v>#DIV/0!</v>
      </c>
      <c r="I22" s="43" t="e">
        <f t="shared" si="19"/>
        <v>#DIV/0!</v>
      </c>
      <c r="J22" s="43" t="e">
        <f t="shared" si="19"/>
        <v>#DIV/0!</v>
      </c>
      <c r="K22" s="43">
        <f t="shared" si="19"/>
        <v>1.59889322927624E-3</v>
      </c>
      <c r="L22" s="43">
        <f t="shared" si="19"/>
        <v>1.8013650449628319E-3</v>
      </c>
      <c r="M22" s="43" t="e">
        <f t="shared" si="19"/>
        <v>#DIV/0!</v>
      </c>
      <c r="N22" s="48" t="e">
        <f t="shared" si="3"/>
        <v>#DIV/0!</v>
      </c>
      <c r="O22" s="43" t="e">
        <f t="shared" si="17"/>
        <v>#DIV/0!</v>
      </c>
      <c r="P22" s="43" t="e">
        <f t="shared" si="17"/>
        <v>#DIV/0!</v>
      </c>
      <c r="Q22" s="43">
        <f t="shared" si="17"/>
        <v>1.1968421052631579</v>
      </c>
      <c r="R22" s="49">
        <f t="shared" si="17"/>
        <v>0</v>
      </c>
    </row>
    <row r="23" spans="1:18" ht="13">
      <c r="A23" s="7" t="s">
        <v>130</v>
      </c>
      <c r="B23" s="28"/>
      <c r="C23" s="24"/>
      <c r="D23" s="24"/>
      <c r="E23" s="24"/>
      <c r="F23" s="24"/>
      <c r="G23" s="24"/>
      <c r="H23" s="45"/>
      <c r="I23" s="46"/>
      <c r="J23" s="46"/>
      <c r="K23" s="46"/>
      <c r="L23" s="46"/>
      <c r="M23" s="46"/>
      <c r="N23" s="45"/>
      <c r="O23" s="46"/>
      <c r="P23" s="46"/>
      <c r="Q23" s="46"/>
      <c r="R23" s="81"/>
    </row>
    <row r="24" spans="1:18">
      <c r="A24" s="7" t="s">
        <v>131</v>
      </c>
      <c r="B24" s="24"/>
      <c r="C24" s="24"/>
      <c r="D24" s="24"/>
      <c r="E24" s="24">
        <v>0</v>
      </c>
      <c r="F24" s="24">
        <v>87</v>
      </c>
      <c r="G24" s="24"/>
      <c r="H24" s="45" t="e">
        <f t="shared" ref="H24:M24" si="20">B24/B5</f>
        <v>#DIV/0!</v>
      </c>
      <c r="I24" s="46" t="e">
        <f t="shared" si="20"/>
        <v>#DIV/0!</v>
      </c>
      <c r="J24" s="46" t="e">
        <f t="shared" si="20"/>
        <v>#DIV/0!</v>
      </c>
      <c r="K24" s="46">
        <f t="shared" si="20"/>
        <v>0</v>
      </c>
      <c r="L24" s="46">
        <f t="shared" si="20"/>
        <v>1.3783532006311907E-4</v>
      </c>
      <c r="M24" s="46" t="e">
        <f t="shared" si="20"/>
        <v>#DIV/0!</v>
      </c>
      <c r="N24" s="45" t="e">
        <f t="shared" si="3"/>
        <v>#DIV/0!</v>
      </c>
      <c r="O24" s="46" t="e">
        <f t="shared" ref="O24:R27" si="21">D24/C24</f>
        <v>#DIV/0!</v>
      </c>
      <c r="P24" s="46" t="e">
        <f t="shared" si="21"/>
        <v>#DIV/0!</v>
      </c>
      <c r="Q24" s="46" t="e">
        <f t="shared" si="21"/>
        <v>#DIV/0!</v>
      </c>
      <c r="R24" s="47">
        <f t="shared" si="21"/>
        <v>0</v>
      </c>
    </row>
    <row r="25" spans="1:18">
      <c r="A25" s="7" t="s">
        <v>132</v>
      </c>
      <c r="B25" s="24"/>
      <c r="C25" s="24"/>
      <c r="D25" s="24"/>
      <c r="E25" s="24">
        <v>950</v>
      </c>
      <c r="F25" s="24">
        <v>1050</v>
      </c>
      <c r="G25" s="24"/>
      <c r="H25" s="45" t="e">
        <f t="shared" ref="H25:M25" si="22">B25/B5</f>
        <v>#DIV/0!</v>
      </c>
      <c r="I25" s="46" t="e">
        <f t="shared" si="22"/>
        <v>#DIV/0!</v>
      </c>
      <c r="J25" s="46" t="e">
        <f t="shared" si="22"/>
        <v>#DIV/0!</v>
      </c>
      <c r="K25" s="46">
        <f t="shared" si="22"/>
        <v>1.59889322927624E-3</v>
      </c>
      <c r="L25" s="46">
        <f t="shared" si="22"/>
        <v>1.6635297248997129E-3</v>
      </c>
      <c r="M25" s="46" t="e">
        <f t="shared" si="22"/>
        <v>#DIV/0!</v>
      </c>
      <c r="N25" s="45" t="e">
        <f t="shared" si="3"/>
        <v>#DIV/0!</v>
      </c>
      <c r="O25" s="46" t="e">
        <f t="shared" si="21"/>
        <v>#DIV/0!</v>
      </c>
      <c r="P25" s="46" t="e">
        <f t="shared" si="21"/>
        <v>#DIV/0!</v>
      </c>
      <c r="Q25" s="46">
        <f t="shared" si="21"/>
        <v>1.1052631578947369</v>
      </c>
      <c r="R25" s="47">
        <f t="shared" si="21"/>
        <v>0</v>
      </c>
    </row>
    <row r="26" spans="1:18">
      <c r="A26" s="15" t="s">
        <v>133</v>
      </c>
      <c r="B26" s="34">
        <f t="shared" ref="B26:G26" si="23">B17+B18-B22</f>
        <v>0</v>
      </c>
      <c r="C26" s="35">
        <f t="shared" si="23"/>
        <v>0</v>
      </c>
      <c r="D26" s="35">
        <f t="shared" si="23"/>
        <v>0</v>
      </c>
      <c r="E26" s="35">
        <f>E17+E18-E22</f>
        <v>102922</v>
      </c>
      <c r="F26" s="35">
        <f t="shared" si="23"/>
        <v>107843</v>
      </c>
      <c r="G26" s="35">
        <f t="shared" si="23"/>
        <v>0</v>
      </c>
      <c r="H26" s="48" t="e">
        <f t="shared" ref="H26:M26" si="24">B26/B5</f>
        <v>#DIV/0!</v>
      </c>
      <c r="I26" s="43" t="e">
        <f t="shared" si="24"/>
        <v>#DIV/0!</v>
      </c>
      <c r="J26" s="43" t="e">
        <f t="shared" si="24"/>
        <v>#DIV/0!</v>
      </c>
      <c r="K26" s="43">
        <f t="shared" si="24"/>
        <v>0.17322240941428332</v>
      </c>
      <c r="L26" s="43">
        <f t="shared" si="24"/>
        <v>0.17085717725939023</v>
      </c>
      <c r="M26" s="43" t="e">
        <f t="shared" si="24"/>
        <v>#DIV/0!</v>
      </c>
      <c r="N26" s="48" t="e">
        <f t="shared" si="3"/>
        <v>#DIV/0!</v>
      </c>
      <c r="O26" s="43" t="e">
        <f t="shared" si="21"/>
        <v>#DIV/0!</v>
      </c>
      <c r="P26" s="43" t="e">
        <f t="shared" si="21"/>
        <v>#DIV/0!</v>
      </c>
      <c r="Q26" s="43">
        <f t="shared" si="21"/>
        <v>1.0478129068615067</v>
      </c>
      <c r="R26" s="49">
        <f t="shared" si="21"/>
        <v>0</v>
      </c>
    </row>
    <row r="27" spans="1:18">
      <c r="A27" s="15" t="s">
        <v>17</v>
      </c>
      <c r="B27" s="34">
        <f>B29+B30+B32+B33+B34</f>
        <v>0</v>
      </c>
      <c r="C27" s="35">
        <f>C29+C30+C32+C33+C34</f>
        <v>0</v>
      </c>
      <c r="D27" s="35">
        <f t="shared" ref="D27:G27" si="25">D29+D30+D32+D33+D34</f>
        <v>0</v>
      </c>
      <c r="E27" s="35">
        <f t="shared" si="25"/>
        <v>7147</v>
      </c>
      <c r="F27" s="35">
        <f>F29+F30+F32+F33+F34</f>
        <v>7155</v>
      </c>
      <c r="G27" s="35">
        <f t="shared" si="25"/>
        <v>0</v>
      </c>
      <c r="H27" s="48" t="e">
        <f t="shared" ref="H27:M27" si="26">B27/B5</f>
        <v>#DIV/0!</v>
      </c>
      <c r="I27" s="43" t="e">
        <f t="shared" si="26"/>
        <v>#DIV/0!</v>
      </c>
      <c r="J27" s="43" t="e">
        <f t="shared" si="26"/>
        <v>#DIV/0!</v>
      </c>
      <c r="K27" s="43">
        <f t="shared" si="26"/>
        <v>1.2028726220670829E-2</v>
      </c>
      <c r="L27" s="43">
        <f t="shared" si="26"/>
        <v>1.1335766839673758E-2</v>
      </c>
      <c r="M27" s="43" t="e">
        <f t="shared" si="26"/>
        <v>#DIV/0!</v>
      </c>
      <c r="N27" s="48" t="e">
        <f t="shared" si="3"/>
        <v>#DIV/0!</v>
      </c>
      <c r="O27" s="43" t="e">
        <f t="shared" si="21"/>
        <v>#DIV/0!</v>
      </c>
      <c r="P27" s="43" t="e">
        <f t="shared" si="21"/>
        <v>#DIV/0!</v>
      </c>
      <c r="Q27" s="43">
        <f t="shared" si="21"/>
        <v>1.0011193507765497</v>
      </c>
      <c r="R27" s="49">
        <f t="shared" si="21"/>
        <v>0</v>
      </c>
    </row>
    <row r="28" spans="1:18" ht="13">
      <c r="A28" s="7" t="s">
        <v>134</v>
      </c>
      <c r="B28" s="24"/>
      <c r="C28" s="24"/>
      <c r="D28" s="24"/>
      <c r="E28" s="24"/>
      <c r="F28" s="24"/>
      <c r="G28" s="24"/>
      <c r="H28" s="45"/>
      <c r="I28" s="46"/>
      <c r="J28" s="46"/>
      <c r="K28" s="46"/>
      <c r="L28" s="46"/>
      <c r="M28" s="46"/>
      <c r="N28" s="45"/>
      <c r="O28" s="46"/>
      <c r="P28" s="46"/>
      <c r="Q28" s="46"/>
      <c r="R28" s="81"/>
    </row>
    <row r="29" spans="1:18" ht="13">
      <c r="A29" s="7" t="s">
        <v>120</v>
      </c>
      <c r="B29" s="24"/>
      <c r="C29" s="24"/>
      <c r="D29" s="24"/>
      <c r="E29" s="24"/>
      <c r="F29" s="24"/>
      <c r="G29" s="24"/>
      <c r="H29" s="45"/>
      <c r="I29" s="46"/>
      <c r="J29" s="46"/>
      <c r="K29" s="46"/>
      <c r="L29" s="46"/>
      <c r="M29" s="46"/>
      <c r="N29" s="45"/>
      <c r="O29" s="46"/>
      <c r="P29" s="46"/>
      <c r="Q29" s="46"/>
      <c r="R29" s="81"/>
    </row>
    <row r="30" spans="1:18">
      <c r="A30" s="7" t="s">
        <v>135</v>
      </c>
      <c r="B30" s="24"/>
      <c r="C30" s="24"/>
      <c r="D30" s="24"/>
      <c r="E30" s="24">
        <v>7147</v>
      </c>
      <c r="F30" s="24">
        <v>6765</v>
      </c>
      <c r="G30" s="24"/>
      <c r="H30" s="45" t="e">
        <f t="shared" ref="H30:M30" si="27">B30/B5</f>
        <v>#DIV/0!</v>
      </c>
      <c r="I30" s="46" t="e">
        <f t="shared" si="27"/>
        <v>#DIV/0!</v>
      </c>
      <c r="J30" s="46" t="e">
        <f t="shared" si="27"/>
        <v>#DIV/0!</v>
      </c>
      <c r="K30" s="46">
        <f t="shared" si="27"/>
        <v>1.2028726220670829E-2</v>
      </c>
      <c r="L30" s="46">
        <f t="shared" si="27"/>
        <v>1.0717884370425293E-2</v>
      </c>
      <c r="M30" s="46" t="e">
        <f t="shared" si="27"/>
        <v>#DIV/0!</v>
      </c>
      <c r="N30" s="45" t="e">
        <f t="shared" si="3"/>
        <v>#DIV/0!</v>
      </c>
      <c r="O30" s="46" t="e">
        <f>D30/C30</f>
        <v>#DIV/0!</v>
      </c>
      <c r="P30" s="46" t="e">
        <f>E30/D30</f>
        <v>#DIV/0!</v>
      </c>
      <c r="Q30" s="46">
        <f>F30/E30</f>
        <v>0.94655100041975659</v>
      </c>
      <c r="R30" s="47">
        <f>G30/F30</f>
        <v>0</v>
      </c>
    </row>
    <row r="31" spans="1:18" ht="13">
      <c r="A31" s="7" t="s">
        <v>120</v>
      </c>
      <c r="B31" s="24"/>
      <c r="C31" s="24"/>
      <c r="D31" s="24"/>
      <c r="E31" s="24">
        <v>37</v>
      </c>
      <c r="F31" s="24">
        <f>41+257</f>
        <v>298</v>
      </c>
      <c r="G31" s="24"/>
      <c r="H31" s="45"/>
      <c r="I31" s="46"/>
      <c r="J31" s="46"/>
      <c r="K31" s="46"/>
      <c r="L31" s="46"/>
      <c r="M31" s="46"/>
      <c r="N31" s="45"/>
      <c r="O31" s="46"/>
      <c r="P31" s="46"/>
      <c r="Q31" s="46"/>
      <c r="R31" s="81"/>
    </row>
    <row r="32" spans="1:18" ht="13">
      <c r="A32" s="7" t="s">
        <v>136</v>
      </c>
      <c r="B32" s="24"/>
      <c r="C32" s="24"/>
      <c r="D32" s="24"/>
      <c r="E32" s="24"/>
      <c r="F32" s="24">
        <v>257</v>
      </c>
      <c r="G32" s="24"/>
      <c r="H32" s="45"/>
      <c r="I32" s="46"/>
      <c r="J32" s="46"/>
      <c r="K32" s="46"/>
      <c r="L32" s="46"/>
      <c r="M32" s="46"/>
      <c r="N32" s="45"/>
      <c r="O32" s="46"/>
      <c r="P32" s="46"/>
      <c r="Q32" s="46"/>
      <c r="R32" s="81"/>
    </row>
    <row r="33" spans="1:18" ht="13">
      <c r="A33" s="7" t="s">
        <v>137</v>
      </c>
      <c r="B33" s="24"/>
      <c r="C33" s="24"/>
      <c r="D33" s="24"/>
      <c r="E33" s="24"/>
      <c r="F33" s="24"/>
      <c r="G33" s="24"/>
      <c r="H33" s="45"/>
      <c r="I33" s="46"/>
      <c r="J33" s="46"/>
      <c r="K33" s="46"/>
      <c r="L33" s="46"/>
      <c r="M33" s="46"/>
      <c r="N33" s="45"/>
      <c r="O33" s="46"/>
      <c r="P33" s="46"/>
      <c r="Q33" s="46"/>
      <c r="R33" s="81"/>
    </row>
    <row r="34" spans="1:18" ht="13">
      <c r="A34" s="7" t="s">
        <v>138</v>
      </c>
      <c r="B34" s="28"/>
      <c r="C34" s="24"/>
      <c r="D34" s="24"/>
      <c r="E34" s="24">
        <v>0</v>
      </c>
      <c r="F34" s="24">
        <v>133</v>
      </c>
      <c r="G34" s="24"/>
      <c r="H34" s="45"/>
      <c r="I34" s="46"/>
      <c r="J34" s="46"/>
      <c r="K34" s="46"/>
      <c r="L34" s="46"/>
      <c r="M34" s="46"/>
      <c r="N34" s="45"/>
      <c r="O34" s="46"/>
      <c r="P34" s="46"/>
      <c r="Q34" s="46"/>
      <c r="R34" s="81"/>
    </row>
    <row r="35" spans="1:18">
      <c r="A35" s="15" t="s">
        <v>18</v>
      </c>
      <c r="B35" s="34">
        <f>B36+B38+B39+B40</f>
        <v>0</v>
      </c>
      <c r="C35" s="35">
        <f t="shared" ref="C35:G35" si="28">C36+C38+C39+C40</f>
        <v>0</v>
      </c>
      <c r="D35" s="35">
        <f t="shared" si="28"/>
        <v>0</v>
      </c>
      <c r="E35" s="35">
        <f t="shared" si="28"/>
        <v>1386</v>
      </c>
      <c r="F35" s="35">
        <f t="shared" si="28"/>
        <v>4</v>
      </c>
      <c r="G35" s="35">
        <f t="shared" si="28"/>
        <v>0</v>
      </c>
      <c r="H35" s="48" t="e">
        <f t="shared" ref="H35:M35" si="29">B35/B5</f>
        <v>#DIV/0!</v>
      </c>
      <c r="I35" s="43" t="e">
        <f t="shared" si="29"/>
        <v>#DIV/0!</v>
      </c>
      <c r="J35" s="43" t="e">
        <f t="shared" si="29"/>
        <v>#DIV/0!</v>
      </c>
      <c r="K35" s="43">
        <f t="shared" si="29"/>
        <v>2.3327010692388091E-3</v>
      </c>
      <c r="L35" s="43">
        <f t="shared" si="29"/>
        <v>6.3372560948560492E-6</v>
      </c>
      <c r="M35" s="43" t="e">
        <f t="shared" si="29"/>
        <v>#DIV/0!</v>
      </c>
      <c r="N35" s="48" t="e">
        <f t="shared" si="3"/>
        <v>#DIV/0!</v>
      </c>
      <c r="O35" s="43" t="e">
        <f t="shared" ref="O35:R36" si="30">D35/C35</f>
        <v>#DIV/0!</v>
      </c>
      <c r="P35" s="43" t="e">
        <f t="shared" si="30"/>
        <v>#DIV/0!</v>
      </c>
      <c r="Q35" s="43">
        <f t="shared" si="30"/>
        <v>2.886002886002886E-3</v>
      </c>
      <c r="R35" s="49">
        <f t="shared" si="30"/>
        <v>0</v>
      </c>
    </row>
    <row r="36" spans="1:18">
      <c r="A36" s="7" t="s">
        <v>135</v>
      </c>
      <c r="B36" s="24"/>
      <c r="C36" s="24"/>
      <c r="D36" s="24"/>
      <c r="E36" s="24">
        <f>2+535</f>
        <v>537</v>
      </c>
      <c r="F36" s="24">
        <v>2</v>
      </c>
      <c r="G36" s="24"/>
      <c r="H36" s="45" t="e">
        <f t="shared" ref="H36:M36" si="31">B36/B5</f>
        <v>#DIV/0!</v>
      </c>
      <c r="I36" s="46" t="e">
        <f t="shared" si="31"/>
        <v>#DIV/0!</v>
      </c>
      <c r="J36" s="46" t="e">
        <f t="shared" si="31"/>
        <v>#DIV/0!</v>
      </c>
      <c r="K36" s="46">
        <f t="shared" si="31"/>
        <v>9.0379543591720087E-4</v>
      </c>
      <c r="L36" s="46">
        <f t="shared" si="31"/>
        <v>3.1686280474280246E-6</v>
      </c>
      <c r="M36" s="46" t="e">
        <f t="shared" si="31"/>
        <v>#DIV/0!</v>
      </c>
      <c r="N36" s="45" t="e">
        <f t="shared" si="3"/>
        <v>#DIV/0!</v>
      </c>
      <c r="O36" s="46" t="e">
        <f t="shared" si="30"/>
        <v>#DIV/0!</v>
      </c>
      <c r="P36" s="46" t="e">
        <f t="shared" si="30"/>
        <v>#DIV/0!</v>
      </c>
      <c r="Q36" s="46">
        <f t="shared" si="30"/>
        <v>3.7243947858472998E-3</v>
      </c>
      <c r="R36" s="47">
        <f t="shared" si="30"/>
        <v>0</v>
      </c>
    </row>
    <row r="37" spans="1:18" ht="13">
      <c r="A37" s="7" t="s">
        <v>139</v>
      </c>
      <c r="B37" s="28"/>
      <c r="C37" s="24"/>
      <c r="D37" s="24"/>
      <c r="E37" s="24">
        <v>535</v>
      </c>
      <c r="F37" s="24"/>
      <c r="G37" s="24"/>
      <c r="H37" s="45"/>
      <c r="I37" s="46"/>
      <c r="J37" s="46"/>
      <c r="K37" s="46"/>
      <c r="L37" s="46"/>
      <c r="M37" s="46"/>
      <c r="N37" s="45"/>
      <c r="O37" s="46"/>
      <c r="P37" s="46"/>
      <c r="Q37" s="46"/>
      <c r="R37" s="81"/>
    </row>
    <row r="38" spans="1:18" ht="13">
      <c r="A38" s="7" t="s">
        <v>140</v>
      </c>
      <c r="B38" s="28"/>
      <c r="C38" s="24"/>
      <c r="D38" s="24"/>
      <c r="E38" s="24"/>
      <c r="F38" s="24"/>
      <c r="G38" s="24"/>
      <c r="H38" s="45"/>
      <c r="I38" s="46"/>
      <c r="J38" s="46"/>
      <c r="K38" s="46"/>
      <c r="L38" s="46"/>
      <c r="M38" s="46"/>
      <c r="N38" s="45"/>
      <c r="O38" s="46"/>
      <c r="P38" s="46"/>
      <c r="Q38" s="46"/>
      <c r="R38" s="81"/>
    </row>
    <row r="39" spans="1:18" ht="13">
      <c r="A39" s="7" t="s">
        <v>137</v>
      </c>
      <c r="B39" s="28"/>
      <c r="C39" s="24"/>
      <c r="D39" s="24"/>
      <c r="E39" s="24"/>
      <c r="F39" s="24"/>
      <c r="G39" s="24"/>
      <c r="H39" s="45"/>
      <c r="I39" s="46"/>
      <c r="J39" s="46"/>
      <c r="K39" s="46"/>
      <c r="L39" s="46"/>
      <c r="M39" s="46"/>
      <c r="N39" s="45"/>
      <c r="O39" s="46"/>
      <c r="P39" s="46"/>
      <c r="Q39" s="46"/>
      <c r="R39" s="81"/>
    </row>
    <row r="40" spans="1:18" ht="13">
      <c r="A40" s="7" t="s">
        <v>138</v>
      </c>
      <c r="B40" s="28"/>
      <c r="C40" s="24"/>
      <c r="D40" s="24"/>
      <c r="E40" s="24">
        <v>849</v>
      </c>
      <c r="F40" s="24">
        <v>2</v>
      </c>
      <c r="G40" s="24"/>
      <c r="H40" s="45"/>
      <c r="I40" s="46"/>
      <c r="J40" s="46"/>
      <c r="K40" s="46"/>
      <c r="L40" s="46"/>
      <c r="M40" s="46"/>
      <c r="N40" s="45"/>
      <c r="O40" s="46"/>
      <c r="P40" s="46"/>
      <c r="Q40" s="46"/>
      <c r="R40" s="81"/>
    </row>
    <row r="41" spans="1:18">
      <c r="A41" s="15" t="s">
        <v>141</v>
      </c>
      <c r="B41" s="34">
        <f t="shared" ref="B41:G41" si="32">B26+B27-B35</f>
        <v>0</v>
      </c>
      <c r="C41" s="35">
        <f t="shared" si="32"/>
        <v>0</v>
      </c>
      <c r="D41" s="35">
        <f t="shared" si="32"/>
        <v>0</v>
      </c>
      <c r="E41" s="35">
        <f t="shared" si="32"/>
        <v>108683</v>
      </c>
      <c r="F41" s="35">
        <f>F26+F27-F35</f>
        <v>114994</v>
      </c>
      <c r="G41" s="35">
        <f t="shared" si="32"/>
        <v>0</v>
      </c>
      <c r="H41" s="48" t="e">
        <f t="shared" ref="H41:M41" si="33">B41/B5</f>
        <v>#DIV/0!</v>
      </c>
      <c r="I41" s="43" t="e">
        <f t="shared" si="33"/>
        <v>#DIV/0!</v>
      </c>
      <c r="J41" s="43" t="e">
        <f t="shared" si="33"/>
        <v>#DIV/0!</v>
      </c>
      <c r="K41" s="43">
        <f t="shared" si="33"/>
        <v>0.18291843456571535</v>
      </c>
      <c r="L41" s="43">
        <f t="shared" si="33"/>
        <v>0.18218660684296914</v>
      </c>
      <c r="M41" s="43" t="e">
        <f t="shared" si="33"/>
        <v>#DIV/0!</v>
      </c>
      <c r="N41" s="48" t="e">
        <f t="shared" si="3"/>
        <v>#DIV/0!</v>
      </c>
      <c r="O41" s="43" t="e">
        <f t="shared" ref="O41:R46" si="34">D41/C41</f>
        <v>#DIV/0!</v>
      </c>
      <c r="P41" s="43" t="e">
        <f t="shared" si="34"/>
        <v>#DIV/0!</v>
      </c>
      <c r="Q41" s="43">
        <f t="shared" si="34"/>
        <v>1.0580679591104405</v>
      </c>
      <c r="R41" s="49">
        <f t="shared" si="34"/>
        <v>0</v>
      </c>
    </row>
    <row r="42" spans="1:18">
      <c r="A42" s="15" t="s">
        <v>142</v>
      </c>
      <c r="B42" s="34">
        <f t="shared" ref="B42:G42" si="35">B43-B44</f>
        <v>0</v>
      </c>
      <c r="C42" s="35">
        <f t="shared" si="35"/>
        <v>0</v>
      </c>
      <c r="D42" s="35">
        <f t="shared" si="35"/>
        <v>0</v>
      </c>
      <c r="E42" s="35">
        <f t="shared" si="35"/>
        <v>0</v>
      </c>
      <c r="F42" s="35">
        <f t="shared" si="35"/>
        <v>0</v>
      </c>
      <c r="G42" s="35">
        <f t="shared" si="35"/>
        <v>0</v>
      </c>
      <c r="H42" s="48" t="e">
        <f t="shared" ref="H42:M42" si="36">B42/B5</f>
        <v>#DIV/0!</v>
      </c>
      <c r="I42" s="43" t="e">
        <f t="shared" si="36"/>
        <v>#DIV/0!</v>
      </c>
      <c r="J42" s="43" t="e">
        <f t="shared" si="36"/>
        <v>#DIV/0!</v>
      </c>
      <c r="K42" s="43">
        <f t="shared" si="36"/>
        <v>0</v>
      </c>
      <c r="L42" s="43">
        <f t="shared" si="36"/>
        <v>0</v>
      </c>
      <c r="M42" s="43" t="e">
        <f t="shared" si="36"/>
        <v>#DIV/0!</v>
      </c>
      <c r="N42" s="48" t="e">
        <f t="shared" si="3"/>
        <v>#DIV/0!</v>
      </c>
      <c r="O42" s="43" t="e">
        <f t="shared" si="34"/>
        <v>#DIV/0!</v>
      </c>
      <c r="P42" s="43" t="e">
        <f t="shared" si="34"/>
        <v>#DIV/0!</v>
      </c>
      <c r="Q42" s="43" t="e">
        <f t="shared" si="34"/>
        <v>#DIV/0!</v>
      </c>
      <c r="R42" s="49" t="e">
        <f t="shared" si="34"/>
        <v>#DIV/0!</v>
      </c>
    </row>
    <row r="43" spans="1:18">
      <c r="A43" s="7" t="s">
        <v>143</v>
      </c>
      <c r="B43" s="28"/>
      <c r="C43" s="24"/>
      <c r="D43" s="24"/>
      <c r="E43" s="24"/>
      <c r="F43" s="24"/>
      <c r="G43" s="24"/>
      <c r="H43" s="45" t="e">
        <f t="shared" ref="H43:M43" si="37">B43/B5</f>
        <v>#DIV/0!</v>
      </c>
      <c r="I43" s="46" t="e">
        <f t="shared" si="37"/>
        <v>#DIV/0!</v>
      </c>
      <c r="J43" s="46" t="e">
        <f t="shared" si="37"/>
        <v>#DIV/0!</v>
      </c>
      <c r="K43" s="46">
        <f t="shared" si="37"/>
        <v>0</v>
      </c>
      <c r="L43" s="46">
        <f t="shared" si="37"/>
        <v>0</v>
      </c>
      <c r="M43" s="46" t="e">
        <f t="shared" si="37"/>
        <v>#DIV/0!</v>
      </c>
      <c r="N43" s="45" t="e">
        <f t="shared" si="3"/>
        <v>#DIV/0!</v>
      </c>
      <c r="O43" s="46" t="e">
        <f t="shared" si="34"/>
        <v>#DIV/0!</v>
      </c>
      <c r="P43" s="46" t="e">
        <f t="shared" si="34"/>
        <v>#DIV/0!</v>
      </c>
      <c r="Q43" s="46" t="e">
        <f t="shared" si="34"/>
        <v>#DIV/0!</v>
      </c>
      <c r="R43" s="47" t="e">
        <f t="shared" si="34"/>
        <v>#DIV/0!</v>
      </c>
    </row>
    <row r="44" spans="1:18">
      <c r="A44" s="7" t="s">
        <v>144</v>
      </c>
      <c r="B44" s="28"/>
      <c r="C44" s="24"/>
      <c r="D44" s="24"/>
      <c r="E44" s="24"/>
      <c r="F44" s="24"/>
      <c r="G44" s="24"/>
      <c r="H44" s="45" t="e">
        <f t="shared" ref="H44:M44" si="38">B44/B5</f>
        <v>#DIV/0!</v>
      </c>
      <c r="I44" s="46" t="e">
        <f t="shared" si="38"/>
        <v>#DIV/0!</v>
      </c>
      <c r="J44" s="46" t="e">
        <f t="shared" si="38"/>
        <v>#DIV/0!</v>
      </c>
      <c r="K44" s="46">
        <f t="shared" si="38"/>
        <v>0</v>
      </c>
      <c r="L44" s="46">
        <f t="shared" si="38"/>
        <v>0</v>
      </c>
      <c r="M44" s="46" t="e">
        <f t="shared" si="38"/>
        <v>#DIV/0!</v>
      </c>
      <c r="N44" s="45" t="e">
        <f t="shared" si="3"/>
        <v>#DIV/0!</v>
      </c>
      <c r="O44" s="46" t="e">
        <f t="shared" si="34"/>
        <v>#DIV/0!</v>
      </c>
      <c r="P44" s="46" t="e">
        <f t="shared" si="34"/>
        <v>#DIV/0!</v>
      </c>
      <c r="Q44" s="46" t="e">
        <f t="shared" si="34"/>
        <v>#DIV/0!</v>
      </c>
      <c r="R44" s="47" t="e">
        <f t="shared" si="34"/>
        <v>#DIV/0!</v>
      </c>
    </row>
    <row r="45" spans="1:18">
      <c r="A45" s="15" t="s">
        <v>145</v>
      </c>
      <c r="B45" s="34">
        <f>B41-B42</f>
        <v>0</v>
      </c>
      <c r="C45" s="34">
        <f>C41-C42</f>
        <v>0</v>
      </c>
      <c r="D45" s="35">
        <f>D41-D42</f>
        <v>0</v>
      </c>
      <c r="E45" s="35">
        <f>E41+E42</f>
        <v>108683</v>
      </c>
      <c r="F45" s="35">
        <f>F41+F42</f>
        <v>114994</v>
      </c>
      <c r="G45" s="35">
        <f>G41+G42</f>
        <v>0</v>
      </c>
      <c r="H45" s="48" t="e">
        <f t="shared" ref="H45:M45" si="39">B45/B5</f>
        <v>#DIV/0!</v>
      </c>
      <c r="I45" s="43" t="e">
        <f t="shared" si="39"/>
        <v>#DIV/0!</v>
      </c>
      <c r="J45" s="43" t="e">
        <f t="shared" si="39"/>
        <v>#DIV/0!</v>
      </c>
      <c r="K45" s="43">
        <f t="shared" si="39"/>
        <v>0.18291843456571535</v>
      </c>
      <c r="L45" s="43">
        <f t="shared" si="39"/>
        <v>0.18218660684296914</v>
      </c>
      <c r="M45" s="43" t="e">
        <f t="shared" si="39"/>
        <v>#DIV/0!</v>
      </c>
      <c r="N45" s="48" t="e">
        <f t="shared" si="3"/>
        <v>#DIV/0!</v>
      </c>
      <c r="O45" s="43" t="e">
        <f t="shared" si="34"/>
        <v>#DIV/0!</v>
      </c>
      <c r="P45" s="43" t="e">
        <f t="shared" si="34"/>
        <v>#DIV/0!</v>
      </c>
      <c r="Q45" s="43">
        <f t="shared" si="34"/>
        <v>1.0580679591104405</v>
      </c>
      <c r="R45" s="49">
        <f t="shared" si="34"/>
        <v>0</v>
      </c>
    </row>
    <row r="46" spans="1:18">
      <c r="A46" s="15" t="s">
        <v>146</v>
      </c>
      <c r="B46" s="28"/>
      <c r="C46" s="24"/>
      <c r="D46" s="24"/>
      <c r="E46" s="24">
        <v>20648</v>
      </c>
      <c r="F46" s="24">
        <v>22126</v>
      </c>
      <c r="G46" s="24"/>
      <c r="H46" s="45" t="e">
        <f t="shared" ref="H46:M46" si="40">B46/B5</f>
        <v>#DIV/0!</v>
      </c>
      <c r="I46" s="46" t="e">
        <f t="shared" si="40"/>
        <v>#DIV/0!</v>
      </c>
      <c r="J46" s="46" t="e">
        <f t="shared" si="40"/>
        <v>#DIV/0!</v>
      </c>
      <c r="K46" s="46">
        <f t="shared" si="40"/>
        <v>3.4751523576942951E-2</v>
      </c>
      <c r="L46" s="46">
        <f t="shared" si="40"/>
        <v>3.5054532088696237E-2</v>
      </c>
      <c r="M46" s="46" t="e">
        <f t="shared" si="40"/>
        <v>#DIV/0!</v>
      </c>
      <c r="N46" s="45" t="e">
        <f t="shared" si="3"/>
        <v>#DIV/0!</v>
      </c>
      <c r="O46" s="46" t="e">
        <f t="shared" si="34"/>
        <v>#DIV/0!</v>
      </c>
      <c r="P46" s="46" t="e">
        <f t="shared" si="34"/>
        <v>#DIV/0!</v>
      </c>
      <c r="Q46" s="46">
        <f t="shared" si="34"/>
        <v>1.0715807826423867</v>
      </c>
      <c r="R46" s="47">
        <f t="shared" si="34"/>
        <v>0</v>
      </c>
    </row>
    <row r="47" spans="1:18" ht="13">
      <c r="A47" s="15" t="s">
        <v>147</v>
      </c>
      <c r="B47" s="28"/>
      <c r="C47" s="24"/>
      <c r="D47" s="24"/>
      <c r="E47" s="24"/>
      <c r="F47" s="24"/>
      <c r="G47" s="24"/>
      <c r="H47" s="45"/>
      <c r="I47" s="46"/>
      <c r="J47" s="46"/>
      <c r="K47" s="46"/>
      <c r="L47" s="46"/>
      <c r="M47" s="46"/>
      <c r="N47" s="45"/>
      <c r="O47" s="46"/>
      <c r="P47" s="46"/>
      <c r="Q47" s="46"/>
      <c r="R47" s="81"/>
    </row>
    <row r="48" spans="1:18">
      <c r="A48" s="16" t="s">
        <v>148</v>
      </c>
      <c r="B48" s="36">
        <f t="shared" ref="B48:G48" si="41">B45-B46-B47</f>
        <v>0</v>
      </c>
      <c r="C48" s="37">
        <f t="shared" si="41"/>
        <v>0</v>
      </c>
      <c r="D48" s="37">
        <f t="shared" si="41"/>
        <v>0</v>
      </c>
      <c r="E48" s="37">
        <f t="shared" si="41"/>
        <v>88035</v>
      </c>
      <c r="F48" s="37">
        <f t="shared" si="41"/>
        <v>92868</v>
      </c>
      <c r="G48" s="37">
        <f t="shared" si="41"/>
        <v>0</v>
      </c>
      <c r="H48" s="50" t="e">
        <f t="shared" ref="H48:M48" si="42">B48/B5</f>
        <v>#DIV/0!</v>
      </c>
      <c r="I48" s="51" t="e">
        <f t="shared" si="42"/>
        <v>#DIV/0!</v>
      </c>
      <c r="J48" s="51" t="e">
        <f t="shared" si="42"/>
        <v>#DIV/0!</v>
      </c>
      <c r="K48" s="51">
        <f t="shared" si="42"/>
        <v>0.14816691098877241</v>
      </c>
      <c r="L48" s="51">
        <f t="shared" si="42"/>
        <v>0.1471320747542729</v>
      </c>
      <c r="M48" s="51" t="e">
        <f t="shared" si="42"/>
        <v>#DIV/0!</v>
      </c>
      <c r="N48" s="50" t="e">
        <f t="shared" si="3"/>
        <v>#DIV/0!</v>
      </c>
      <c r="O48" s="51" t="e">
        <f>D48/C48</f>
        <v>#DIV/0!</v>
      </c>
      <c r="P48" s="51" t="e">
        <f>E48/D48</f>
        <v>#DIV/0!</v>
      </c>
      <c r="Q48" s="51">
        <f>F48/E48</f>
        <v>1.0548986198670982</v>
      </c>
      <c r="R48" s="52">
        <f>G48/F48</f>
        <v>0</v>
      </c>
    </row>
    <row r="50" spans="1:7">
      <c r="A50" s="19" t="s">
        <v>24</v>
      </c>
      <c r="B50" s="24">
        <f t="shared" ref="B50:G50" si="43">B5+B18+B27+B43</f>
        <v>0</v>
      </c>
      <c r="C50" s="24">
        <f t="shared" si="43"/>
        <v>0</v>
      </c>
      <c r="D50" s="24">
        <f t="shared" si="43"/>
        <v>0</v>
      </c>
      <c r="E50" s="24">
        <f t="shared" si="43"/>
        <v>603228</v>
      </c>
      <c r="F50" s="24">
        <f t="shared" si="43"/>
        <v>639141</v>
      </c>
      <c r="G50" s="24">
        <f t="shared" si="43"/>
        <v>0</v>
      </c>
    </row>
    <row r="51" spans="1:7">
      <c r="B51" s="24"/>
      <c r="C51" s="24"/>
      <c r="D51" s="24"/>
      <c r="E51" s="24"/>
      <c r="F51" s="24"/>
      <c r="G51" s="24"/>
    </row>
    <row r="52" spans="1:7">
      <c r="B52" s="35">
        <f>'bilans '!B87</f>
        <v>0</v>
      </c>
      <c r="C52" s="35">
        <f>'bilans '!C87</f>
        <v>0</v>
      </c>
      <c r="D52" s="35">
        <f>'bilans '!D87</f>
        <v>0</v>
      </c>
      <c r="E52" s="35">
        <f>'bilans '!E87</f>
        <v>88035</v>
      </c>
      <c r="F52" s="35">
        <f>'bilans '!F87</f>
        <v>92868</v>
      </c>
      <c r="G52" s="35">
        <f>'bilans '!G87</f>
        <v>0</v>
      </c>
    </row>
    <row r="53" spans="1:7">
      <c r="B53" s="39">
        <f>B48-B52</f>
        <v>0</v>
      </c>
      <c r="C53" s="39">
        <f t="shared" ref="C53:G53" si="44">C48-C52</f>
        <v>0</v>
      </c>
      <c r="D53" s="39">
        <f t="shared" si="44"/>
        <v>0</v>
      </c>
      <c r="E53" s="39">
        <f t="shared" si="44"/>
        <v>0</v>
      </c>
      <c r="F53" s="39">
        <f t="shared" si="44"/>
        <v>0</v>
      </c>
      <c r="G53" s="39">
        <f t="shared" si="44"/>
        <v>0</v>
      </c>
    </row>
    <row r="55" spans="1:7">
      <c r="A55" s="108" t="s">
        <v>211</v>
      </c>
      <c r="B55" s="70">
        <f>B26</f>
        <v>0</v>
      </c>
      <c r="C55" s="70">
        <f t="shared" ref="C55:G55" si="45">C26</f>
        <v>0</v>
      </c>
      <c r="D55" s="70">
        <f t="shared" si="45"/>
        <v>0</v>
      </c>
      <c r="E55" s="70">
        <f t="shared" si="45"/>
        <v>102922</v>
      </c>
      <c r="F55" s="70">
        <f t="shared" si="45"/>
        <v>107843</v>
      </c>
      <c r="G55" s="70">
        <f t="shared" si="45"/>
        <v>0</v>
      </c>
    </row>
    <row r="63" spans="1:7" ht="11" thickBot="1"/>
    <row r="64" spans="1:7">
      <c r="A64" s="217"/>
      <c r="B64" s="219" t="s">
        <v>203</v>
      </c>
      <c r="C64" s="219"/>
      <c r="D64" s="219"/>
      <c r="E64" s="219"/>
      <c r="F64" s="220"/>
    </row>
    <row r="65" spans="1:16">
      <c r="A65" s="218"/>
      <c r="B65" s="159">
        <v>2011</v>
      </c>
      <c r="C65" s="159">
        <v>2012</v>
      </c>
      <c r="D65" s="159">
        <v>2013</v>
      </c>
      <c r="E65" s="159">
        <v>2014</v>
      </c>
      <c r="F65" s="174">
        <v>2015</v>
      </c>
    </row>
    <row r="66" spans="1:16">
      <c r="A66" s="175" t="s">
        <v>256</v>
      </c>
      <c r="B66" s="160">
        <f>SUM(B67:B68)</f>
        <v>0</v>
      </c>
      <c r="C66" s="160">
        <f t="shared" ref="C66:F66" si="46">SUM(C67:C68)</f>
        <v>0</v>
      </c>
      <c r="D66" s="161">
        <f t="shared" si="46"/>
        <v>0</v>
      </c>
      <c r="E66" s="161">
        <f t="shared" si="46"/>
        <v>0</v>
      </c>
      <c r="F66" s="176">
        <f t="shared" si="46"/>
        <v>0</v>
      </c>
      <c r="H66" s="222" t="s">
        <v>262</v>
      </c>
      <c r="I66" s="222"/>
    </row>
    <row r="67" spans="1:16">
      <c r="A67" s="177" t="s">
        <v>121</v>
      </c>
      <c r="B67" s="162"/>
      <c r="C67" s="162"/>
      <c r="D67" s="163">
        <f>+I67</f>
        <v>0</v>
      </c>
      <c r="E67" s="164"/>
      <c r="F67" s="178"/>
      <c r="H67" s="140">
        <v>2013</v>
      </c>
      <c r="I67" s="139">
        <v>0</v>
      </c>
    </row>
    <row r="68" spans="1:16" ht="22.5">
      <c r="A68" s="177" t="s">
        <v>122</v>
      </c>
      <c r="B68" s="165"/>
      <c r="C68" s="166"/>
      <c r="D68" s="166"/>
      <c r="E68" s="166"/>
      <c r="F68" s="179"/>
      <c r="H68" s="140">
        <v>2014</v>
      </c>
      <c r="I68" s="139"/>
    </row>
    <row r="69" spans="1:16">
      <c r="A69" s="175" t="s">
        <v>257</v>
      </c>
      <c r="B69" s="160">
        <f>SUM(B70:B71)</f>
        <v>0</v>
      </c>
      <c r="C69" s="160">
        <f t="shared" ref="C69:F69" si="47">SUM(C70:C71)</f>
        <v>0</v>
      </c>
      <c r="D69" s="167">
        <f t="shared" si="47"/>
        <v>0</v>
      </c>
      <c r="E69" s="167">
        <f t="shared" si="47"/>
        <v>0</v>
      </c>
      <c r="F69" s="180">
        <f t="shared" si="47"/>
        <v>0</v>
      </c>
      <c r="H69" s="140">
        <v>2015</v>
      </c>
      <c r="I69" s="139"/>
    </row>
    <row r="70" spans="1:16">
      <c r="A70" s="181" t="s">
        <v>8</v>
      </c>
      <c r="B70" s="162"/>
      <c r="C70" s="162"/>
      <c r="D70" s="168"/>
      <c r="E70" s="169"/>
      <c r="F70" s="182"/>
      <c r="H70" s="140"/>
      <c r="I70" s="140"/>
    </row>
    <row r="71" spans="1:16" ht="22.5">
      <c r="A71" s="181" t="s">
        <v>125</v>
      </c>
      <c r="B71" s="165"/>
      <c r="C71" s="166"/>
      <c r="D71" s="166"/>
      <c r="E71" s="166"/>
      <c r="F71" s="179"/>
      <c r="H71" s="221" t="s">
        <v>263</v>
      </c>
      <c r="I71" s="221"/>
    </row>
    <row r="72" spans="1:16">
      <c r="A72" s="175" t="s">
        <v>126</v>
      </c>
      <c r="B72" s="160"/>
      <c r="C72" s="160"/>
      <c r="D72" s="160"/>
      <c r="E72" s="170"/>
      <c r="F72" s="183"/>
      <c r="H72" s="140">
        <v>2013</v>
      </c>
      <c r="I72" s="139">
        <v>0</v>
      </c>
    </row>
    <row r="73" spans="1:16">
      <c r="A73" s="175" t="s">
        <v>13</v>
      </c>
      <c r="B73" s="162"/>
      <c r="C73" s="162"/>
      <c r="D73" s="162"/>
      <c r="E73" s="133"/>
      <c r="F73" s="149"/>
      <c r="H73" s="140">
        <v>2014</v>
      </c>
      <c r="I73" s="139"/>
    </row>
    <row r="74" spans="1:16">
      <c r="A74" s="175" t="s">
        <v>14</v>
      </c>
      <c r="B74" s="162"/>
      <c r="C74" s="162"/>
      <c r="D74" s="162"/>
      <c r="E74" s="133"/>
      <c r="F74" s="149"/>
      <c r="H74" s="140">
        <v>2015</v>
      </c>
      <c r="I74" s="139"/>
      <c r="P74" s="7">
        <f>100/12.5</f>
        <v>8</v>
      </c>
    </row>
    <row r="75" spans="1:16">
      <c r="A75" s="175" t="s">
        <v>127</v>
      </c>
      <c r="B75" s="160">
        <f>B72-B73-B74</f>
        <v>0</v>
      </c>
      <c r="C75" s="160">
        <f t="shared" ref="C75:F75" si="48">C72-C73-C74</f>
        <v>0</v>
      </c>
      <c r="D75" s="160">
        <f t="shared" si="48"/>
        <v>0</v>
      </c>
      <c r="E75" s="160">
        <f t="shared" si="48"/>
        <v>0</v>
      </c>
      <c r="F75" s="184">
        <f t="shared" si="48"/>
        <v>0</v>
      </c>
      <c r="H75" s="140"/>
      <c r="I75" s="140"/>
    </row>
    <row r="76" spans="1:16">
      <c r="A76" s="175" t="s">
        <v>15</v>
      </c>
      <c r="B76" s="160">
        <f>SUM(B77:B79)</f>
        <v>0</v>
      </c>
      <c r="C76" s="160">
        <f t="shared" ref="C76:F76" si="49">SUM(C77:C79)</f>
        <v>0</v>
      </c>
      <c r="D76" s="160">
        <f t="shared" si="49"/>
        <v>0</v>
      </c>
      <c r="E76" s="160">
        <f t="shared" si="49"/>
        <v>0</v>
      </c>
      <c r="F76" s="184">
        <f t="shared" si="49"/>
        <v>0</v>
      </c>
      <c r="H76" s="214" t="s">
        <v>264</v>
      </c>
      <c r="I76" s="214"/>
      <c r="J76" s="7" t="s">
        <v>266</v>
      </c>
      <c r="M76" s="7" t="s">
        <v>267</v>
      </c>
    </row>
    <row r="77" spans="1:16">
      <c r="A77" s="181" t="s">
        <v>128</v>
      </c>
      <c r="B77" s="162"/>
      <c r="C77" s="162"/>
      <c r="D77" s="162"/>
      <c r="E77" s="133"/>
      <c r="F77" s="149"/>
      <c r="H77" s="140">
        <v>2013</v>
      </c>
      <c r="I77" s="141" t="e">
        <f>'bilans '!#REF!*0.07</f>
        <v>#REF!</v>
      </c>
    </row>
    <row r="78" spans="1:16">
      <c r="A78" s="181" t="s">
        <v>9</v>
      </c>
      <c r="B78" s="162"/>
      <c r="C78" s="162"/>
      <c r="D78" s="162"/>
      <c r="E78" s="133"/>
      <c r="F78" s="149"/>
      <c r="H78" s="140">
        <v>2014</v>
      </c>
      <c r="I78" s="141" t="e">
        <f>'bilans '!#REF!*0.07</f>
        <v>#REF!</v>
      </c>
    </row>
    <row r="79" spans="1:16">
      <c r="A79" s="181" t="s">
        <v>129</v>
      </c>
      <c r="B79" s="162"/>
      <c r="C79" s="162"/>
      <c r="D79" s="162"/>
      <c r="E79" s="133"/>
      <c r="F79" s="149"/>
      <c r="H79" s="140">
        <v>2015</v>
      </c>
      <c r="I79" s="141" t="e">
        <f>'bilans '!#REF!*0.07</f>
        <v>#REF!</v>
      </c>
    </row>
    <row r="80" spans="1:16">
      <c r="A80" s="175" t="s">
        <v>16</v>
      </c>
      <c r="B80" s="160">
        <f>SUM(B81:B83)</f>
        <v>0</v>
      </c>
      <c r="C80" s="160">
        <f t="shared" ref="C80:E80" si="50">SUM(C81:C83)</f>
        <v>0</v>
      </c>
      <c r="D80" s="171" t="e">
        <f t="shared" si="50"/>
        <v>#REF!</v>
      </c>
      <c r="E80" s="171" t="e">
        <f t="shared" si="50"/>
        <v>#REF!</v>
      </c>
      <c r="F80" s="185" t="e">
        <f>SUM(F81:F83)</f>
        <v>#REF!</v>
      </c>
      <c r="H80" s="214" t="s">
        <v>265</v>
      </c>
      <c r="I80" s="214"/>
      <c r="J80" s="7" t="s">
        <v>266</v>
      </c>
      <c r="M80" s="7" t="s">
        <v>267</v>
      </c>
    </row>
    <row r="81" spans="1:9">
      <c r="A81" s="181" t="s">
        <v>130</v>
      </c>
      <c r="B81" s="162"/>
      <c r="C81" s="162"/>
      <c r="D81" s="162"/>
      <c r="E81" s="133"/>
      <c r="F81" s="149"/>
      <c r="H81" s="140">
        <v>2013</v>
      </c>
      <c r="I81" s="141" t="e">
        <f>'bilans '!#REF!*0.07</f>
        <v>#REF!</v>
      </c>
    </row>
    <row r="82" spans="1:9">
      <c r="A82" s="181" t="s">
        <v>131</v>
      </c>
      <c r="B82" s="162"/>
      <c r="C82" s="162"/>
      <c r="D82" s="172" t="e">
        <f>120000+I77+I81</f>
        <v>#REF!</v>
      </c>
      <c r="E82" s="173" t="e">
        <f>140000+I82+I78</f>
        <v>#REF!</v>
      </c>
      <c r="F82" s="186" t="e">
        <f>150000+I83+I79</f>
        <v>#REF!</v>
      </c>
      <c r="H82" s="140">
        <v>2014</v>
      </c>
      <c r="I82" s="141" t="e">
        <f>'bilans '!#REF!*0.07</f>
        <v>#REF!</v>
      </c>
    </row>
    <row r="83" spans="1:9">
      <c r="A83" s="181" t="s">
        <v>132</v>
      </c>
      <c r="B83" s="162"/>
      <c r="C83" s="162"/>
      <c r="D83" s="172"/>
      <c r="E83" s="173">
        <f>+I87</f>
        <v>0</v>
      </c>
      <c r="F83" s="186"/>
      <c r="H83" s="140">
        <v>2015</v>
      </c>
      <c r="I83" s="141" t="e">
        <f>'bilans '!#REF!*0.07</f>
        <v>#REF!</v>
      </c>
    </row>
    <row r="84" spans="1:9">
      <c r="A84" s="175" t="s">
        <v>133</v>
      </c>
      <c r="B84" s="160">
        <f>B75+B76-B80</f>
        <v>0</v>
      </c>
      <c r="C84" s="160">
        <f>C75+C76-C80</f>
        <v>0</v>
      </c>
      <c r="D84" s="160" t="e">
        <f t="shared" ref="D84:F84" si="51">D75+D76-D80</f>
        <v>#REF!</v>
      </c>
      <c r="E84" s="160" t="e">
        <f t="shared" si="51"/>
        <v>#REF!</v>
      </c>
      <c r="F84" s="184" t="e">
        <f t="shared" si="51"/>
        <v>#REF!</v>
      </c>
      <c r="H84" s="140"/>
      <c r="I84" s="140"/>
    </row>
    <row r="85" spans="1:9">
      <c r="A85" s="175" t="s">
        <v>17</v>
      </c>
      <c r="B85" s="160"/>
      <c r="C85" s="160"/>
      <c r="D85" s="160"/>
      <c r="E85" s="170"/>
      <c r="F85" s="183"/>
      <c r="H85" s="214" t="s">
        <v>260</v>
      </c>
      <c r="I85" s="214"/>
    </row>
    <row r="86" spans="1:9">
      <c r="A86" s="175" t="s">
        <v>18</v>
      </c>
      <c r="B86" s="160"/>
      <c r="C86" s="160"/>
      <c r="D86" s="160"/>
      <c r="E86" s="138"/>
      <c r="F86" s="187"/>
      <c r="H86" s="140">
        <v>2013</v>
      </c>
      <c r="I86" s="158">
        <v>0</v>
      </c>
    </row>
    <row r="87" spans="1:9">
      <c r="A87" s="175" t="s">
        <v>141</v>
      </c>
      <c r="B87" s="160">
        <f>B84+B85-B86</f>
        <v>0</v>
      </c>
      <c r="C87" s="160">
        <f t="shared" ref="C87:F87" si="52">C84+C85-C86</f>
        <v>0</v>
      </c>
      <c r="D87" s="160" t="e">
        <f t="shared" si="52"/>
        <v>#REF!</v>
      </c>
      <c r="E87" s="160" t="e">
        <f t="shared" si="52"/>
        <v>#REF!</v>
      </c>
      <c r="F87" s="184" t="e">
        <f t="shared" si="52"/>
        <v>#REF!</v>
      </c>
      <c r="H87" s="140">
        <v>2014</v>
      </c>
      <c r="I87" s="139"/>
    </row>
    <row r="88" spans="1:9">
      <c r="A88" s="175" t="s">
        <v>142</v>
      </c>
      <c r="B88" s="170">
        <v>0</v>
      </c>
      <c r="C88" s="170">
        <v>0</v>
      </c>
      <c r="D88" s="170">
        <v>0</v>
      </c>
      <c r="E88" s="170">
        <v>0</v>
      </c>
      <c r="F88" s="183">
        <v>0</v>
      </c>
      <c r="H88" s="140">
        <v>2015</v>
      </c>
      <c r="I88" s="139"/>
    </row>
    <row r="89" spans="1:9">
      <c r="A89" s="175" t="s">
        <v>145</v>
      </c>
      <c r="B89" s="160">
        <f>B87+B88</f>
        <v>0</v>
      </c>
      <c r="C89" s="160">
        <f t="shared" ref="C89:F89" si="53">C87+C88</f>
        <v>0</v>
      </c>
      <c r="D89" s="160" t="e">
        <f t="shared" si="53"/>
        <v>#REF!</v>
      </c>
      <c r="E89" s="160" t="e">
        <f t="shared" si="53"/>
        <v>#REF!</v>
      </c>
      <c r="F89" s="184" t="e">
        <f t="shared" si="53"/>
        <v>#REF!</v>
      </c>
      <c r="I89" s="124">
        <f>SUM(I86:I88)</f>
        <v>0</v>
      </c>
    </row>
    <row r="90" spans="1:9">
      <c r="A90" s="175" t="s">
        <v>146</v>
      </c>
      <c r="B90" s="162"/>
      <c r="C90" s="162"/>
      <c r="D90" s="162"/>
      <c r="E90" s="133"/>
      <c r="F90" s="149"/>
    </row>
    <row r="91" spans="1:9" ht="22.5">
      <c r="A91" s="175" t="s">
        <v>147</v>
      </c>
      <c r="B91" s="165"/>
      <c r="C91" s="166"/>
      <c r="D91" s="166"/>
      <c r="E91" s="166"/>
      <c r="F91" s="179"/>
    </row>
    <row r="92" spans="1:9" ht="11" thickBot="1">
      <c r="A92" s="188" t="s">
        <v>148</v>
      </c>
      <c r="B92" s="189">
        <f>B89-B90-B91</f>
        <v>0</v>
      </c>
      <c r="C92" s="189">
        <f t="shared" ref="C92:F92" si="54">C89-C90-C91</f>
        <v>0</v>
      </c>
      <c r="D92" s="189" t="e">
        <f t="shared" si="54"/>
        <v>#REF!</v>
      </c>
      <c r="E92" s="189" t="e">
        <f t="shared" si="54"/>
        <v>#REF!</v>
      </c>
      <c r="F92" s="190" t="e">
        <f t="shared" si="54"/>
        <v>#REF!</v>
      </c>
    </row>
  </sheetData>
  <mergeCells count="11">
    <mergeCell ref="N3:R3"/>
    <mergeCell ref="A64:A65"/>
    <mergeCell ref="B64:F64"/>
    <mergeCell ref="H71:I71"/>
    <mergeCell ref="H66:I66"/>
    <mergeCell ref="H85:I85"/>
    <mergeCell ref="H76:I76"/>
    <mergeCell ref="H80:I80"/>
    <mergeCell ref="A3:A4"/>
    <mergeCell ref="B3:G3"/>
    <mergeCell ref="H3:M3"/>
  </mergeCells>
  <phoneticPr fontId="0" type="noConversion"/>
  <pageMargins left="0.38" right="0.38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38"/>
  <sheetViews>
    <sheetView zoomScale="145" zoomScaleNormal="145" zoomScalePageLayoutView="120" workbookViewId="0">
      <selection activeCell="E82" sqref="E82"/>
    </sheetView>
  </sheetViews>
  <sheetFormatPr defaultColWidth="8.83203125" defaultRowHeight="10.5"/>
  <cols>
    <col min="1" max="1" width="49.08203125" style="7" bestFit="1" customWidth="1"/>
    <col min="2" max="4" width="10" style="7" hidden="1" customWidth="1"/>
    <col min="5" max="5" width="11.08203125" style="7" bestFit="1" customWidth="1"/>
    <col min="6" max="6" width="10" style="7" bestFit="1" customWidth="1"/>
    <col min="7" max="8" width="8.83203125" style="7"/>
    <col min="9" max="9" width="11" style="7" bestFit="1" customWidth="1"/>
    <col min="10" max="16384" width="8.83203125" style="7"/>
  </cols>
  <sheetData>
    <row r="1" spans="1:18">
      <c r="A1" s="78" t="s">
        <v>149</v>
      </c>
    </row>
    <row r="2" spans="1:18">
      <c r="A2" s="11"/>
    </row>
    <row r="3" spans="1:18" ht="13.5" customHeight="1">
      <c r="A3" s="227" t="s">
        <v>204</v>
      </c>
      <c r="B3" s="203" t="s">
        <v>203</v>
      </c>
      <c r="C3" s="204"/>
      <c r="D3" s="204"/>
      <c r="E3" s="204"/>
      <c r="F3" s="204"/>
      <c r="H3" s="203" t="s">
        <v>25</v>
      </c>
      <c r="I3" s="204"/>
      <c r="J3" s="204"/>
      <c r="K3" s="204"/>
      <c r="L3" s="204"/>
      <c r="M3" s="205"/>
      <c r="N3" s="206" t="s">
        <v>26</v>
      </c>
      <c r="O3" s="206"/>
      <c r="P3" s="206"/>
      <c r="Q3" s="206"/>
      <c r="R3" s="206"/>
    </row>
    <row r="4" spans="1:18">
      <c r="A4" s="228"/>
      <c r="B4" s="2">
        <v>2011</v>
      </c>
      <c r="C4" s="2">
        <v>2012</v>
      </c>
      <c r="D4" s="8">
        <v>2013</v>
      </c>
      <c r="E4" s="2">
        <v>2014</v>
      </c>
      <c r="F4" s="2">
        <v>2015</v>
      </c>
      <c r="H4" s="8">
        <f t="shared" ref="H4:M4" si="0">B4</f>
        <v>2011</v>
      </c>
      <c r="I4" s="8">
        <f t="shared" si="0"/>
        <v>2012</v>
      </c>
      <c r="J4" s="8">
        <f t="shared" si="0"/>
        <v>2013</v>
      </c>
      <c r="K4" s="8">
        <f t="shared" si="0"/>
        <v>2014</v>
      </c>
      <c r="L4" s="8">
        <f t="shared" si="0"/>
        <v>2015</v>
      </c>
      <c r="M4" s="8">
        <f t="shared" si="0"/>
        <v>0</v>
      </c>
      <c r="N4" s="8" t="s">
        <v>250</v>
      </c>
      <c r="O4" s="8" t="s">
        <v>251</v>
      </c>
      <c r="P4" s="8" t="s">
        <v>252</v>
      </c>
      <c r="Q4" s="8" t="s">
        <v>253</v>
      </c>
      <c r="R4" s="8" t="s">
        <v>254</v>
      </c>
    </row>
    <row r="5" spans="1:18">
      <c r="A5" s="71" t="s">
        <v>150</v>
      </c>
      <c r="B5" s="126"/>
      <c r="C5" s="126"/>
      <c r="D5" s="126"/>
      <c r="E5" s="126"/>
      <c r="F5" s="126"/>
      <c r="H5" s="192"/>
      <c r="I5" s="24"/>
      <c r="J5" s="24"/>
      <c r="K5" s="24"/>
      <c r="L5" s="24"/>
      <c r="M5" s="24"/>
      <c r="N5" s="192"/>
      <c r="O5" s="24"/>
      <c r="P5" s="24"/>
      <c r="Q5" s="24"/>
    </row>
    <row r="6" spans="1:18">
      <c r="A6" s="72" t="s">
        <v>151</v>
      </c>
      <c r="B6" s="35"/>
      <c r="C6" s="35"/>
      <c r="D6" s="35"/>
      <c r="E6" s="35">
        <v>108683</v>
      </c>
      <c r="F6" s="35">
        <v>114994</v>
      </c>
      <c r="H6" s="34" t="e">
        <f t="shared" ref="H6:M6" si="1">B6/B18*100</f>
        <v>#DIV/0!</v>
      </c>
      <c r="I6" s="35" t="e">
        <f t="shared" si="1"/>
        <v>#DIV/0!</v>
      </c>
      <c r="J6" s="35" t="e">
        <f t="shared" si="1"/>
        <v>#DIV/0!</v>
      </c>
      <c r="K6" s="35">
        <f t="shared" si="1"/>
        <v>107.71998334886118</v>
      </c>
      <c r="L6" s="35">
        <f t="shared" si="1"/>
        <v>100.29654438571703</v>
      </c>
      <c r="M6" s="35" t="e">
        <f t="shared" si="1"/>
        <v>#DIV/0!</v>
      </c>
      <c r="N6" s="34" t="e">
        <f>C6/B6*100</f>
        <v>#DIV/0!</v>
      </c>
      <c r="O6" s="35" t="e">
        <f t="shared" ref="O6:R7" si="2">D6/C6*100</f>
        <v>#DIV/0!</v>
      </c>
      <c r="P6" s="35" t="e">
        <f t="shared" si="2"/>
        <v>#DIV/0!</v>
      </c>
      <c r="Q6" s="35">
        <f t="shared" si="2"/>
        <v>105.80679591104405</v>
      </c>
      <c r="R6" s="35">
        <f t="shared" si="2"/>
        <v>0</v>
      </c>
    </row>
    <row r="7" spans="1:18">
      <c r="A7" s="72" t="s">
        <v>152</v>
      </c>
      <c r="B7" s="35">
        <f>SUM(B8:B17)</f>
        <v>0</v>
      </c>
      <c r="C7" s="35">
        <f t="shared" ref="C7:D7" si="3">SUM(C8:C17)</f>
        <v>0</v>
      </c>
      <c r="D7" s="35">
        <f t="shared" si="3"/>
        <v>0</v>
      </c>
      <c r="E7" s="35">
        <f>SUM(E8:E17)</f>
        <v>-7789</v>
      </c>
      <c r="F7" s="35">
        <f t="shared" ref="F7" si="4">SUM(F8:F17)</f>
        <v>-340</v>
      </c>
      <c r="H7" s="34" t="e">
        <f t="shared" ref="H7:L7" si="5">SUM(H8:H17)</f>
        <v>#DIV/0!</v>
      </c>
      <c r="I7" s="35" t="e">
        <f t="shared" si="5"/>
        <v>#DIV/0!</v>
      </c>
      <c r="J7" s="35" t="e">
        <f t="shared" si="5"/>
        <v>#DIV/0!</v>
      </c>
      <c r="K7" s="35">
        <f>SUM(K8:K17)</f>
        <v>-7.9073086605744631</v>
      </c>
      <c r="L7" s="35">
        <f t="shared" si="5"/>
        <v>-2.006035550438412E-2</v>
      </c>
      <c r="M7" s="35" t="e">
        <f>SUM(M8:M17)</f>
        <v>#DIV/0!</v>
      </c>
      <c r="N7" s="34" t="e">
        <f>C7/B7*100</f>
        <v>#DIV/0!</v>
      </c>
      <c r="O7" s="35" t="e">
        <f t="shared" si="2"/>
        <v>#DIV/0!</v>
      </c>
      <c r="P7" s="35" t="e">
        <f t="shared" si="2"/>
        <v>#DIV/0!</v>
      </c>
      <c r="Q7" s="35">
        <f t="shared" si="2"/>
        <v>4.3651303119784313</v>
      </c>
      <c r="R7" s="35">
        <f t="shared" si="2"/>
        <v>0</v>
      </c>
    </row>
    <row r="8" spans="1:18">
      <c r="A8" s="73" t="s">
        <v>10</v>
      </c>
      <c r="B8" s="24"/>
      <c r="C8" s="24"/>
      <c r="D8" s="24"/>
      <c r="E8" s="24">
        <v>15458</v>
      </c>
      <c r="F8" s="24">
        <v>19643</v>
      </c>
      <c r="H8" s="28" t="e">
        <f>B8/$B$18*100</f>
        <v>#DIV/0!</v>
      </c>
      <c r="I8" s="24" t="e">
        <f>C8/$C$18*100</f>
        <v>#DIV/0!</v>
      </c>
      <c r="J8" s="24" t="e">
        <f>D8/$D$18*100</f>
        <v>#DIV/0!</v>
      </c>
      <c r="K8" s="24">
        <f>E8/$E$18*100</f>
        <v>15.32102999187266</v>
      </c>
      <c r="L8" s="24">
        <f>F8/$F$18*100</f>
        <v>17.132415790116351</v>
      </c>
      <c r="M8" s="24" t="e">
        <f>G8/$G$18*100</f>
        <v>#DIV/0!</v>
      </c>
      <c r="N8" s="193" t="e">
        <f>C8/B8*100</f>
        <v>#DIV/0!</v>
      </c>
      <c r="O8" s="194" t="e">
        <f>D8/C8*100</f>
        <v>#DIV/0!</v>
      </c>
      <c r="P8" s="194" t="e">
        <f>E8/D8*100</f>
        <v>#DIV/0!</v>
      </c>
      <c r="Q8" s="194">
        <f>F8/E8*100</f>
        <v>127.07336007245441</v>
      </c>
      <c r="R8" s="194">
        <f>G8/F8*100</f>
        <v>0</v>
      </c>
    </row>
    <row r="9" spans="1:18">
      <c r="A9" s="73" t="s">
        <v>153</v>
      </c>
      <c r="B9" s="24"/>
      <c r="C9" s="24"/>
      <c r="D9" s="24"/>
      <c r="E9" s="24">
        <v>-251</v>
      </c>
      <c r="F9" s="24">
        <v>-317</v>
      </c>
      <c r="H9" s="28"/>
      <c r="I9" s="24"/>
      <c r="J9" s="24"/>
      <c r="K9" s="24"/>
      <c r="L9" s="24"/>
      <c r="M9" s="24"/>
      <c r="N9" s="193"/>
      <c r="O9" s="194"/>
      <c r="P9" s="194"/>
      <c r="Q9" s="194"/>
    </row>
    <row r="10" spans="1:18">
      <c r="A10" s="73" t="s">
        <v>154</v>
      </c>
      <c r="B10" s="24"/>
      <c r="C10" s="24"/>
      <c r="D10" s="24"/>
      <c r="E10" s="24">
        <v>-48</v>
      </c>
      <c r="F10" s="24">
        <v>-39</v>
      </c>
      <c r="H10" s="28" t="e">
        <f t="shared" ref="H10:H17" si="6">B10/$B$18*100</f>
        <v>#DIV/0!</v>
      </c>
      <c r="I10" s="24" t="e">
        <f t="shared" ref="I10:I17" si="7">C10/$C$18*100</f>
        <v>#DIV/0!</v>
      </c>
      <c r="J10" s="24" t="e">
        <f t="shared" ref="J10:J17" si="8">D10/$D$18*100</f>
        <v>#DIV/0!</v>
      </c>
      <c r="K10" s="24">
        <f>E10/$E$18*100</f>
        <v>-4.7574682339881463E-2</v>
      </c>
      <c r="L10" s="24">
        <f t="shared" ref="L10:L17" si="9">F10/$F$18*100</f>
        <v>-3.4015385420482498E-2</v>
      </c>
      <c r="M10" s="24" t="e">
        <f t="shared" ref="M10:M17" si="10">G10/$G$18*100</f>
        <v>#DIV/0!</v>
      </c>
      <c r="N10" s="193" t="e">
        <f t="shared" ref="N10:R17" si="11">C10/B10*100</f>
        <v>#DIV/0!</v>
      </c>
      <c r="O10" s="194" t="e">
        <f t="shared" si="11"/>
        <v>#DIV/0!</v>
      </c>
      <c r="P10" s="194" t="e">
        <f t="shared" si="11"/>
        <v>#DIV/0!</v>
      </c>
      <c r="Q10" s="194">
        <f t="shared" si="11"/>
        <v>81.25</v>
      </c>
      <c r="R10" s="194">
        <f t="shared" si="11"/>
        <v>0</v>
      </c>
    </row>
    <row r="11" spans="1:18">
      <c r="A11" s="73" t="s">
        <v>155</v>
      </c>
      <c r="B11" s="24"/>
      <c r="C11" s="24"/>
      <c r="D11" s="24"/>
      <c r="E11" s="24">
        <v>440</v>
      </c>
      <c r="F11" s="24">
        <v>-287</v>
      </c>
      <c r="H11" s="28"/>
      <c r="I11" s="24" t="e">
        <f t="shared" si="7"/>
        <v>#DIV/0!</v>
      </c>
      <c r="J11" s="24"/>
      <c r="K11" s="24"/>
      <c r="L11" s="24">
        <f t="shared" si="9"/>
        <v>-0.25031834911996093</v>
      </c>
      <c r="M11" s="24" t="e">
        <f t="shared" si="10"/>
        <v>#DIV/0!</v>
      </c>
      <c r="N11" s="193"/>
      <c r="O11" s="194" t="e">
        <f t="shared" si="11"/>
        <v>#DIV/0!</v>
      </c>
      <c r="P11" s="194" t="e">
        <f t="shared" si="11"/>
        <v>#DIV/0!</v>
      </c>
      <c r="Q11" s="194">
        <f t="shared" si="11"/>
        <v>-65.22727272727272</v>
      </c>
      <c r="R11" s="194">
        <f t="shared" si="11"/>
        <v>0</v>
      </c>
    </row>
    <row r="12" spans="1:18">
      <c r="A12" s="73" t="s">
        <v>156</v>
      </c>
      <c r="B12" s="24"/>
      <c r="C12" s="24"/>
      <c r="D12" s="24"/>
      <c r="E12" s="24">
        <v>1463</v>
      </c>
      <c r="F12" s="24">
        <v>328</v>
      </c>
      <c r="H12" s="28"/>
      <c r="I12" s="24"/>
      <c r="J12" s="24"/>
      <c r="K12" s="24">
        <f t="shared" ref="K12:K17" si="12">E12/$E$18*100</f>
        <v>1.4500366721509703</v>
      </c>
      <c r="L12" s="24">
        <f t="shared" si="9"/>
        <v>0.28607811327995536</v>
      </c>
      <c r="M12" s="24" t="e">
        <f t="shared" si="10"/>
        <v>#DIV/0!</v>
      </c>
      <c r="N12" s="193"/>
      <c r="O12" s="194"/>
      <c r="P12" s="194" t="e">
        <f t="shared" si="11"/>
        <v>#DIV/0!</v>
      </c>
      <c r="Q12" s="194">
        <f t="shared" si="11"/>
        <v>22.419685577580314</v>
      </c>
      <c r="R12" s="194">
        <f t="shared" si="11"/>
        <v>0</v>
      </c>
    </row>
    <row r="13" spans="1:18">
      <c r="A13" s="73" t="s">
        <v>11</v>
      </c>
      <c r="B13" s="97"/>
      <c r="C13" s="97"/>
      <c r="D13" s="97"/>
      <c r="E13" s="97">
        <v>177</v>
      </c>
      <c r="F13" s="97">
        <v>-4867</v>
      </c>
      <c r="H13" s="28" t="e">
        <f t="shared" si="6"/>
        <v>#DIV/0!</v>
      </c>
      <c r="I13" s="24" t="e">
        <f t="shared" si="7"/>
        <v>#DIV/0!</v>
      </c>
      <c r="J13" s="24" t="e">
        <f t="shared" si="8"/>
        <v>#DIV/0!</v>
      </c>
      <c r="K13" s="24">
        <f t="shared" si="12"/>
        <v>0.17543164112831289</v>
      </c>
      <c r="L13" s="24">
        <f t="shared" si="9"/>
        <v>-4.2449456626022641</v>
      </c>
      <c r="M13" s="24" t="e">
        <f t="shared" si="10"/>
        <v>#DIV/0!</v>
      </c>
      <c r="N13" s="193" t="e">
        <f t="shared" si="11"/>
        <v>#DIV/0!</v>
      </c>
      <c r="O13" s="194" t="e">
        <f t="shared" si="11"/>
        <v>#DIV/0!</v>
      </c>
      <c r="P13" s="194" t="e">
        <f t="shared" si="11"/>
        <v>#DIV/0!</v>
      </c>
      <c r="Q13" s="194">
        <f t="shared" si="11"/>
        <v>-2749.7175141242938</v>
      </c>
      <c r="R13" s="194">
        <f t="shared" si="11"/>
        <v>0</v>
      </c>
    </row>
    <row r="14" spans="1:18">
      <c r="A14" s="73" t="s">
        <v>157</v>
      </c>
      <c r="B14" s="97"/>
      <c r="C14" s="97"/>
      <c r="D14" s="97"/>
      <c r="E14" s="97">
        <v>-1670</v>
      </c>
      <c r="F14" s="97">
        <v>-6852</v>
      </c>
      <c r="H14" s="28" t="e">
        <f t="shared" si="6"/>
        <v>#DIV/0!</v>
      </c>
      <c r="I14" s="24" t="e">
        <f t="shared" si="7"/>
        <v>#DIV/0!</v>
      </c>
      <c r="J14" s="24" t="e">
        <f t="shared" si="8"/>
        <v>#DIV/0!</v>
      </c>
      <c r="K14" s="24">
        <f t="shared" si="12"/>
        <v>-1.655202489741709</v>
      </c>
      <c r="L14" s="24">
        <f t="shared" si="9"/>
        <v>-5.9762415615678472</v>
      </c>
      <c r="M14" s="24" t="e">
        <f t="shared" si="10"/>
        <v>#DIV/0!</v>
      </c>
      <c r="N14" s="193" t="e">
        <f t="shared" si="11"/>
        <v>#DIV/0!</v>
      </c>
      <c r="O14" s="194" t="e">
        <f t="shared" si="11"/>
        <v>#DIV/0!</v>
      </c>
      <c r="P14" s="194" t="e">
        <f t="shared" si="11"/>
        <v>#DIV/0!</v>
      </c>
      <c r="Q14" s="194">
        <f t="shared" si="11"/>
        <v>410.29940119760477</v>
      </c>
      <c r="R14" s="194">
        <f t="shared" si="11"/>
        <v>0</v>
      </c>
    </row>
    <row r="15" spans="1:18">
      <c r="A15" s="73" t="s">
        <v>158</v>
      </c>
      <c r="B15" s="24"/>
      <c r="C15" s="24"/>
      <c r="D15" s="24"/>
      <c r="E15" s="24">
        <v>-6799</v>
      </c>
      <c r="F15" s="24">
        <v>18250</v>
      </c>
      <c r="H15" s="28" t="e">
        <f t="shared" si="6"/>
        <v>#DIV/0!</v>
      </c>
      <c r="I15" s="24" t="e">
        <f t="shared" si="7"/>
        <v>#DIV/0!</v>
      </c>
      <c r="J15" s="24" t="e">
        <f t="shared" si="8"/>
        <v>#DIV/0!</v>
      </c>
      <c r="K15" s="24">
        <f t="shared" si="12"/>
        <v>-6.7387555256011256</v>
      </c>
      <c r="L15" s="24">
        <f t="shared" si="9"/>
        <v>15.917455998046295</v>
      </c>
      <c r="M15" s="24" t="e">
        <f t="shared" si="10"/>
        <v>#DIV/0!</v>
      </c>
      <c r="N15" s="193" t="e">
        <f t="shared" si="11"/>
        <v>#DIV/0!</v>
      </c>
      <c r="O15" s="194" t="e">
        <f t="shared" si="11"/>
        <v>#DIV/0!</v>
      </c>
      <c r="P15" s="194" t="e">
        <f t="shared" si="11"/>
        <v>#DIV/0!</v>
      </c>
      <c r="Q15" s="194">
        <f t="shared" si="11"/>
        <v>-268.42182673922633</v>
      </c>
      <c r="R15" s="194">
        <f t="shared" si="11"/>
        <v>0</v>
      </c>
    </row>
    <row r="16" spans="1:18">
      <c r="A16" s="73" t="s">
        <v>12</v>
      </c>
      <c r="B16" s="24"/>
      <c r="C16" s="24"/>
      <c r="D16" s="24"/>
      <c r="E16" s="24">
        <v>3714</v>
      </c>
      <c r="F16" s="24">
        <v>-834</v>
      </c>
      <c r="H16" s="28" t="e">
        <f t="shared" si="6"/>
        <v>#DIV/0!</v>
      </c>
      <c r="I16" s="24" t="e">
        <f t="shared" si="7"/>
        <v>#DIV/0!</v>
      </c>
      <c r="J16" s="24" t="e">
        <f t="shared" si="8"/>
        <v>#DIV/0!</v>
      </c>
      <c r="K16" s="24">
        <f t="shared" si="12"/>
        <v>3.6810910460483277</v>
      </c>
      <c r="L16" s="24">
        <f t="shared" si="9"/>
        <v>-0.72740593437647183</v>
      </c>
      <c r="M16" s="24" t="e">
        <f t="shared" si="10"/>
        <v>#DIV/0!</v>
      </c>
      <c r="N16" s="193" t="e">
        <f t="shared" si="11"/>
        <v>#DIV/0!</v>
      </c>
      <c r="O16" s="194" t="e">
        <f t="shared" si="11"/>
        <v>#DIV/0!</v>
      </c>
      <c r="P16" s="194" t="e">
        <f t="shared" si="11"/>
        <v>#DIV/0!</v>
      </c>
      <c r="Q16" s="194">
        <f t="shared" si="11"/>
        <v>-22.455573505654279</v>
      </c>
      <c r="R16" s="194">
        <f t="shared" si="11"/>
        <v>0</v>
      </c>
    </row>
    <row r="17" spans="1:18">
      <c r="A17" s="73" t="s">
        <v>274</v>
      </c>
      <c r="B17" s="24"/>
      <c r="C17" s="24"/>
      <c r="D17" s="24"/>
      <c r="E17" s="24">
        <v>-20273</v>
      </c>
      <c r="F17" s="24">
        <v>-25365</v>
      </c>
      <c r="H17" s="28" t="e">
        <f t="shared" si="6"/>
        <v>#DIV/0!</v>
      </c>
      <c r="I17" s="24" t="e">
        <f t="shared" si="7"/>
        <v>#DIV/0!</v>
      </c>
      <c r="J17" s="24" t="e">
        <f t="shared" si="8"/>
        <v>#DIV/0!</v>
      </c>
      <c r="K17" s="24">
        <f t="shared" si="12"/>
        <v>-20.093365314092019</v>
      </c>
      <c r="L17" s="24">
        <f t="shared" si="9"/>
        <v>-22.123083363859962</v>
      </c>
      <c r="M17" s="24" t="e">
        <f t="shared" si="10"/>
        <v>#DIV/0!</v>
      </c>
      <c r="N17" s="193" t="e">
        <f t="shared" si="11"/>
        <v>#DIV/0!</v>
      </c>
      <c r="O17" s="194" t="e">
        <f t="shared" si="11"/>
        <v>#DIV/0!</v>
      </c>
      <c r="P17" s="194" t="e">
        <f t="shared" si="11"/>
        <v>#DIV/0!</v>
      </c>
      <c r="Q17" s="194">
        <f t="shared" si="11"/>
        <v>125.11715089034676</v>
      </c>
      <c r="R17" s="194">
        <f t="shared" si="11"/>
        <v>0</v>
      </c>
    </row>
    <row r="18" spans="1:18">
      <c r="A18" s="72" t="s">
        <v>160</v>
      </c>
      <c r="B18" s="35">
        <f>B6+B7</f>
        <v>0</v>
      </c>
      <c r="C18" s="35">
        <f t="shared" ref="C18:D18" si="13">C6+C7</f>
        <v>0</v>
      </c>
      <c r="D18" s="35">
        <f t="shared" si="13"/>
        <v>0</v>
      </c>
      <c r="E18" s="35">
        <f>E6+E7</f>
        <v>100894</v>
      </c>
      <c r="F18" s="35">
        <f t="shared" ref="F18" si="14">F6+F7</f>
        <v>114654</v>
      </c>
      <c r="H18" s="34" t="e">
        <f t="shared" ref="H18:M18" si="15">SUM(H6:H7)</f>
        <v>#DIV/0!</v>
      </c>
      <c r="I18" s="35" t="e">
        <f t="shared" si="15"/>
        <v>#DIV/0!</v>
      </c>
      <c r="J18" s="35" t="e">
        <f t="shared" si="15"/>
        <v>#DIV/0!</v>
      </c>
      <c r="K18" s="35">
        <f t="shared" si="15"/>
        <v>99.81267468828672</v>
      </c>
      <c r="L18" s="35">
        <f t="shared" si="15"/>
        <v>100.27648403021264</v>
      </c>
      <c r="M18" s="35" t="e">
        <f t="shared" si="15"/>
        <v>#DIV/0!</v>
      </c>
      <c r="N18" s="195" t="e">
        <f>C18/B18*100</f>
        <v>#DIV/0!</v>
      </c>
      <c r="O18" s="196" t="e">
        <f>D18/C18*100</f>
        <v>#DIV/0!</v>
      </c>
      <c r="P18" s="196" t="e">
        <f>E18/D18*100</f>
        <v>#DIV/0!</v>
      </c>
      <c r="Q18" s="196">
        <f>F18/E18*100</f>
        <v>113.63807560409936</v>
      </c>
      <c r="R18" s="196">
        <f>G18/F18*100</f>
        <v>0</v>
      </c>
    </row>
    <row r="19" spans="1:18">
      <c r="A19" s="71" t="s">
        <v>161</v>
      </c>
      <c r="B19" s="24"/>
      <c r="C19" s="24"/>
      <c r="D19" s="24"/>
      <c r="E19" s="24"/>
      <c r="F19" s="24"/>
      <c r="H19" s="28"/>
      <c r="I19" s="24"/>
      <c r="J19" s="24"/>
      <c r="K19" s="24"/>
      <c r="L19" s="24"/>
      <c r="M19" s="24"/>
      <c r="N19" s="193"/>
      <c r="O19" s="194"/>
      <c r="P19" s="194"/>
      <c r="Q19" s="194"/>
    </row>
    <row r="20" spans="1:18" ht="12.75" customHeight="1">
      <c r="A20" s="72" t="s">
        <v>162</v>
      </c>
      <c r="B20" s="35">
        <f t="shared" ref="B20:D20" si="16">B21+B22+B23+B31</f>
        <v>0</v>
      </c>
      <c r="C20" s="35">
        <f t="shared" si="16"/>
        <v>0</v>
      </c>
      <c r="D20" s="35">
        <f t="shared" si="16"/>
        <v>0</v>
      </c>
      <c r="E20" s="35">
        <f t="shared" ref="E20" si="17">E21+E22+E23+E31</f>
        <v>134</v>
      </c>
      <c r="F20" s="35">
        <f>F21+F22+F23+F31</f>
        <v>157</v>
      </c>
      <c r="H20" s="34">
        <f t="shared" ref="H20:M20" si="18">SUM(H21:H31)</f>
        <v>0</v>
      </c>
      <c r="I20" s="35" t="e">
        <f t="shared" si="18"/>
        <v>#DIV/0!</v>
      </c>
      <c r="J20" s="35">
        <f t="shared" si="18"/>
        <v>0</v>
      </c>
      <c r="K20" s="35">
        <f t="shared" si="18"/>
        <v>0</v>
      </c>
      <c r="L20" s="35">
        <f t="shared" si="18"/>
        <v>-9.9448222764019004E-2</v>
      </c>
      <c r="M20" s="35" t="e">
        <f t="shared" si="18"/>
        <v>#DIV/0!</v>
      </c>
      <c r="N20" s="195" t="e">
        <f>C20/B20*100</f>
        <v>#DIV/0!</v>
      </c>
      <c r="O20" s="196" t="e">
        <f t="shared" ref="O20:R21" si="19">D20/C20*100</f>
        <v>#DIV/0!</v>
      </c>
      <c r="P20" s="196" t="e">
        <f t="shared" si="19"/>
        <v>#DIV/0!</v>
      </c>
      <c r="Q20" s="196">
        <f t="shared" si="19"/>
        <v>117.16417910447761</v>
      </c>
      <c r="R20" s="196">
        <f t="shared" si="19"/>
        <v>0</v>
      </c>
    </row>
    <row r="21" spans="1:18">
      <c r="A21" s="73" t="s">
        <v>163</v>
      </c>
      <c r="B21" s="24"/>
      <c r="C21" s="24"/>
      <c r="D21" s="24"/>
      <c r="E21" s="24">
        <v>134</v>
      </c>
      <c r="F21" s="24">
        <v>62</v>
      </c>
      <c r="H21" s="28"/>
      <c r="I21" s="24"/>
      <c r="J21" s="24"/>
      <c r="K21" s="24"/>
      <c r="L21" s="24">
        <f>F21/F41*100</f>
        <v>-9.9448222764019004E-2</v>
      </c>
      <c r="M21" s="24" t="e">
        <f>G21/G41*100</f>
        <v>#DIV/0!</v>
      </c>
      <c r="N21" s="193" t="e">
        <f>C21/B21*100</f>
        <v>#DIV/0!</v>
      </c>
      <c r="O21" s="194" t="e">
        <f t="shared" si="19"/>
        <v>#DIV/0!</v>
      </c>
      <c r="P21" s="194" t="e">
        <f t="shared" si="19"/>
        <v>#DIV/0!</v>
      </c>
      <c r="Q21" s="194">
        <f t="shared" si="19"/>
        <v>46.268656716417908</v>
      </c>
      <c r="R21" s="194">
        <f t="shared" si="19"/>
        <v>0</v>
      </c>
    </row>
    <row r="22" spans="1:18" ht="12.75" customHeight="1">
      <c r="A22" s="73" t="s">
        <v>164</v>
      </c>
      <c r="B22" s="24"/>
      <c r="C22" s="24"/>
      <c r="D22" s="24"/>
      <c r="E22" s="24"/>
      <c r="F22" s="24"/>
      <c r="H22" s="28"/>
      <c r="I22" s="24"/>
      <c r="J22" s="24"/>
      <c r="K22" s="24"/>
      <c r="L22" s="24"/>
      <c r="M22" s="24"/>
      <c r="N22" s="193"/>
      <c r="O22" s="194"/>
      <c r="P22" s="194"/>
      <c r="Q22" s="194"/>
    </row>
    <row r="23" spans="1:18">
      <c r="A23" s="73" t="s">
        <v>165</v>
      </c>
      <c r="B23" s="24"/>
      <c r="C23" s="24"/>
      <c r="D23" s="24"/>
      <c r="E23" s="24">
        <v>0</v>
      </c>
      <c r="F23" s="24">
        <v>95</v>
      </c>
      <c r="H23" s="28"/>
      <c r="I23" s="24"/>
      <c r="J23" s="24"/>
      <c r="K23" s="24"/>
      <c r="L23" s="24"/>
      <c r="M23" s="24"/>
      <c r="N23" s="193"/>
      <c r="O23" s="194"/>
      <c r="P23" s="194"/>
      <c r="Q23" s="194"/>
    </row>
    <row r="24" spans="1:18">
      <c r="A24" s="74" t="s">
        <v>166</v>
      </c>
      <c r="B24" s="24"/>
      <c r="C24" s="109"/>
      <c r="D24" s="109"/>
      <c r="E24" s="24"/>
      <c r="F24" s="109">
        <v>27</v>
      </c>
      <c r="H24" s="28"/>
      <c r="I24" s="24"/>
      <c r="J24" s="24"/>
      <c r="K24" s="24"/>
      <c r="L24" s="24"/>
      <c r="M24" s="24"/>
      <c r="N24" s="193"/>
      <c r="O24" s="194"/>
      <c r="P24" s="194"/>
      <c r="Q24" s="194"/>
    </row>
    <row r="25" spans="1:18">
      <c r="A25" s="74" t="s">
        <v>167</v>
      </c>
      <c r="B25" s="24"/>
      <c r="C25" s="24"/>
      <c r="D25" s="24"/>
      <c r="E25" s="24"/>
      <c r="F25" s="24"/>
      <c r="H25" s="28"/>
      <c r="I25" s="24"/>
      <c r="J25" s="24"/>
      <c r="K25" s="24"/>
      <c r="L25" s="24"/>
      <c r="M25" s="24"/>
      <c r="N25" s="193"/>
      <c r="O25" s="194"/>
      <c r="P25" s="194"/>
      <c r="Q25" s="194"/>
    </row>
    <row r="26" spans="1:18">
      <c r="A26" s="74" t="s">
        <v>168</v>
      </c>
      <c r="B26" s="24"/>
      <c r="E26" s="24"/>
      <c r="H26" s="28"/>
      <c r="I26" s="24"/>
      <c r="J26" s="24"/>
      <c r="K26" s="24"/>
      <c r="L26" s="24"/>
      <c r="M26" s="24"/>
      <c r="N26" s="193"/>
      <c r="O26" s="194"/>
      <c r="P26" s="194"/>
      <c r="Q26" s="194"/>
    </row>
    <row r="27" spans="1:18">
      <c r="A27" s="74" t="s">
        <v>169</v>
      </c>
      <c r="B27" s="24"/>
      <c r="C27" s="24"/>
      <c r="D27" s="24"/>
      <c r="E27" s="24"/>
      <c r="F27" s="24"/>
      <c r="H27" s="28"/>
      <c r="I27" s="24"/>
      <c r="J27" s="24"/>
      <c r="K27" s="24"/>
      <c r="L27" s="24"/>
      <c r="M27" s="24"/>
      <c r="N27" s="193"/>
      <c r="O27" s="194"/>
      <c r="P27" s="194"/>
      <c r="Q27" s="194"/>
    </row>
    <row r="28" spans="1:18">
      <c r="A28" s="74" t="s">
        <v>170</v>
      </c>
      <c r="B28" s="24"/>
      <c r="C28" s="24"/>
      <c r="D28" s="24"/>
      <c r="E28" s="24"/>
      <c r="F28" s="24"/>
      <c r="H28" s="28"/>
      <c r="I28" s="24"/>
      <c r="J28" s="24"/>
      <c r="K28" s="24"/>
      <c r="L28" s="24"/>
      <c r="M28" s="24"/>
      <c r="N28" s="193"/>
      <c r="O28" s="194"/>
      <c r="P28" s="194"/>
      <c r="Q28" s="194"/>
    </row>
    <row r="29" spans="1:18">
      <c r="A29" s="74" t="s">
        <v>171</v>
      </c>
      <c r="B29" s="24"/>
      <c r="C29" s="24"/>
      <c r="D29" s="24"/>
      <c r="E29" s="24"/>
      <c r="F29" s="24"/>
      <c r="H29" s="28"/>
      <c r="I29" s="24"/>
      <c r="J29" s="24"/>
      <c r="K29" s="24"/>
      <c r="L29" s="24"/>
      <c r="M29" s="24"/>
      <c r="N29" s="193"/>
      <c r="O29" s="194"/>
      <c r="P29" s="194"/>
      <c r="Q29" s="194"/>
    </row>
    <row r="30" spans="1:18">
      <c r="A30" s="74" t="s">
        <v>172</v>
      </c>
      <c r="B30" s="24"/>
      <c r="C30" s="24"/>
      <c r="D30" s="24"/>
      <c r="E30" s="24"/>
      <c r="F30" s="24"/>
      <c r="H30" s="28"/>
      <c r="I30" s="24"/>
      <c r="J30" s="24"/>
      <c r="K30" s="24"/>
      <c r="L30" s="24"/>
      <c r="M30" s="24"/>
      <c r="N30" s="193"/>
      <c r="O30" s="194"/>
      <c r="P30" s="194"/>
      <c r="Q30" s="194"/>
    </row>
    <row r="31" spans="1:18">
      <c r="A31" s="73" t="s">
        <v>173</v>
      </c>
      <c r="B31" s="24"/>
      <c r="C31" s="24"/>
      <c r="D31" s="24"/>
      <c r="E31" s="24"/>
      <c r="F31" s="24"/>
      <c r="H31" s="28"/>
      <c r="I31" s="24" t="e">
        <f>C31/C41*100</f>
        <v>#DIV/0!</v>
      </c>
      <c r="J31" s="24"/>
      <c r="K31" s="24"/>
      <c r="L31" s="24"/>
      <c r="M31" s="24"/>
      <c r="N31" s="193"/>
      <c r="O31" s="194"/>
      <c r="P31" s="194"/>
      <c r="Q31" s="194"/>
    </row>
    <row r="32" spans="1:18">
      <c r="A32" s="72" t="s">
        <v>174</v>
      </c>
      <c r="B32" s="35">
        <f t="shared" ref="B32:D32" si="20">B33+B34+B35+B40</f>
        <v>0</v>
      </c>
      <c r="C32" s="35">
        <f t="shared" si="20"/>
        <v>0</v>
      </c>
      <c r="D32" s="35">
        <f t="shared" si="20"/>
        <v>0</v>
      </c>
      <c r="E32" s="35">
        <f t="shared" ref="E32:F32" si="21">E33+E34+E35+E40</f>
        <v>-30596</v>
      </c>
      <c r="F32" s="35">
        <f t="shared" si="21"/>
        <v>-62501</v>
      </c>
      <c r="H32" s="34" t="e">
        <f t="shared" ref="H32:M32" si="22">SUM(H33:H40)</f>
        <v>#DIV/0!</v>
      </c>
      <c r="I32" s="35" t="e">
        <f t="shared" si="22"/>
        <v>#DIV/0!</v>
      </c>
      <c r="J32" s="35" t="e">
        <f t="shared" si="22"/>
        <v>#DIV/0!</v>
      </c>
      <c r="K32" s="35">
        <f t="shared" si="22"/>
        <v>100.43989232486376</v>
      </c>
      <c r="L32" s="35">
        <f t="shared" si="22"/>
        <v>62.83844475811626</v>
      </c>
      <c r="M32" s="35" t="e">
        <f t="shared" si="22"/>
        <v>#DIV/0!</v>
      </c>
      <c r="N32" s="195" t="e">
        <f t="shared" ref="N32:R33" si="23">C32/B32*100</f>
        <v>#DIV/0!</v>
      </c>
      <c r="O32" s="196" t="e">
        <f t="shared" si="23"/>
        <v>#DIV/0!</v>
      </c>
      <c r="P32" s="196" t="e">
        <f t="shared" si="23"/>
        <v>#DIV/0!</v>
      </c>
      <c r="Q32" s="196">
        <f t="shared" si="23"/>
        <v>204.27833703752123</v>
      </c>
      <c r="R32" s="196">
        <f t="shared" si="23"/>
        <v>0</v>
      </c>
    </row>
    <row r="33" spans="1:18">
      <c r="A33" s="73" t="s">
        <v>175</v>
      </c>
      <c r="B33" s="24"/>
      <c r="C33" s="24"/>
      <c r="D33" s="24"/>
      <c r="E33" s="24">
        <v>-30596</v>
      </c>
      <c r="F33" s="24">
        <v>-39176</v>
      </c>
      <c r="H33" s="28" t="e">
        <f t="shared" ref="H33:M33" si="24">B33/B41*100</f>
        <v>#DIV/0!</v>
      </c>
      <c r="I33" s="24" t="e">
        <f t="shared" si="24"/>
        <v>#DIV/0!</v>
      </c>
      <c r="J33" s="24" t="e">
        <f t="shared" si="24"/>
        <v>#DIV/0!</v>
      </c>
      <c r="K33" s="24">
        <f t="shared" si="24"/>
        <v>100.43989232486376</v>
      </c>
      <c r="L33" s="24">
        <f t="shared" si="24"/>
        <v>62.83844475811626</v>
      </c>
      <c r="M33" s="24" t="e">
        <f t="shared" si="24"/>
        <v>#DIV/0!</v>
      </c>
      <c r="N33" s="193" t="e">
        <f t="shared" si="23"/>
        <v>#DIV/0!</v>
      </c>
      <c r="O33" s="194" t="e">
        <f t="shared" si="23"/>
        <v>#DIV/0!</v>
      </c>
      <c r="P33" s="194" t="e">
        <f t="shared" si="23"/>
        <v>#DIV/0!</v>
      </c>
      <c r="Q33" s="194">
        <f t="shared" si="23"/>
        <v>128.04288142240816</v>
      </c>
      <c r="R33" s="194">
        <f t="shared" si="23"/>
        <v>0</v>
      </c>
    </row>
    <row r="34" spans="1:18">
      <c r="A34" s="73" t="s">
        <v>176</v>
      </c>
      <c r="B34" s="24"/>
      <c r="C34" s="24"/>
      <c r="E34" s="24"/>
      <c r="F34" s="24"/>
      <c r="H34" s="28"/>
      <c r="I34" s="24"/>
      <c r="J34" s="24"/>
      <c r="K34" s="24"/>
      <c r="L34" s="24"/>
      <c r="M34" s="24"/>
      <c r="N34" s="193"/>
      <c r="O34" s="194"/>
      <c r="P34" s="194"/>
      <c r="Q34" s="194"/>
    </row>
    <row r="35" spans="1:18">
      <c r="A35" s="73" t="s">
        <v>177</v>
      </c>
      <c r="B35" s="24"/>
      <c r="C35" s="24"/>
      <c r="D35" s="24"/>
      <c r="E35" s="24"/>
      <c r="F35" s="24">
        <v>-23325</v>
      </c>
      <c r="H35" s="28"/>
      <c r="I35" s="24"/>
      <c r="J35" s="24"/>
      <c r="K35" s="24"/>
      <c r="L35" s="24"/>
      <c r="M35" s="24"/>
      <c r="N35" s="193"/>
      <c r="O35" s="194"/>
      <c r="P35" s="194"/>
      <c r="Q35" s="194"/>
    </row>
    <row r="36" spans="1:18">
      <c r="A36" s="74" t="s">
        <v>166</v>
      </c>
      <c r="B36" s="24"/>
      <c r="C36" s="24"/>
      <c r="D36" s="24"/>
      <c r="E36" s="24"/>
      <c r="F36" s="24"/>
      <c r="H36" s="28"/>
      <c r="I36" s="24"/>
      <c r="J36" s="24"/>
      <c r="K36" s="24"/>
      <c r="L36" s="24"/>
      <c r="M36" s="24"/>
      <c r="N36" s="193"/>
      <c r="O36" s="194"/>
      <c r="P36" s="194"/>
      <c r="Q36" s="194"/>
    </row>
    <row r="37" spans="1:18">
      <c r="A37" s="74" t="s">
        <v>167</v>
      </c>
      <c r="B37" s="24"/>
      <c r="C37" s="24"/>
      <c r="D37" s="24"/>
      <c r="E37" s="24"/>
      <c r="F37" s="24"/>
      <c r="H37" s="28"/>
      <c r="I37" s="24"/>
      <c r="J37" s="24"/>
      <c r="K37" s="24"/>
      <c r="L37" s="24"/>
      <c r="M37" s="24"/>
      <c r="N37" s="193"/>
      <c r="O37" s="194"/>
      <c r="P37" s="194"/>
      <c r="Q37" s="194"/>
    </row>
    <row r="38" spans="1:18">
      <c r="A38" s="74" t="s">
        <v>178</v>
      </c>
      <c r="B38" s="24"/>
      <c r="C38" s="24"/>
      <c r="D38" s="24"/>
      <c r="E38" s="24"/>
      <c r="F38" s="24"/>
      <c r="H38" s="28"/>
      <c r="I38" s="24"/>
      <c r="J38" s="24"/>
      <c r="K38" s="24"/>
      <c r="L38" s="24"/>
      <c r="M38" s="24"/>
      <c r="N38" s="193"/>
      <c r="O38" s="194"/>
      <c r="P38" s="194"/>
      <c r="Q38" s="194"/>
    </row>
    <row r="39" spans="1:18">
      <c r="A39" s="74" t="s">
        <v>179</v>
      </c>
      <c r="B39" s="24"/>
      <c r="C39" s="24"/>
      <c r="D39" s="24"/>
      <c r="E39" s="24"/>
      <c r="F39" s="24"/>
      <c r="H39" s="28"/>
      <c r="I39" s="24"/>
      <c r="J39" s="24"/>
      <c r="K39" s="24"/>
      <c r="L39" s="24"/>
      <c r="M39" s="24"/>
      <c r="N39" s="193"/>
      <c r="O39" s="194"/>
      <c r="P39" s="194"/>
      <c r="Q39" s="194"/>
    </row>
    <row r="40" spans="1:18">
      <c r="A40" s="73" t="s">
        <v>180</v>
      </c>
      <c r="B40" s="24"/>
      <c r="C40" s="24"/>
      <c r="D40" s="24"/>
      <c r="E40" s="24"/>
      <c r="F40" s="24"/>
      <c r="H40" s="28"/>
      <c r="I40" s="24"/>
      <c r="J40" s="24"/>
      <c r="K40" s="24"/>
      <c r="L40" s="24"/>
      <c r="M40" s="24"/>
      <c r="N40" s="193"/>
      <c r="O40" s="194"/>
      <c r="P40" s="194"/>
      <c r="Q40" s="194"/>
      <c r="R40" s="194" t="e">
        <f>G40/F40*100</f>
        <v>#DIV/0!</v>
      </c>
    </row>
    <row r="41" spans="1:18">
      <c r="A41" s="72" t="s">
        <v>181</v>
      </c>
      <c r="B41" s="35">
        <f t="shared" ref="B41:D41" si="25">B20+B32</f>
        <v>0</v>
      </c>
      <c r="C41" s="35">
        <f>C20+C32</f>
        <v>0</v>
      </c>
      <c r="D41" s="35">
        <f t="shared" si="25"/>
        <v>0</v>
      </c>
      <c r="E41" s="35">
        <f>E20+E32</f>
        <v>-30462</v>
      </c>
      <c r="F41" s="35">
        <f>F20+F32</f>
        <v>-62344</v>
      </c>
      <c r="H41" s="34" t="e">
        <f t="shared" ref="H41:M41" si="26">SUM(H20,H32)</f>
        <v>#DIV/0!</v>
      </c>
      <c r="I41" s="35" t="e">
        <f t="shared" si="26"/>
        <v>#DIV/0!</v>
      </c>
      <c r="J41" s="35" t="e">
        <f t="shared" si="26"/>
        <v>#DIV/0!</v>
      </c>
      <c r="K41" s="35">
        <f t="shared" si="26"/>
        <v>100.43989232486376</v>
      </c>
      <c r="L41" s="35">
        <f t="shared" si="26"/>
        <v>62.738996535352243</v>
      </c>
      <c r="M41" s="35" t="e">
        <f t="shared" si="26"/>
        <v>#DIV/0!</v>
      </c>
      <c r="N41" s="195" t="e">
        <f>C41/B41*100</f>
        <v>#DIV/0!</v>
      </c>
      <c r="O41" s="196" t="e">
        <f>D41/C41*100</f>
        <v>#DIV/0!</v>
      </c>
      <c r="P41" s="196" t="e">
        <f>E41/D41*100</f>
        <v>#DIV/0!</v>
      </c>
      <c r="Q41" s="196">
        <f>F41/E41*100</f>
        <v>204.66154553213843</v>
      </c>
      <c r="R41" s="196">
        <f>G41/F41*100</f>
        <v>0</v>
      </c>
    </row>
    <row r="42" spans="1:18">
      <c r="A42" s="71" t="s">
        <v>19</v>
      </c>
      <c r="B42" s="24"/>
      <c r="C42" s="24"/>
      <c r="D42" s="24"/>
      <c r="E42" s="24"/>
      <c r="F42" s="24"/>
      <c r="H42" s="28"/>
      <c r="I42" s="24"/>
      <c r="J42" s="24"/>
      <c r="K42" s="24"/>
      <c r="L42" s="24"/>
      <c r="M42" s="24"/>
      <c r="N42" s="193"/>
      <c r="O42" s="194"/>
      <c r="P42" s="194"/>
      <c r="Q42" s="194"/>
    </row>
    <row r="43" spans="1:18">
      <c r="A43" s="72" t="s">
        <v>162</v>
      </c>
      <c r="B43" s="35">
        <f t="shared" ref="B43:D43" si="27">SUM(B44:B48)</f>
        <v>0</v>
      </c>
      <c r="C43" s="35">
        <f t="shared" si="27"/>
        <v>0</v>
      </c>
      <c r="D43" s="35">
        <f t="shared" si="27"/>
        <v>0</v>
      </c>
      <c r="E43" s="35">
        <f t="shared" ref="E43" si="28">SUM(E44:E48)</f>
        <v>0</v>
      </c>
      <c r="F43" s="35">
        <f>SUM(F44:F48)</f>
        <v>0</v>
      </c>
      <c r="H43" s="34">
        <f t="shared" ref="H43:M43" si="29">SUM(H44:H48)</f>
        <v>0</v>
      </c>
      <c r="I43" s="35" t="e">
        <f t="shared" si="29"/>
        <v>#DIV/0!</v>
      </c>
      <c r="J43" s="35">
        <f t="shared" si="29"/>
        <v>0</v>
      </c>
      <c r="K43" s="35">
        <f t="shared" si="29"/>
        <v>0</v>
      </c>
      <c r="L43" s="35">
        <f t="shared" si="29"/>
        <v>0</v>
      </c>
      <c r="M43" s="35">
        <f t="shared" si="29"/>
        <v>0</v>
      </c>
      <c r="N43" s="195" t="e">
        <f>C43/B43*100</f>
        <v>#DIV/0!</v>
      </c>
      <c r="O43" s="196" t="e">
        <f>D43/C43*100</f>
        <v>#DIV/0!</v>
      </c>
      <c r="P43" s="196" t="e">
        <f>E43/D43*100</f>
        <v>#DIV/0!</v>
      </c>
      <c r="Q43" s="196" t="e">
        <f>F43/E43*100</f>
        <v>#DIV/0!</v>
      </c>
      <c r="R43" s="196" t="e">
        <f>G43/F43*100</f>
        <v>#DIV/0!</v>
      </c>
    </row>
    <row r="44" spans="1:18">
      <c r="A44" s="75" t="s">
        <v>182</v>
      </c>
      <c r="B44" s="24"/>
      <c r="C44" s="24"/>
      <c r="D44" s="24"/>
      <c r="E44" s="24"/>
      <c r="F44" s="24"/>
      <c r="H44" s="28"/>
      <c r="I44" s="24"/>
      <c r="J44" s="24"/>
      <c r="K44" s="24"/>
      <c r="L44" s="24"/>
      <c r="M44" s="24"/>
      <c r="N44" s="193"/>
      <c r="O44" s="194"/>
      <c r="P44" s="194"/>
      <c r="Q44" s="194"/>
    </row>
    <row r="45" spans="1:18">
      <c r="A45" s="75" t="s">
        <v>183</v>
      </c>
      <c r="B45" s="24"/>
      <c r="C45" s="24"/>
      <c r="D45" s="24"/>
      <c r="E45" s="24"/>
      <c r="F45" s="24"/>
      <c r="H45" s="28"/>
      <c r="I45" s="24"/>
      <c r="J45" s="24"/>
      <c r="K45" s="24"/>
      <c r="L45" s="24"/>
      <c r="M45" s="24"/>
      <c r="N45" s="193"/>
      <c r="O45" s="194"/>
      <c r="P45" s="194"/>
      <c r="Q45" s="194"/>
    </row>
    <row r="46" spans="1:18">
      <c r="A46" s="73" t="s">
        <v>184</v>
      </c>
      <c r="B46" s="24"/>
      <c r="C46" s="24"/>
      <c r="D46" s="24"/>
      <c r="E46" s="24"/>
      <c r="F46" s="24"/>
      <c r="H46" s="28"/>
      <c r="I46" s="24" t="e">
        <f>C46/C59*100</f>
        <v>#DIV/0!</v>
      </c>
      <c r="J46" s="24"/>
      <c r="K46" s="24"/>
      <c r="L46" s="24"/>
      <c r="M46" s="24"/>
      <c r="N46" s="193"/>
      <c r="O46" s="194" t="e">
        <f>D46/C46*100</f>
        <v>#DIV/0!</v>
      </c>
      <c r="P46" s="194"/>
      <c r="Q46" s="194"/>
    </row>
    <row r="47" spans="1:18">
      <c r="A47" s="73" t="s">
        <v>185</v>
      </c>
      <c r="B47" s="24"/>
      <c r="C47" s="24"/>
      <c r="D47" s="24"/>
      <c r="E47" s="24"/>
      <c r="F47" s="24"/>
      <c r="H47" s="28"/>
      <c r="I47" s="24"/>
      <c r="J47" s="24"/>
      <c r="K47" s="24"/>
      <c r="L47" s="24"/>
      <c r="M47" s="24"/>
      <c r="N47" s="193"/>
      <c r="O47" s="194"/>
      <c r="P47" s="194"/>
      <c r="Q47" s="194"/>
    </row>
    <row r="48" spans="1:18">
      <c r="A48" s="73" t="s">
        <v>186</v>
      </c>
      <c r="B48" s="24"/>
      <c r="C48" s="24"/>
      <c r="D48" s="24"/>
      <c r="E48" s="24"/>
      <c r="F48" s="24"/>
      <c r="H48" s="28"/>
      <c r="I48" s="24"/>
      <c r="J48" s="24"/>
      <c r="K48" s="24"/>
      <c r="L48" s="24"/>
      <c r="M48" s="24"/>
      <c r="N48" s="193"/>
      <c r="O48" s="194"/>
      <c r="P48" s="194"/>
      <c r="Q48" s="194"/>
    </row>
    <row r="49" spans="1:18">
      <c r="A49" s="72" t="s">
        <v>174</v>
      </c>
      <c r="B49" s="35">
        <f t="shared" ref="B49:D49" si="30">SUM(B50:B58)</f>
        <v>0</v>
      </c>
      <c r="C49" s="35">
        <f t="shared" si="30"/>
        <v>0</v>
      </c>
      <c r="D49" s="35">
        <f t="shared" si="30"/>
        <v>0</v>
      </c>
      <c r="E49" s="35">
        <f t="shared" ref="E49:F49" si="31">SUM(E50:E58)</f>
        <v>-29995</v>
      </c>
      <c r="F49" s="35">
        <f t="shared" si="31"/>
        <v>-29995</v>
      </c>
      <c r="H49" s="34" t="e">
        <f t="shared" ref="H49:L49" si="32">SUM(H50:H58)</f>
        <v>#DIV/0!</v>
      </c>
      <c r="I49" s="35" t="e">
        <f t="shared" si="32"/>
        <v>#DIV/0!</v>
      </c>
      <c r="J49" s="35" t="e">
        <f t="shared" si="32"/>
        <v>#DIV/0!</v>
      </c>
      <c r="K49" s="35">
        <f t="shared" si="32"/>
        <v>0</v>
      </c>
      <c r="L49" s="35">
        <f t="shared" si="32"/>
        <v>0</v>
      </c>
      <c r="M49" s="35" t="e">
        <f>SUM(M50:M58)</f>
        <v>#DIV/0!</v>
      </c>
      <c r="N49" s="195" t="e">
        <f>C49/B49*100</f>
        <v>#DIV/0!</v>
      </c>
      <c r="O49" s="196" t="e">
        <f>D49/C49*100</f>
        <v>#DIV/0!</v>
      </c>
      <c r="P49" s="196" t="e">
        <f>E49/D49*100</f>
        <v>#DIV/0!</v>
      </c>
      <c r="Q49" s="196">
        <f>F49/E49*100</f>
        <v>100</v>
      </c>
      <c r="R49" s="196">
        <f>G49/F49*100</f>
        <v>0</v>
      </c>
    </row>
    <row r="50" spans="1:18">
      <c r="A50" s="73" t="s">
        <v>187</v>
      </c>
      <c r="B50" s="24"/>
      <c r="C50" s="24"/>
      <c r="D50" s="24"/>
      <c r="E50" s="24"/>
      <c r="F50" s="24"/>
      <c r="H50" s="28"/>
      <c r="I50" s="24"/>
      <c r="J50" s="24"/>
      <c r="K50" s="24"/>
      <c r="L50" s="24"/>
      <c r="M50" s="24"/>
      <c r="N50" s="193"/>
      <c r="O50" s="194"/>
      <c r="P50" s="194"/>
      <c r="Q50" s="194"/>
    </row>
    <row r="51" spans="1:18">
      <c r="A51" s="73" t="s">
        <v>188</v>
      </c>
      <c r="B51" s="24"/>
      <c r="C51" s="24"/>
      <c r="D51" s="24"/>
      <c r="E51" s="24">
        <v>-29995</v>
      </c>
      <c r="F51" s="24">
        <v>-29995</v>
      </c>
      <c r="H51" s="28"/>
      <c r="I51" s="24"/>
      <c r="J51" s="24"/>
      <c r="K51" s="24"/>
      <c r="L51" s="24"/>
      <c r="M51" s="24"/>
      <c r="N51" s="193"/>
      <c r="O51" s="194"/>
      <c r="P51" s="194"/>
      <c r="Q51" s="194"/>
    </row>
    <row r="52" spans="1:18">
      <c r="A52" s="73" t="s">
        <v>189</v>
      </c>
      <c r="B52" s="24"/>
      <c r="C52" s="24"/>
      <c r="D52" s="24"/>
      <c r="E52" s="24"/>
      <c r="F52" s="24"/>
      <c r="H52" s="28"/>
      <c r="I52" s="24"/>
      <c r="J52" s="24"/>
      <c r="K52" s="24"/>
      <c r="L52" s="24"/>
      <c r="M52" s="24" t="e">
        <f>G52/G59*100</f>
        <v>#DIV/0!</v>
      </c>
      <c r="N52" s="193"/>
      <c r="O52" s="194"/>
      <c r="P52" s="194"/>
      <c r="Q52" s="194"/>
      <c r="R52" s="194" t="e">
        <f>G52/F52*100</f>
        <v>#DIV/0!</v>
      </c>
    </row>
    <row r="53" spans="1:18">
      <c r="A53" s="73" t="s">
        <v>190</v>
      </c>
      <c r="B53" s="24"/>
      <c r="C53" s="24"/>
      <c r="D53" s="24"/>
      <c r="E53" s="24"/>
      <c r="F53" s="24"/>
      <c r="H53" s="28" t="e">
        <f t="shared" ref="H53:M53" si="33">B53/B59*100</f>
        <v>#DIV/0!</v>
      </c>
      <c r="I53" s="24" t="e">
        <f t="shared" si="33"/>
        <v>#DIV/0!</v>
      </c>
      <c r="J53" s="24" t="e">
        <f t="shared" si="33"/>
        <v>#DIV/0!</v>
      </c>
      <c r="K53" s="24">
        <f t="shared" si="33"/>
        <v>0</v>
      </c>
      <c r="L53" s="24">
        <f t="shared" si="33"/>
        <v>0</v>
      </c>
      <c r="M53" s="24" t="e">
        <f t="shared" si="33"/>
        <v>#DIV/0!</v>
      </c>
      <c r="N53" s="193" t="e">
        <f>C53/B53*100</f>
        <v>#DIV/0!</v>
      </c>
      <c r="O53" s="194" t="e">
        <f>D53/C53*100</f>
        <v>#DIV/0!</v>
      </c>
      <c r="P53" s="194" t="e">
        <f>E53/D53*100</f>
        <v>#DIV/0!</v>
      </c>
      <c r="Q53" s="194" t="e">
        <f>F53/E53*100</f>
        <v>#DIV/0!</v>
      </c>
      <c r="R53" s="194" t="e">
        <f>G53/F53*100</f>
        <v>#DIV/0!</v>
      </c>
    </row>
    <row r="54" spans="1:18">
      <c r="A54" s="73" t="s">
        <v>191</v>
      </c>
      <c r="C54" s="24"/>
      <c r="D54" s="24"/>
      <c r="F54" s="24"/>
      <c r="H54" s="28"/>
      <c r="I54" s="24"/>
      <c r="J54" s="24"/>
      <c r="K54" s="24"/>
      <c r="L54" s="24"/>
      <c r="M54" s="24"/>
      <c r="N54" s="193"/>
      <c r="O54" s="194"/>
      <c r="P54" s="194"/>
      <c r="Q54" s="194"/>
    </row>
    <row r="55" spans="1:18">
      <c r="A55" s="73" t="s">
        <v>192</v>
      </c>
      <c r="B55" s="24"/>
      <c r="C55" s="24"/>
      <c r="D55" s="24"/>
      <c r="E55" s="24"/>
      <c r="F55" s="24"/>
      <c r="H55" s="28"/>
      <c r="I55" s="24"/>
      <c r="J55" s="24"/>
      <c r="K55" s="24"/>
      <c r="L55" s="24"/>
      <c r="M55" s="24"/>
      <c r="N55" s="193"/>
      <c r="O55" s="194"/>
      <c r="P55" s="194"/>
      <c r="Q55" s="194"/>
    </row>
    <row r="56" spans="1:18">
      <c r="A56" s="73" t="s">
        <v>193</v>
      </c>
      <c r="B56" s="24"/>
      <c r="C56" s="24"/>
      <c r="D56" s="24"/>
      <c r="E56" s="24"/>
      <c r="F56" s="24"/>
      <c r="H56" s="28"/>
      <c r="I56" s="24"/>
      <c r="J56" s="24"/>
      <c r="K56" s="24"/>
      <c r="L56" s="24"/>
      <c r="M56" s="24"/>
      <c r="N56" s="193"/>
      <c r="O56" s="194"/>
      <c r="P56" s="194"/>
      <c r="Q56" s="194"/>
    </row>
    <row r="57" spans="1:18">
      <c r="A57" s="73" t="s">
        <v>194</v>
      </c>
      <c r="B57" s="24"/>
      <c r="C57" s="24"/>
      <c r="D57" s="24"/>
      <c r="E57" s="24"/>
      <c r="F57" s="24"/>
      <c r="H57" s="28" t="e">
        <f t="shared" ref="H57:M57" si="34">B57/B59*100</f>
        <v>#DIV/0!</v>
      </c>
      <c r="I57" s="24" t="e">
        <f t="shared" si="34"/>
        <v>#DIV/0!</v>
      </c>
      <c r="J57" s="24" t="e">
        <f t="shared" si="34"/>
        <v>#DIV/0!</v>
      </c>
      <c r="K57" s="24">
        <f t="shared" si="34"/>
        <v>0</v>
      </c>
      <c r="L57" s="24">
        <f t="shared" si="34"/>
        <v>0</v>
      </c>
      <c r="M57" s="24" t="e">
        <f t="shared" si="34"/>
        <v>#DIV/0!</v>
      </c>
      <c r="N57" s="193" t="e">
        <f>C57/B57*100</f>
        <v>#DIV/0!</v>
      </c>
      <c r="O57" s="194" t="e">
        <f>D57/C57*100</f>
        <v>#DIV/0!</v>
      </c>
      <c r="P57" s="194" t="e">
        <f>E57/D57*100</f>
        <v>#DIV/0!</v>
      </c>
      <c r="Q57" s="194" t="e">
        <f>F57/E57*100</f>
        <v>#DIV/0!</v>
      </c>
      <c r="R57" s="194" t="e">
        <f>G57/F57*100</f>
        <v>#DIV/0!</v>
      </c>
    </row>
    <row r="58" spans="1:18">
      <c r="A58" s="73" t="s">
        <v>195</v>
      </c>
      <c r="B58" s="24"/>
      <c r="C58" s="24"/>
      <c r="D58" s="24"/>
      <c r="E58" s="24"/>
      <c r="F58" s="24"/>
      <c r="H58" s="28" t="e">
        <f>B58/B59*100</f>
        <v>#DIV/0!</v>
      </c>
      <c r="I58" s="24" t="e">
        <f>C58/C59*100</f>
        <v>#DIV/0!</v>
      </c>
      <c r="J58" s="24"/>
      <c r="K58" s="24"/>
      <c r="L58" s="24"/>
      <c r="M58" s="24"/>
      <c r="N58" s="193" t="e">
        <f>C58/B58*100</f>
        <v>#DIV/0!</v>
      </c>
      <c r="O58" s="194"/>
      <c r="P58" s="194"/>
      <c r="Q58" s="194"/>
    </row>
    <row r="59" spans="1:18">
      <c r="A59" s="72" t="s">
        <v>196</v>
      </c>
      <c r="B59" s="35">
        <f t="shared" ref="B59:D59" si="35">B43+B49</f>
        <v>0</v>
      </c>
      <c r="C59" s="35">
        <f t="shared" si="35"/>
        <v>0</v>
      </c>
      <c r="D59" s="35">
        <f t="shared" si="35"/>
        <v>0</v>
      </c>
      <c r="E59" s="35">
        <f t="shared" ref="E59:F59" si="36">E43+E49</f>
        <v>-29995</v>
      </c>
      <c r="F59" s="35">
        <f t="shared" si="36"/>
        <v>-29995</v>
      </c>
      <c r="H59" s="34" t="e">
        <f t="shared" ref="H59:M59" si="37">SUM(H43,H49)</f>
        <v>#DIV/0!</v>
      </c>
      <c r="I59" s="35" t="e">
        <f t="shared" si="37"/>
        <v>#DIV/0!</v>
      </c>
      <c r="J59" s="35" t="e">
        <f t="shared" si="37"/>
        <v>#DIV/0!</v>
      </c>
      <c r="K59" s="35">
        <f t="shared" si="37"/>
        <v>0</v>
      </c>
      <c r="L59" s="35">
        <f t="shared" si="37"/>
        <v>0</v>
      </c>
      <c r="M59" s="35" t="e">
        <f t="shared" si="37"/>
        <v>#DIV/0!</v>
      </c>
      <c r="N59" s="195" t="e">
        <f>C59/B59*100</f>
        <v>#DIV/0!</v>
      </c>
      <c r="O59" s="196" t="e">
        <f>D59/C59*100</f>
        <v>#DIV/0!</v>
      </c>
      <c r="P59" s="196" t="e">
        <f>E59/D59*100</f>
        <v>#DIV/0!</v>
      </c>
      <c r="Q59" s="196">
        <f>F59/E59*100</f>
        <v>100</v>
      </c>
      <c r="R59" s="196">
        <f>G59/F59*100</f>
        <v>0</v>
      </c>
    </row>
    <row r="60" spans="1:18">
      <c r="A60" s="71" t="s">
        <v>197</v>
      </c>
      <c r="B60" s="35">
        <f t="shared" ref="B60:D60" si="38">B18+B41+B59</f>
        <v>0</v>
      </c>
      <c r="C60" s="35">
        <f t="shared" si="38"/>
        <v>0</v>
      </c>
      <c r="D60" s="35">
        <f t="shared" si="38"/>
        <v>0</v>
      </c>
      <c r="E60" s="35">
        <f>E18+E41+E59</f>
        <v>40437</v>
      </c>
      <c r="F60" s="35">
        <f t="shared" ref="F60" si="39">F18+F41+F59</f>
        <v>22315</v>
      </c>
      <c r="H60" s="34"/>
      <c r="I60" s="35"/>
      <c r="J60" s="35"/>
      <c r="K60" s="35"/>
      <c r="L60" s="35"/>
      <c r="M60" s="35"/>
      <c r="N60" s="34"/>
      <c r="O60" s="35"/>
      <c r="P60" s="35"/>
      <c r="Q60" s="35"/>
    </row>
    <row r="61" spans="1:18">
      <c r="A61" s="71" t="s">
        <v>198</v>
      </c>
      <c r="B61" s="35">
        <f t="shared" ref="B61:D61" si="40">B60</f>
        <v>0</v>
      </c>
      <c r="C61" s="35">
        <f>C60</f>
        <v>0</v>
      </c>
      <c r="D61" s="35">
        <f t="shared" si="40"/>
        <v>0</v>
      </c>
      <c r="E61" s="35">
        <f t="shared" ref="E61" si="41">E60</f>
        <v>40437</v>
      </c>
      <c r="F61" s="35">
        <f>F60</f>
        <v>22315</v>
      </c>
      <c r="H61" s="34"/>
      <c r="I61" s="35"/>
      <c r="J61" s="35"/>
      <c r="K61" s="35"/>
      <c r="L61" s="35"/>
      <c r="M61" s="35"/>
      <c r="N61" s="34"/>
      <c r="O61" s="35"/>
      <c r="P61" s="35"/>
      <c r="Q61" s="35"/>
    </row>
    <row r="62" spans="1:18">
      <c r="A62" s="73" t="s">
        <v>199</v>
      </c>
      <c r="B62" s="24"/>
      <c r="C62" s="24"/>
      <c r="D62" s="24"/>
      <c r="E62" s="24"/>
      <c r="F62" s="24"/>
      <c r="H62" s="28"/>
      <c r="I62" s="24"/>
      <c r="J62" s="24"/>
      <c r="K62" s="24"/>
      <c r="L62" s="24"/>
      <c r="M62" s="24"/>
      <c r="N62" s="28"/>
      <c r="O62" s="24"/>
      <c r="P62" s="24"/>
      <c r="Q62" s="24"/>
    </row>
    <row r="63" spans="1:18">
      <c r="A63" s="72" t="s">
        <v>200</v>
      </c>
      <c r="B63" s="35"/>
      <c r="C63" s="35"/>
      <c r="D63" s="35"/>
      <c r="E63" s="35"/>
      <c r="F63" s="35"/>
      <c r="H63" s="34"/>
      <c r="I63" s="35"/>
      <c r="J63" s="35"/>
      <c r="K63" s="35"/>
      <c r="L63" s="35"/>
      <c r="M63" s="35"/>
      <c r="N63" s="34"/>
      <c r="O63" s="35"/>
      <c r="P63" s="35"/>
      <c r="Q63" s="35"/>
    </row>
    <row r="64" spans="1:18">
      <c r="A64" s="71" t="s">
        <v>201</v>
      </c>
      <c r="B64" s="35">
        <f>B63+B60+B62</f>
        <v>0</v>
      </c>
      <c r="C64" s="35">
        <f t="shared" ref="C64:D64" si="42">C63+C60+C62</f>
        <v>0</v>
      </c>
      <c r="D64" s="35">
        <f t="shared" si="42"/>
        <v>0</v>
      </c>
      <c r="E64" s="35">
        <f>E63+E60+E62</f>
        <v>40437</v>
      </c>
      <c r="F64" s="35">
        <f t="shared" ref="F64" si="43">F63+F60+F62</f>
        <v>22315</v>
      </c>
      <c r="H64" s="34"/>
      <c r="I64" s="35"/>
      <c r="J64" s="35"/>
      <c r="K64" s="35"/>
      <c r="L64" s="35"/>
      <c r="M64" s="35"/>
      <c r="N64" s="34"/>
      <c r="O64" s="35"/>
      <c r="P64" s="35"/>
      <c r="Q64" s="35"/>
    </row>
    <row r="65" spans="1:17">
      <c r="A65" s="76" t="s">
        <v>202</v>
      </c>
      <c r="B65" s="77"/>
      <c r="C65" s="77"/>
      <c r="D65" s="77"/>
      <c r="E65" s="77"/>
      <c r="F65" s="77"/>
      <c r="H65" s="28"/>
      <c r="I65" s="24"/>
      <c r="J65" s="24"/>
      <c r="K65" s="24"/>
      <c r="L65" s="24"/>
      <c r="M65" s="24"/>
      <c r="N65" s="28"/>
      <c r="O65" s="24"/>
      <c r="P65" s="24"/>
      <c r="Q65" s="24"/>
    </row>
    <row r="66" spans="1:17">
      <c r="B66" s="24">
        <f>'bilans '!B58</f>
        <v>0</v>
      </c>
      <c r="C66" s="24">
        <f>'bilans '!C58</f>
        <v>0</v>
      </c>
      <c r="D66" s="24">
        <f>'bilans '!D58</f>
        <v>0</v>
      </c>
      <c r="E66" s="24">
        <f>'bilans '!E58</f>
        <v>108189</v>
      </c>
      <c r="F66" s="24">
        <f>'bilans '!F58</f>
        <v>130598</v>
      </c>
    </row>
    <row r="67" spans="1:17">
      <c r="A67" s="18"/>
    </row>
    <row r="68" spans="1:17">
      <c r="A68" s="18"/>
    </row>
    <row r="69" spans="1:17">
      <c r="B69" s="3"/>
      <c r="C69" s="3"/>
      <c r="D69" s="3"/>
      <c r="E69" s="3"/>
      <c r="F69" s="3"/>
    </row>
    <row r="70" spans="1:17">
      <c r="B70" s="1">
        <f t="shared" ref="B70:F70" si="44">B4</f>
        <v>2011</v>
      </c>
      <c r="C70" s="1">
        <f t="shared" si="44"/>
        <v>2012</v>
      </c>
      <c r="D70" s="1">
        <f t="shared" si="44"/>
        <v>2013</v>
      </c>
      <c r="E70" s="1">
        <f t="shared" si="44"/>
        <v>2014</v>
      </c>
      <c r="F70" s="1">
        <f t="shared" si="44"/>
        <v>2015</v>
      </c>
    </row>
    <row r="71" spans="1:17">
      <c r="A71" s="82" t="s">
        <v>20</v>
      </c>
      <c r="B71" s="40">
        <f t="shared" ref="B71:F71" si="45">B18</f>
        <v>0</v>
      </c>
      <c r="C71" s="40">
        <f t="shared" si="45"/>
        <v>0</v>
      </c>
      <c r="D71" s="40">
        <f t="shared" si="45"/>
        <v>0</v>
      </c>
      <c r="E71" s="40">
        <f t="shared" si="45"/>
        <v>100894</v>
      </c>
      <c r="F71" s="40">
        <f t="shared" si="45"/>
        <v>114654</v>
      </c>
    </row>
    <row r="72" spans="1:17">
      <c r="A72" s="82" t="s">
        <v>21</v>
      </c>
      <c r="B72" s="40">
        <f t="shared" ref="B72:F72" si="46">B41</f>
        <v>0</v>
      </c>
      <c r="C72" s="40">
        <f t="shared" si="46"/>
        <v>0</v>
      </c>
      <c r="D72" s="40">
        <f t="shared" si="46"/>
        <v>0</v>
      </c>
      <c r="E72" s="40">
        <f t="shared" si="46"/>
        <v>-30462</v>
      </c>
      <c r="F72" s="40">
        <f t="shared" si="46"/>
        <v>-62344</v>
      </c>
    </row>
    <row r="73" spans="1:17">
      <c r="A73" s="82" t="s">
        <v>22</v>
      </c>
      <c r="B73" s="40">
        <f t="shared" ref="B73:F73" si="47">B59</f>
        <v>0</v>
      </c>
      <c r="C73" s="40">
        <f t="shared" si="47"/>
        <v>0</v>
      </c>
      <c r="D73" s="40">
        <f t="shared" si="47"/>
        <v>0</v>
      </c>
      <c r="E73" s="40">
        <f t="shared" si="47"/>
        <v>-29995</v>
      </c>
      <c r="F73" s="40">
        <f t="shared" si="47"/>
        <v>-29995</v>
      </c>
    </row>
    <row r="74" spans="1:17">
      <c r="A74" s="83" t="s">
        <v>23</v>
      </c>
      <c r="B74" s="41">
        <f t="shared" ref="B74:F74" si="48">SUM(B71:B73)</f>
        <v>0</v>
      </c>
      <c r="C74" s="41">
        <f t="shared" si="48"/>
        <v>0</v>
      </c>
      <c r="D74" s="41">
        <f t="shared" si="48"/>
        <v>0</v>
      </c>
      <c r="E74" s="41">
        <f t="shared" si="48"/>
        <v>40437</v>
      </c>
      <c r="F74" s="41">
        <f t="shared" si="48"/>
        <v>22315</v>
      </c>
    </row>
    <row r="76" spans="1:17">
      <c r="A76" s="229" t="s">
        <v>204</v>
      </c>
      <c r="B76" s="203" t="s">
        <v>203</v>
      </c>
      <c r="C76" s="204"/>
      <c r="D76" s="204"/>
      <c r="E76" s="204"/>
      <c r="F76" s="204"/>
    </row>
    <row r="77" spans="1:17">
      <c r="A77" s="230"/>
      <c r="B77" s="114">
        <v>2011</v>
      </c>
      <c r="C77" s="114">
        <v>2012</v>
      </c>
      <c r="D77" s="8">
        <v>2013</v>
      </c>
      <c r="E77" s="114">
        <v>2014</v>
      </c>
      <c r="F77" s="114">
        <v>2015</v>
      </c>
    </row>
    <row r="78" spans="1:17">
      <c r="A78" s="71" t="s">
        <v>150</v>
      </c>
      <c r="B78" s="125"/>
      <c r="C78" s="125"/>
      <c r="D78" s="125"/>
      <c r="E78" s="125"/>
      <c r="F78" s="125"/>
      <c r="H78" s="225" t="s">
        <v>264</v>
      </c>
      <c r="I78" s="225"/>
      <c r="J78" s="7" t="s">
        <v>266</v>
      </c>
      <c r="M78" s="7" t="s">
        <v>267</v>
      </c>
    </row>
    <row r="79" spans="1:17">
      <c r="A79" s="72" t="s">
        <v>151</v>
      </c>
      <c r="B79" s="35"/>
      <c r="C79" s="35"/>
      <c r="D79" s="35"/>
      <c r="E79" s="35"/>
      <c r="F79" s="35"/>
      <c r="H79" s="7">
        <v>2013</v>
      </c>
      <c r="I79" s="124" t="e">
        <f>'bilans '!#REF!*0.07</f>
        <v>#REF!</v>
      </c>
    </row>
    <row r="80" spans="1:17">
      <c r="A80" s="72" t="s">
        <v>152</v>
      </c>
      <c r="B80" s="35">
        <f>SUM(B81:B90)</f>
        <v>0</v>
      </c>
      <c r="C80" s="35">
        <f t="shared" ref="C80:D80" si="49">SUM(C81:C90)</f>
        <v>0</v>
      </c>
      <c r="D80" s="35" t="e">
        <f t="shared" si="49"/>
        <v>#REF!</v>
      </c>
      <c r="E80" s="35" t="e">
        <f>SUM(E81:E90)</f>
        <v>#REF!</v>
      </c>
      <c r="F80" s="35" t="e">
        <f t="shared" ref="F80" si="50">SUM(F81:F90)</f>
        <v>#REF!</v>
      </c>
      <c r="H80" s="7">
        <v>2014</v>
      </c>
      <c r="I80" s="124" t="e">
        <f>'bilans '!#REF!*0.07</f>
        <v>#REF!</v>
      </c>
    </row>
    <row r="81" spans="1:13">
      <c r="A81" s="73" t="s">
        <v>10</v>
      </c>
      <c r="B81" s="24"/>
      <c r="C81" s="24"/>
      <c r="D81" s="127" t="e">
        <f>1022000+$I79+$I83</f>
        <v>#REF!</v>
      </c>
      <c r="E81" s="127" t="e">
        <f>1022000+I80+I84</f>
        <v>#REF!</v>
      </c>
      <c r="F81" s="127" t="e">
        <f>+I81+I85</f>
        <v>#REF!</v>
      </c>
      <c r="H81" s="7">
        <v>2015</v>
      </c>
      <c r="I81" s="124" t="e">
        <f>'bilans '!#REF!*0.07</f>
        <v>#REF!</v>
      </c>
    </row>
    <row r="82" spans="1:13">
      <c r="A82" s="73" t="s">
        <v>153</v>
      </c>
      <c r="B82" s="24"/>
      <c r="C82" s="24"/>
      <c r="D82" s="24"/>
      <c r="E82" s="24"/>
      <c r="F82" s="24"/>
      <c r="H82" s="225" t="s">
        <v>265</v>
      </c>
      <c r="I82" s="225"/>
      <c r="J82" s="7" t="s">
        <v>266</v>
      </c>
      <c r="M82" s="7" t="s">
        <v>267</v>
      </c>
    </row>
    <row r="83" spans="1:13">
      <c r="A83" s="73" t="s">
        <v>154</v>
      </c>
      <c r="B83" s="24"/>
      <c r="C83" s="24"/>
      <c r="D83" s="24"/>
      <c r="E83" s="24"/>
      <c r="F83" s="24"/>
      <c r="H83" s="7">
        <v>2013</v>
      </c>
      <c r="I83" s="124" t="e">
        <f>'bilans '!#REF!*0.07</f>
        <v>#REF!</v>
      </c>
    </row>
    <row r="84" spans="1:13">
      <c r="A84" s="73" t="s">
        <v>155</v>
      </c>
      <c r="B84" s="24"/>
      <c r="C84" s="24"/>
      <c r="D84" s="24"/>
      <c r="E84" s="24"/>
      <c r="F84" s="24"/>
      <c r="H84" s="7">
        <v>2014</v>
      </c>
      <c r="I84" s="124" t="e">
        <f>'bilans '!#REF!*0.07</f>
        <v>#REF!</v>
      </c>
    </row>
    <row r="85" spans="1:13">
      <c r="A85" s="73" t="s">
        <v>156</v>
      </c>
      <c r="B85" s="24"/>
      <c r="C85" s="24"/>
      <c r="D85" s="24"/>
      <c r="E85" s="24"/>
      <c r="F85" s="24"/>
      <c r="H85" s="7">
        <v>2015</v>
      </c>
      <c r="I85" s="124" t="e">
        <f>'bilans '!#REF!*0.07</f>
        <v>#REF!</v>
      </c>
    </row>
    <row r="86" spans="1:13">
      <c r="A86" s="73" t="s">
        <v>11</v>
      </c>
      <c r="B86" s="97"/>
      <c r="C86" s="97"/>
      <c r="D86" s="128"/>
      <c r="E86" s="97"/>
      <c r="F86" s="97"/>
    </row>
    <row r="87" spans="1:13">
      <c r="A87" s="73" t="s">
        <v>157</v>
      </c>
      <c r="B87" s="97"/>
      <c r="C87" s="97"/>
      <c r="D87" s="97"/>
      <c r="E87" s="97"/>
      <c r="F87" s="97"/>
      <c r="H87" s="226" t="s">
        <v>259</v>
      </c>
      <c r="I87" s="226"/>
    </row>
    <row r="88" spans="1:13">
      <c r="A88" s="73" t="s">
        <v>158</v>
      </c>
      <c r="B88" s="24"/>
      <c r="C88" s="24"/>
      <c r="D88" s="24"/>
      <c r="E88" s="24"/>
      <c r="F88" s="24"/>
      <c r="H88" s="224"/>
      <c r="I88" s="224"/>
    </row>
    <row r="89" spans="1:13">
      <c r="A89" s="73" t="s">
        <v>12</v>
      </c>
      <c r="B89" s="24"/>
      <c r="C89" s="24"/>
      <c r="D89" s="24"/>
      <c r="E89" s="24"/>
      <c r="F89" s="24"/>
    </row>
    <row r="90" spans="1:13">
      <c r="A90" s="73" t="s">
        <v>159</v>
      </c>
      <c r="B90" s="24"/>
      <c r="C90" s="24"/>
      <c r="D90" s="24"/>
      <c r="E90" s="24"/>
      <c r="F90" s="24"/>
    </row>
    <row r="91" spans="1:13">
      <c r="A91" s="72" t="s">
        <v>160</v>
      </c>
      <c r="B91" s="35">
        <f>B79+B80</f>
        <v>0</v>
      </c>
      <c r="C91" s="35">
        <f t="shared" ref="C91:D91" si="51">C79+C80</f>
        <v>0</v>
      </c>
      <c r="D91" s="35" t="e">
        <f t="shared" si="51"/>
        <v>#REF!</v>
      </c>
      <c r="E91" s="35" t="e">
        <f>E79+E80</f>
        <v>#REF!</v>
      </c>
      <c r="F91" s="35" t="e">
        <f t="shared" ref="F91" si="52">F79+F80</f>
        <v>#REF!</v>
      </c>
    </row>
    <row r="92" spans="1:13">
      <c r="A92" s="71" t="s">
        <v>161</v>
      </c>
      <c r="B92" s="24"/>
      <c r="C92" s="24"/>
      <c r="D92" s="24"/>
      <c r="E92" s="24"/>
      <c r="F92" s="24"/>
    </row>
    <row r="93" spans="1:13">
      <c r="A93" s="72" t="s">
        <v>162</v>
      </c>
      <c r="B93" s="35">
        <f t="shared" ref="B93:D93" si="53">B94+B95+B96+B104</f>
        <v>0</v>
      </c>
      <c r="C93" s="35">
        <f t="shared" si="53"/>
        <v>0</v>
      </c>
      <c r="D93" s="35">
        <f t="shared" si="53"/>
        <v>0</v>
      </c>
      <c r="E93" s="35">
        <f t="shared" ref="E93:F93" si="54">E94+E95+E96+E104</f>
        <v>0</v>
      </c>
      <c r="F93" s="35">
        <f t="shared" si="54"/>
        <v>0</v>
      </c>
      <c r="H93" s="118" t="s">
        <v>269</v>
      </c>
      <c r="I93" s="118"/>
    </row>
    <row r="94" spans="1:13">
      <c r="A94" s="73" t="s">
        <v>163</v>
      </c>
      <c r="B94" s="24"/>
      <c r="C94" s="24"/>
      <c r="D94" s="24"/>
      <c r="E94" s="24"/>
      <c r="F94" s="24"/>
      <c r="H94" s="46" t="s">
        <v>260</v>
      </c>
      <c r="I94" s="122"/>
    </row>
    <row r="95" spans="1:13">
      <c r="A95" s="73" t="s">
        <v>164</v>
      </c>
      <c r="B95" s="24"/>
      <c r="C95" s="24"/>
      <c r="D95" s="24"/>
      <c r="E95" s="24"/>
      <c r="F95" s="24"/>
      <c r="H95" s="46" t="s">
        <v>261</v>
      </c>
      <c r="I95" s="122"/>
    </row>
    <row r="96" spans="1:13">
      <c r="A96" s="73" t="s">
        <v>165</v>
      </c>
      <c r="B96" s="24">
        <f t="shared" ref="B96" si="55">SUM(B97:B98)</f>
        <v>0</v>
      </c>
      <c r="C96" s="24">
        <f>SUM(C97:C98)</f>
        <v>0</v>
      </c>
      <c r="D96" s="24">
        <f>SUM(D97:D98)</f>
        <v>0</v>
      </c>
      <c r="E96" s="24">
        <f t="shared" ref="E96" si="56">SUM(E97:E98)</f>
        <v>0</v>
      </c>
      <c r="F96" s="24">
        <f>SUM(F97:F98)</f>
        <v>0</v>
      </c>
    </row>
    <row r="97" spans="1:9">
      <c r="A97" s="74" t="s">
        <v>166</v>
      </c>
      <c r="B97" s="24"/>
      <c r="C97" s="109"/>
      <c r="D97" s="109"/>
      <c r="E97" s="24"/>
      <c r="F97" s="109"/>
    </row>
    <row r="98" spans="1:9">
      <c r="A98" s="74" t="s">
        <v>167</v>
      </c>
      <c r="B98" s="24">
        <f t="shared" ref="B98" si="57">SUM(B99:B103)</f>
        <v>0</v>
      </c>
      <c r="C98" s="24">
        <f>SUM(C100:C103)</f>
        <v>0</v>
      </c>
      <c r="D98" s="24">
        <f>SUM(D100:D103)</f>
        <v>0</v>
      </c>
      <c r="E98" s="24">
        <f t="shared" ref="E98" si="58">SUM(E99:E103)</f>
        <v>0</v>
      </c>
      <c r="F98" s="24">
        <f>SUM(F100:F103)</f>
        <v>0</v>
      </c>
    </row>
    <row r="99" spans="1:9">
      <c r="A99" s="74" t="s">
        <v>168</v>
      </c>
      <c r="B99" s="24"/>
      <c r="E99" s="24"/>
    </row>
    <row r="100" spans="1:9">
      <c r="A100" s="74" t="s">
        <v>169</v>
      </c>
      <c r="B100" s="24"/>
      <c r="C100" s="24"/>
      <c r="D100" s="24"/>
      <c r="E100" s="24"/>
      <c r="F100" s="24"/>
    </row>
    <row r="101" spans="1:9">
      <c r="A101" s="74" t="s">
        <v>170</v>
      </c>
      <c r="B101" s="24"/>
      <c r="C101" s="24"/>
      <c r="D101" s="24"/>
      <c r="E101" s="24"/>
      <c r="F101" s="24"/>
    </row>
    <row r="102" spans="1:9">
      <c r="A102" s="74" t="s">
        <v>171</v>
      </c>
      <c r="B102" s="24"/>
      <c r="C102" s="24"/>
      <c r="D102" s="24"/>
      <c r="E102" s="24"/>
      <c r="F102" s="24"/>
    </row>
    <row r="103" spans="1:9">
      <c r="A103" s="74" t="s">
        <v>172</v>
      </c>
      <c r="B103" s="24"/>
      <c r="C103" s="24"/>
      <c r="D103" s="24"/>
      <c r="E103" s="24"/>
      <c r="F103" s="24"/>
      <c r="H103" s="223" t="s">
        <v>268</v>
      </c>
      <c r="I103" s="223"/>
    </row>
    <row r="104" spans="1:9">
      <c r="A104" s="73" t="s">
        <v>173</v>
      </c>
      <c r="B104" s="24"/>
      <c r="C104" s="24"/>
      <c r="D104" s="24"/>
      <c r="E104" s="24"/>
      <c r="F104" s="24"/>
      <c r="H104" s="7">
        <v>2013</v>
      </c>
      <c r="I104" s="191"/>
    </row>
    <row r="105" spans="1:9">
      <c r="A105" s="72" t="s">
        <v>174</v>
      </c>
      <c r="B105" s="35">
        <f t="shared" ref="B105:D105" si="59">B106+B107+B108+B113</f>
        <v>0</v>
      </c>
      <c r="C105" s="35">
        <f t="shared" si="59"/>
        <v>0</v>
      </c>
      <c r="D105" s="35">
        <f t="shared" si="59"/>
        <v>0</v>
      </c>
      <c r="E105" s="35">
        <f t="shared" ref="E105:F105" si="60">E106+E107+E108+E113</f>
        <v>0</v>
      </c>
      <c r="F105" s="35">
        <f t="shared" si="60"/>
        <v>0</v>
      </c>
      <c r="H105" s="7">
        <v>2014</v>
      </c>
      <c r="I105" s="191"/>
    </row>
    <row r="106" spans="1:9">
      <c r="A106" s="73" t="s">
        <v>175</v>
      </c>
      <c r="B106" s="24"/>
      <c r="C106" s="24"/>
      <c r="D106" s="123">
        <f>-I94-I95</f>
        <v>0</v>
      </c>
      <c r="E106" s="24"/>
      <c r="F106" s="24"/>
      <c r="H106" s="7">
        <v>2015</v>
      </c>
      <c r="I106" s="191"/>
    </row>
    <row r="107" spans="1:9">
      <c r="A107" s="73" t="s">
        <v>176</v>
      </c>
      <c r="B107" s="24"/>
      <c r="C107" s="24"/>
      <c r="E107" s="24"/>
      <c r="F107" s="24"/>
    </row>
    <row r="108" spans="1:9">
      <c r="A108" s="73" t="s">
        <v>177</v>
      </c>
      <c r="B108" s="24">
        <f t="shared" ref="B108:D108" si="61">SUM(B109:B110)</f>
        <v>0</v>
      </c>
      <c r="C108" s="24">
        <f t="shared" si="61"/>
        <v>0</v>
      </c>
      <c r="D108" s="24">
        <f t="shared" si="61"/>
        <v>0</v>
      </c>
      <c r="E108" s="24">
        <f t="shared" ref="E108:F108" si="62">SUM(E109:E110)</f>
        <v>0</v>
      </c>
      <c r="F108" s="24">
        <f t="shared" si="62"/>
        <v>0</v>
      </c>
    </row>
    <row r="109" spans="1:9">
      <c r="A109" s="74" t="s">
        <v>166</v>
      </c>
      <c r="B109" s="24"/>
      <c r="C109" s="24"/>
      <c r="D109" s="24"/>
      <c r="E109" s="24"/>
      <c r="F109" s="24"/>
      <c r="H109" s="119" t="s">
        <v>258</v>
      </c>
      <c r="I109" s="120"/>
    </row>
    <row r="110" spans="1:9" ht="12">
      <c r="A110" s="74" t="s">
        <v>167</v>
      </c>
      <c r="B110" s="24">
        <f t="shared" ref="B110:D110" si="63">SUM(B111:B112)</f>
        <v>0</v>
      </c>
      <c r="C110" s="24">
        <f t="shared" si="63"/>
        <v>0</v>
      </c>
      <c r="D110" s="24">
        <f t="shared" si="63"/>
        <v>0</v>
      </c>
      <c r="E110" s="24">
        <f t="shared" ref="E110:F110" si="64">SUM(E111:E112)</f>
        <v>0</v>
      </c>
      <c r="F110" s="24">
        <f t="shared" si="64"/>
        <v>0</v>
      </c>
      <c r="H110" s="115" t="s">
        <v>255</v>
      </c>
      <c r="I110" s="116" t="s">
        <v>270</v>
      </c>
    </row>
    <row r="111" spans="1:9" ht="12">
      <c r="A111" s="74" t="s">
        <v>178</v>
      </c>
      <c r="B111" s="24"/>
      <c r="C111" s="24"/>
      <c r="D111" s="24"/>
      <c r="E111" s="24"/>
      <c r="F111" s="24"/>
      <c r="H111" s="115">
        <v>2015</v>
      </c>
      <c r="I111" s="116"/>
    </row>
    <row r="112" spans="1:9" ht="12">
      <c r="A112" s="74" t="s">
        <v>179</v>
      </c>
      <c r="B112" s="24"/>
      <c r="C112" s="24">
        <v>0</v>
      </c>
      <c r="D112" s="24"/>
      <c r="E112" s="24"/>
      <c r="F112" s="24">
        <v>0</v>
      </c>
      <c r="H112" s="115">
        <v>2014</v>
      </c>
      <c r="I112" s="116"/>
    </row>
    <row r="113" spans="1:9" ht="12">
      <c r="A113" s="73" t="s">
        <v>180</v>
      </c>
      <c r="B113" s="24"/>
      <c r="C113" s="24"/>
      <c r="D113" s="24"/>
      <c r="E113" s="24"/>
      <c r="F113" s="24"/>
      <c r="H113" s="117">
        <v>2013</v>
      </c>
      <c r="I113" s="116"/>
    </row>
    <row r="114" spans="1:9">
      <c r="A114" s="72" t="s">
        <v>181</v>
      </c>
      <c r="B114" s="35">
        <f t="shared" ref="B114" si="65">B93+B105</f>
        <v>0</v>
      </c>
      <c r="C114" s="35">
        <f>C93+C105</f>
        <v>0</v>
      </c>
      <c r="D114" s="35">
        <f t="shared" ref="D114:E114" si="66">D93+D105</f>
        <v>0</v>
      </c>
      <c r="E114" s="35">
        <f t="shared" si="66"/>
        <v>0</v>
      </c>
      <c r="F114" s="35">
        <f>F93+F105</f>
        <v>0</v>
      </c>
    </row>
    <row r="115" spans="1:9">
      <c r="A115" s="71" t="s">
        <v>19</v>
      </c>
      <c r="B115" s="24"/>
      <c r="C115" s="24"/>
      <c r="D115" s="24"/>
      <c r="E115" s="24"/>
      <c r="F115" s="24"/>
    </row>
    <row r="116" spans="1:9">
      <c r="A116" s="72" t="s">
        <v>162</v>
      </c>
      <c r="B116" s="35">
        <f t="shared" ref="B116:D116" si="67">SUM(B117:B121)</f>
        <v>0</v>
      </c>
      <c r="C116" s="35">
        <f t="shared" si="67"/>
        <v>0</v>
      </c>
      <c r="D116" s="35">
        <f t="shared" si="67"/>
        <v>0</v>
      </c>
      <c r="E116" s="35">
        <f t="shared" ref="E116:F116" si="68">SUM(E117:E121)</f>
        <v>0</v>
      </c>
      <c r="F116" s="35">
        <f t="shared" si="68"/>
        <v>0</v>
      </c>
    </row>
    <row r="117" spans="1:9">
      <c r="A117" s="75" t="s">
        <v>182</v>
      </c>
      <c r="B117" s="24"/>
      <c r="C117" s="24"/>
      <c r="D117" s="24"/>
      <c r="E117" s="24"/>
      <c r="F117" s="24"/>
    </row>
    <row r="118" spans="1:9">
      <c r="A118" s="75" t="s">
        <v>183</v>
      </c>
      <c r="B118" s="24"/>
      <c r="C118" s="24"/>
      <c r="D118" s="24"/>
      <c r="E118" s="24"/>
      <c r="F118" s="24"/>
    </row>
    <row r="119" spans="1:9">
      <c r="A119" s="73" t="s">
        <v>184</v>
      </c>
      <c r="B119" s="24"/>
      <c r="C119" s="24"/>
      <c r="D119" s="24"/>
      <c r="E119" s="24"/>
      <c r="F119" s="24"/>
    </row>
    <row r="120" spans="1:9">
      <c r="A120" s="73" t="s">
        <v>185</v>
      </c>
      <c r="B120" s="24"/>
      <c r="C120" s="24"/>
      <c r="D120" s="24"/>
      <c r="E120" s="24"/>
      <c r="F120" s="24"/>
    </row>
    <row r="121" spans="1:9">
      <c r="A121" s="73" t="s">
        <v>186</v>
      </c>
      <c r="B121" s="24"/>
      <c r="C121" s="24"/>
      <c r="D121" s="24"/>
      <c r="E121" s="24"/>
      <c r="F121" s="24"/>
    </row>
    <row r="122" spans="1:9">
      <c r="A122" s="72" t="s">
        <v>174</v>
      </c>
      <c r="B122" s="35">
        <f t="shared" ref="B122:D122" si="69">SUM(B123:B131)</f>
        <v>0</v>
      </c>
      <c r="C122" s="35">
        <f t="shared" si="69"/>
        <v>0</v>
      </c>
      <c r="D122" s="35">
        <f t="shared" si="69"/>
        <v>0</v>
      </c>
      <c r="E122" s="35">
        <f t="shared" ref="E122:F122" si="70">SUM(E123:E131)</f>
        <v>0</v>
      </c>
      <c r="F122" s="35">
        <f t="shared" si="70"/>
        <v>0</v>
      </c>
    </row>
    <row r="123" spans="1:9">
      <c r="A123" s="73" t="s">
        <v>187</v>
      </c>
      <c r="B123" s="24"/>
      <c r="C123" s="24"/>
      <c r="D123" s="24"/>
      <c r="E123" s="24"/>
      <c r="F123" s="24"/>
    </row>
    <row r="124" spans="1:9">
      <c r="A124" s="73" t="s">
        <v>188</v>
      </c>
      <c r="B124" s="24"/>
      <c r="C124" s="24"/>
      <c r="D124" s="24"/>
      <c r="E124" s="24"/>
      <c r="F124" s="24"/>
    </row>
    <row r="125" spans="1:9">
      <c r="A125" s="73" t="s">
        <v>189</v>
      </c>
      <c r="B125" s="24"/>
      <c r="C125" s="24"/>
      <c r="D125" s="24"/>
      <c r="E125" s="24"/>
      <c r="F125" s="24"/>
    </row>
    <row r="126" spans="1:9">
      <c r="A126" s="73" t="s">
        <v>190</v>
      </c>
      <c r="B126" s="24"/>
      <c r="C126" s="24"/>
      <c r="D126" s="24"/>
      <c r="E126" s="24"/>
      <c r="F126" s="24"/>
    </row>
    <row r="127" spans="1:9">
      <c r="A127" s="73" t="s">
        <v>191</v>
      </c>
      <c r="C127" s="24"/>
      <c r="D127" s="24"/>
      <c r="E127" s="124"/>
      <c r="F127" s="24"/>
    </row>
    <row r="128" spans="1:9">
      <c r="A128" s="73" t="s">
        <v>192</v>
      </c>
      <c r="B128" s="24"/>
      <c r="C128" s="24"/>
      <c r="D128" s="24"/>
      <c r="E128" s="24"/>
      <c r="F128" s="24"/>
    </row>
    <row r="129" spans="1:6">
      <c r="A129" s="73" t="s">
        <v>193</v>
      </c>
      <c r="B129" s="24"/>
      <c r="C129" s="24"/>
      <c r="D129" s="24"/>
      <c r="E129" s="24"/>
      <c r="F129" s="24"/>
    </row>
    <row r="130" spans="1:6">
      <c r="A130" s="73" t="s">
        <v>194</v>
      </c>
      <c r="B130" s="24"/>
      <c r="C130" s="24"/>
      <c r="D130" s="121">
        <f>--I104</f>
        <v>0</v>
      </c>
      <c r="E130" s="121">
        <f>-I105</f>
        <v>0</v>
      </c>
      <c r="F130" s="121">
        <f>-I106</f>
        <v>0</v>
      </c>
    </row>
    <row r="131" spans="1:6">
      <c r="A131" s="73" t="s">
        <v>195</v>
      </c>
      <c r="B131" s="24"/>
      <c r="C131" s="24"/>
      <c r="D131" s="24"/>
      <c r="E131" s="24"/>
      <c r="F131" s="24"/>
    </row>
    <row r="132" spans="1:6">
      <c r="A132" s="72" t="s">
        <v>196</v>
      </c>
      <c r="B132" s="35">
        <f t="shared" ref="B132:D132" si="71">B116+B122</f>
        <v>0</v>
      </c>
      <c r="C132" s="35">
        <f t="shared" si="71"/>
        <v>0</v>
      </c>
      <c r="D132" s="35">
        <f t="shared" si="71"/>
        <v>0</v>
      </c>
      <c r="E132" s="35">
        <f t="shared" ref="E132:F132" si="72">E116+E122</f>
        <v>0</v>
      </c>
      <c r="F132" s="35">
        <f t="shared" si="72"/>
        <v>0</v>
      </c>
    </row>
    <row r="133" spans="1:6">
      <c r="A133" s="71" t="s">
        <v>197</v>
      </c>
      <c r="B133" s="35">
        <f t="shared" ref="B133:D133" si="73">B91+B114+B132</f>
        <v>0</v>
      </c>
      <c r="C133" s="35">
        <f t="shared" si="73"/>
        <v>0</v>
      </c>
      <c r="D133" s="35" t="e">
        <f t="shared" si="73"/>
        <v>#REF!</v>
      </c>
      <c r="E133" s="35" t="e">
        <f t="shared" ref="E133:F133" si="74">E91+E114+E132</f>
        <v>#REF!</v>
      </c>
      <c r="F133" s="35" t="e">
        <f t="shared" si="74"/>
        <v>#REF!</v>
      </c>
    </row>
    <row r="134" spans="1:6">
      <c r="A134" s="71" t="s">
        <v>198</v>
      </c>
      <c r="B134" s="35">
        <f t="shared" ref="B134" si="75">B133</f>
        <v>0</v>
      </c>
      <c r="C134" s="35">
        <f>C133</f>
        <v>0</v>
      </c>
      <c r="D134" s="35" t="e">
        <f t="shared" ref="D134:E134" si="76">D133</f>
        <v>#REF!</v>
      </c>
      <c r="E134" s="35" t="e">
        <f t="shared" si="76"/>
        <v>#REF!</v>
      </c>
      <c r="F134" s="35" t="e">
        <f>F133</f>
        <v>#REF!</v>
      </c>
    </row>
    <row r="135" spans="1:6">
      <c r="A135" s="73" t="s">
        <v>199</v>
      </c>
      <c r="B135" s="24"/>
      <c r="C135" s="24"/>
      <c r="D135" s="24"/>
      <c r="E135" s="24"/>
      <c r="F135" s="24"/>
    </row>
    <row r="136" spans="1:6">
      <c r="A136" s="72" t="s">
        <v>200</v>
      </c>
      <c r="B136" s="35"/>
      <c r="C136" s="35"/>
      <c r="D136" s="35"/>
      <c r="E136" s="35"/>
      <c r="F136" s="35"/>
    </row>
    <row r="137" spans="1:6">
      <c r="A137" s="71" t="s">
        <v>201</v>
      </c>
      <c r="B137" s="35">
        <f>B136+B133+B135</f>
        <v>0</v>
      </c>
      <c r="C137" s="35">
        <f t="shared" ref="C137" si="77">C136+C133+C135</f>
        <v>0</v>
      </c>
      <c r="D137" s="35" t="e">
        <f>D136+D133+D135</f>
        <v>#REF!</v>
      </c>
      <c r="E137" s="35" t="e">
        <f>E136+E133+E135</f>
        <v>#REF!</v>
      </c>
      <c r="F137" s="35" t="e">
        <f t="shared" ref="F137" si="78">F136+F133+F135</f>
        <v>#REF!</v>
      </c>
    </row>
    <row r="138" spans="1:6">
      <c r="A138" s="76" t="s">
        <v>202</v>
      </c>
      <c r="B138" s="24"/>
      <c r="C138" s="24"/>
      <c r="D138" s="24"/>
      <c r="E138" s="24"/>
      <c r="F138" s="24"/>
    </row>
  </sheetData>
  <mergeCells count="11">
    <mergeCell ref="H3:M3"/>
    <mergeCell ref="N3:R3"/>
    <mergeCell ref="A3:A4"/>
    <mergeCell ref="B3:F3"/>
    <mergeCell ref="A76:A77"/>
    <mergeCell ref="B76:F76"/>
    <mergeCell ref="H103:I103"/>
    <mergeCell ref="H88:I88"/>
    <mergeCell ref="H78:I78"/>
    <mergeCell ref="H82:I82"/>
    <mergeCell ref="H87:I87"/>
  </mergeCells>
  <phoneticPr fontId="0" type="noConversion"/>
  <pageMargins left="0.39" right="0.39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8"/>
  <sheetViews>
    <sheetView zoomScale="150" workbookViewId="0">
      <selection activeCell="C5" sqref="C5"/>
    </sheetView>
  </sheetViews>
  <sheetFormatPr defaultColWidth="3.08203125" defaultRowHeight="10.5"/>
  <cols>
    <col min="1" max="1" width="2.83203125" style="85" bestFit="1" customWidth="1"/>
    <col min="2" max="2" width="29" style="85" bestFit="1" customWidth="1"/>
    <col min="3" max="3" width="7.58203125" style="85" bestFit="1" customWidth="1"/>
    <col min="4" max="7" width="7.58203125" style="84" bestFit="1" customWidth="1"/>
    <col min="8" max="9" width="3.08203125" style="84" customWidth="1"/>
    <col min="10" max="16384" width="3.08203125" style="85"/>
  </cols>
  <sheetData>
    <row r="1" spans="1:9" ht="13.5" customHeight="1">
      <c r="A1" s="231" t="s">
        <v>230</v>
      </c>
      <c r="B1" s="231"/>
      <c r="C1" s="231"/>
      <c r="D1" s="231"/>
      <c r="E1" s="231"/>
      <c r="F1" s="231"/>
      <c r="G1" s="231"/>
    </row>
    <row r="2" spans="1:9" ht="11.25" customHeight="1">
      <c r="A2" s="231"/>
      <c r="B2" s="231"/>
      <c r="C2" s="231"/>
      <c r="D2" s="231"/>
      <c r="E2" s="231"/>
      <c r="F2" s="231"/>
      <c r="G2" s="231"/>
    </row>
    <row r="3" spans="1:9" s="87" customFormat="1">
      <c r="A3" s="107"/>
      <c r="B3" s="107" t="s">
        <v>212</v>
      </c>
      <c r="C3" s="2">
        <v>2011</v>
      </c>
      <c r="D3" s="2">
        <v>2012</v>
      </c>
      <c r="E3" s="8">
        <v>2013</v>
      </c>
      <c r="F3" s="2">
        <v>2014</v>
      </c>
      <c r="G3" s="2">
        <v>2015</v>
      </c>
      <c r="H3" s="86"/>
      <c r="I3" s="86"/>
    </row>
    <row r="4" spans="1:9" ht="13.5" customHeight="1">
      <c r="A4" s="237" t="s">
        <v>213</v>
      </c>
      <c r="B4" s="88" t="s">
        <v>243</v>
      </c>
      <c r="C4" s="89" t="e">
        <f>'bilans '!B4/'bilans '!B39*100</f>
        <v>#DIV/0!</v>
      </c>
      <c r="D4" s="89" t="e">
        <f>'bilans '!C4/'bilans '!C39*100</f>
        <v>#DIV/0!</v>
      </c>
      <c r="E4" s="89" t="e">
        <f>'bilans '!D4/'bilans '!D39*100</f>
        <v>#DIV/0!</v>
      </c>
      <c r="F4" s="89">
        <f>'bilans '!E4/'bilans '!E39*100</f>
        <v>62.372274307384387</v>
      </c>
      <c r="G4" s="89">
        <f>'bilans '!F4/'bilans '!F39*100</f>
        <v>68.64211049480005</v>
      </c>
    </row>
    <row r="5" spans="1:9" ht="15" customHeight="1">
      <c r="A5" s="238"/>
      <c r="B5" s="88" t="s">
        <v>244</v>
      </c>
      <c r="C5" s="89" t="e">
        <f>'bilans '!B79/'bilans '!B89*100</f>
        <v>#DIV/0!</v>
      </c>
      <c r="D5" s="89" t="e">
        <f>'bilans '!C79/'bilans '!C89*100</f>
        <v>#DIV/0!</v>
      </c>
      <c r="E5" s="89" t="e">
        <f>'bilans '!D79/'bilans '!D89*100</f>
        <v>#DIV/0!</v>
      </c>
      <c r="F5" s="89">
        <f>'bilans '!E79/'bilans '!E89*100</f>
        <v>341.98553541275049</v>
      </c>
      <c r="G5" s="89">
        <f>'bilans '!F79/'bilans '!F89*100</f>
        <v>343.89791735167165</v>
      </c>
    </row>
    <row r="6" spans="1:9" ht="13.5" customHeight="1">
      <c r="A6" s="238"/>
      <c r="B6" s="88" t="s">
        <v>235</v>
      </c>
      <c r="C6" s="90" t="e">
        <f>'bilans '!B79/'bilans '!B4*100</f>
        <v>#DIV/0!</v>
      </c>
      <c r="D6" s="90" t="e">
        <f>'bilans '!C79/'bilans '!C4*100</f>
        <v>#DIV/0!</v>
      </c>
      <c r="E6" s="90" t="e">
        <f>'bilans '!D79/'bilans '!D4*100</f>
        <v>#DIV/0!</v>
      </c>
      <c r="F6" s="90">
        <f>'bilans '!E79/'bilans '!E4*100</f>
        <v>201.42806207660118</v>
      </c>
      <c r="G6" s="90">
        <f>'bilans '!F79/'bilans '!F4*100</f>
        <v>190.33639475273748</v>
      </c>
    </row>
    <row r="7" spans="1:9" ht="13.5" customHeight="1">
      <c r="A7" s="239"/>
      <c r="B7" s="88" t="s">
        <v>236</v>
      </c>
      <c r="C7" s="89" t="e">
        <f>('bilans '!B79+'bilans '!B90+'bilans '!B98+'bilans '!B122)/'bilans '!B4*100</f>
        <v>#DIV/0!</v>
      </c>
      <c r="D7" s="89" t="e">
        <f>('bilans '!C79+'bilans '!C90+'bilans '!C98+'bilans '!C122)/'bilans '!C4*100</f>
        <v>#DIV/0!</v>
      </c>
      <c r="E7" s="89" t="e">
        <f>('bilans '!D79+'bilans '!D90+'bilans '!D98+'bilans '!D122)/'bilans '!D4*100</f>
        <v>#DIV/0!</v>
      </c>
      <c r="F7" s="89">
        <f>('bilans '!E79+'bilans '!E90+'bilans '!E98+'bilans '!E122)/'bilans '!E4*100</f>
        <v>214.6024507872169</v>
      </c>
      <c r="G7" s="89">
        <f>('bilans '!F79+'bilans '!F90+'bilans '!F98+'bilans '!F122)/'bilans '!F4*100</f>
        <v>201.97701612278718</v>
      </c>
    </row>
    <row r="8" spans="1:9" ht="13.5" customHeight="1">
      <c r="A8" s="240" t="s">
        <v>205</v>
      </c>
      <c r="B8" s="91" t="s">
        <v>214</v>
      </c>
      <c r="C8" s="89" t="e">
        <f>'bilans '!B39/'bilans '!B105</f>
        <v>#DIV/0!</v>
      </c>
      <c r="D8" s="89" t="e">
        <f>'bilans '!C39/'bilans '!C105</f>
        <v>#DIV/0!</v>
      </c>
      <c r="E8" s="89" t="e">
        <f>'bilans '!D39/'bilans '!D105</f>
        <v>#DIV/0!</v>
      </c>
      <c r="F8" s="89">
        <f>'bilans '!E39/'bilans '!E105</f>
        <v>3.5063304126567214</v>
      </c>
      <c r="G8" s="89">
        <f>'bilans '!F39/'bilans '!F105</f>
        <v>3.3332417898812001</v>
      </c>
    </row>
    <row r="9" spans="1:9" ht="13.5" customHeight="1">
      <c r="A9" s="241"/>
      <c r="B9" s="92" t="s">
        <v>216</v>
      </c>
      <c r="C9" s="89" t="e">
        <f>('bilans '!B39-'bilans '!B40-'bilans '!B74)/'bilans '!B105</f>
        <v>#DIV/0!</v>
      </c>
      <c r="D9" s="89" t="e">
        <f>('bilans '!C39-'bilans '!C40-'bilans '!C74)/'bilans '!C105</f>
        <v>#DIV/0!</v>
      </c>
      <c r="E9" s="89" t="e">
        <f>('bilans '!D39-'bilans '!D40-'bilans '!D74)/'bilans '!D105</f>
        <v>#DIV/0!</v>
      </c>
      <c r="F9" s="89">
        <f>('bilans '!E39-'bilans '!E40-'bilans '!E74)/'bilans '!E105</f>
        <v>3.0638273859602321</v>
      </c>
      <c r="G9" s="89">
        <f>('bilans '!F39-'bilans '!F40-'bilans '!F74)/'bilans '!F105</f>
        <v>2.9047564205919612</v>
      </c>
    </row>
    <row r="10" spans="1:9" ht="13.5" customHeight="1">
      <c r="A10" s="241"/>
      <c r="B10" s="91" t="s">
        <v>215</v>
      </c>
      <c r="C10" s="89" t="e">
        <f>'bilans '!B58/'bilans '!B105</f>
        <v>#DIV/0!</v>
      </c>
      <c r="D10" s="89" t="e">
        <f>'bilans '!C58/'bilans '!C105</f>
        <v>#DIV/0!</v>
      </c>
      <c r="E10" s="89" t="e">
        <f>'bilans '!D58/'bilans '!D105</f>
        <v>#DIV/0!</v>
      </c>
      <c r="F10" s="89">
        <f>'bilans '!E58/'bilans '!E105</f>
        <v>1.1100178523792912</v>
      </c>
      <c r="G10" s="89">
        <f>'bilans '!F58/'bilans '!F105</f>
        <v>1.1569733962916042</v>
      </c>
    </row>
    <row r="11" spans="1:9" ht="13.5" customHeight="1">
      <c r="A11" s="242"/>
      <c r="B11" s="91" t="s">
        <v>206</v>
      </c>
      <c r="C11" s="93" t="e">
        <f>('bilans '!B79+'bilans '!B90+'bilans '!B98+'bilans '!B122-'bilans '!B4)/'r-k zysków i strat'!B50*365</f>
        <v>#DIV/0!</v>
      </c>
      <c r="D11" s="93" t="e">
        <f>('bilans '!C79+'bilans '!C90+'bilans '!C98+'bilans '!C122-'bilans '!C4)/'r-k zysków i strat'!C50*365</f>
        <v>#DIV/0!</v>
      </c>
      <c r="E11" s="93" t="e">
        <f>('bilans '!D79+'bilans '!D90+'bilans '!D98+'bilans '!D122-'bilans '!D4)/'r-k zysków i strat'!D50*365</f>
        <v>#DIV/0!</v>
      </c>
      <c r="F11" s="93">
        <f>('bilans '!E79+'bilans '!E90+'bilans '!E98+'bilans '!E122-'bilans '!E4)/'r-k zysków i strat'!E50*365</f>
        <v>147.80966732313487</v>
      </c>
      <c r="G11" s="93">
        <f>('bilans '!F79+'bilans '!F90+'bilans '!F98+'bilans '!F122-'bilans '!F4)/'r-k zysków i strat'!F50*365</f>
        <v>150.40735925249672</v>
      </c>
    </row>
    <row r="12" spans="1:9" ht="13.5" customHeight="1">
      <c r="A12" s="240" t="s">
        <v>224</v>
      </c>
      <c r="B12" s="91" t="s">
        <v>217</v>
      </c>
      <c r="C12" s="93" t="e">
        <f>([1]Bilans!$D$26+'bilans '!B41/2)/'r-k zysków i strat'!B50*365</f>
        <v>#REF!</v>
      </c>
      <c r="D12" s="93" t="e">
        <f>('bilans '!B41+'bilans '!C41/2)/'r-k zysków i strat'!C50*365</f>
        <v>#DIV/0!</v>
      </c>
      <c r="E12" s="93" t="e">
        <f>('bilans '!C41+'bilans '!D41/2)/'r-k zysków i strat'!D50*365</f>
        <v>#DIV/0!</v>
      </c>
      <c r="F12" s="93">
        <f>('bilans '!D41+'bilans '!E41/2)/'r-k zysków i strat'!E50*365</f>
        <v>5.9814987036410772</v>
      </c>
      <c r="G12" s="93">
        <f>('bilans '!E41+'bilans '!F41/2)/'r-k zysków i strat'!F50*365</f>
        <v>18.475833188607833</v>
      </c>
    </row>
    <row r="13" spans="1:9" ht="13.5" customHeight="1">
      <c r="A13" s="241"/>
      <c r="B13" s="92" t="s">
        <v>218</v>
      </c>
      <c r="C13" s="93" t="e">
        <f>([1]Bilans!$D$31+'bilans '!B46/2)/'r-k zysków i strat'!B50*365</f>
        <v>#REF!</v>
      </c>
      <c r="D13" s="93" t="e">
        <f>('bilans '!B46+'bilans '!C46/2)/'r-k zysków i strat'!C50*365</f>
        <v>#DIV/0!</v>
      </c>
      <c r="E13" s="93" t="e">
        <f>('bilans '!C46+'bilans '!D46/2)/'r-k zysków i strat'!D50*365</f>
        <v>#DIV/0!</v>
      </c>
      <c r="F13" s="93">
        <f>('bilans '!D46+'bilans '!E46/2)/'r-k zysków i strat'!E50*365</f>
        <v>57.612503066833767</v>
      </c>
      <c r="G13" s="93">
        <f>('bilans '!E46+'bilans '!F46/2)/'r-k zysków i strat'!F50*365</f>
        <v>165.08408942627685</v>
      </c>
    </row>
    <row r="14" spans="1:9" ht="13.5" customHeight="1">
      <c r="A14" s="241"/>
      <c r="B14" s="94" t="s">
        <v>219</v>
      </c>
      <c r="C14" s="93" t="e">
        <f>([1]Bilans!$D$75+'bilans '!B105/2)/'r-k zysków i strat'!B50*365</f>
        <v>#REF!</v>
      </c>
      <c r="D14" s="93" t="e">
        <f>('bilans '!B105+'bilans '!C105/2)/'r-k zysków i strat'!C50*365</f>
        <v>#DIV/0!</v>
      </c>
      <c r="E14" s="93" t="e">
        <f>('bilans '!C105+'bilans '!D105/2)/'r-k zysków i strat'!D50*365</f>
        <v>#DIV/0!</v>
      </c>
      <c r="F14" s="93">
        <f>('bilans '!D105+'bilans '!E105/2)/'r-k zysków i strat'!E50*365</f>
        <v>29.487266837746262</v>
      </c>
      <c r="G14" s="93">
        <f>('bilans '!E105+'bilans '!F105/2)/'r-k zysków i strat'!F50*365</f>
        <v>87.892198278627092</v>
      </c>
    </row>
    <row r="15" spans="1:9" ht="13.5" customHeight="1">
      <c r="A15" s="241"/>
      <c r="B15" s="91" t="s">
        <v>209</v>
      </c>
      <c r="C15" s="93" t="e">
        <f t="shared" ref="C15:G15" si="0">C12+C13-C14</f>
        <v>#REF!</v>
      </c>
      <c r="D15" s="93" t="e">
        <f t="shared" si="0"/>
        <v>#DIV/0!</v>
      </c>
      <c r="E15" s="93" t="e">
        <f t="shared" si="0"/>
        <v>#DIV/0!</v>
      </c>
      <c r="F15" s="93">
        <f t="shared" si="0"/>
        <v>34.106734932728585</v>
      </c>
      <c r="G15" s="93">
        <f t="shared" si="0"/>
        <v>95.667724336257578</v>
      </c>
    </row>
    <row r="16" spans="1:9" ht="13.5" customHeight="1">
      <c r="A16" s="241"/>
      <c r="B16" s="94" t="s">
        <v>220</v>
      </c>
      <c r="C16" s="89" t="e">
        <f>'r-k zysków i strat'!B50/([1]Bilans!$D$46+'bilans '!B75/2)</f>
        <v>#REF!</v>
      </c>
      <c r="D16" s="89" t="e">
        <f>'r-k zysków i strat'!C50/('bilans '!B75+'bilans '!C75/2)</f>
        <v>#DIV/0!</v>
      </c>
      <c r="E16" s="89" t="e">
        <f>'r-k zysków i strat'!D50/('bilans '!C75+'bilans '!D75/2)</f>
        <v>#DIV/0!</v>
      </c>
      <c r="F16" s="89">
        <f>'r-k zysków i strat'!E50/('bilans '!D75+'bilans '!E75/2)</f>
        <v>2.1741706673586783</v>
      </c>
      <c r="G16" s="89">
        <f>'r-k zysków i strat'!F50/('bilans '!E75+'bilans '!F75/2)</f>
        <v>0.73282161794019363</v>
      </c>
    </row>
    <row r="17" spans="1:7" ht="13.5" customHeight="1">
      <c r="A17" s="241"/>
      <c r="B17" s="94" t="s">
        <v>221</v>
      </c>
      <c r="C17" s="89" t="e">
        <f>'r-k zysków i strat'!B50/([1]Bilans!$D$3+'bilans '!B4/2)</f>
        <v>#REF!</v>
      </c>
      <c r="D17" s="89" t="e">
        <f>'r-k zysków i strat'!C50/('bilans '!B4+'bilans '!C4/2)</f>
        <v>#DIV/0!</v>
      </c>
      <c r="E17" s="89" t="e">
        <f>'r-k zysków i strat'!D50/('bilans '!C4+'bilans '!D4/2)</f>
        <v>#DIV/0!</v>
      </c>
      <c r="F17" s="89">
        <f>'r-k zysków i strat'!E50/('bilans '!D4+'bilans '!E4/2)</f>
        <v>5.6599673478579069</v>
      </c>
      <c r="G17" s="89">
        <f>'r-k zysków i strat'!F50/('bilans '!E4+'bilans '!F4/2)</f>
        <v>1.8672499926962518</v>
      </c>
    </row>
    <row r="18" spans="1:7" ht="12.75" customHeight="1">
      <c r="A18" s="241"/>
      <c r="B18" s="92" t="s">
        <v>222</v>
      </c>
      <c r="C18" s="89" t="e">
        <f>'r-k zysków i strat'!B50/([1]Bilans!$D$24+[1]Bilans!$D$43+'bilans '!B39/2)</f>
        <v>#REF!</v>
      </c>
      <c r="D18" s="89" t="e">
        <f>'r-k zysków i strat'!C50/('bilans '!B39+'bilans '!C39/2)</f>
        <v>#DIV/0!</v>
      </c>
      <c r="E18" s="89" t="e">
        <f>'r-k zysków i strat'!D50/('bilans '!C39+'bilans '!D39/2)</f>
        <v>#DIV/0!</v>
      </c>
      <c r="F18" s="89">
        <f>'r-k zysków i strat'!E50/('bilans '!D39+'bilans '!E39/2)</f>
        <v>3.5302503599143229</v>
      </c>
      <c r="G18" s="89">
        <f>'r-k zysków i strat'!F50/('bilans '!E39+'bilans '!F39/2)</f>
        <v>1.2062120370012144</v>
      </c>
    </row>
    <row r="19" spans="1:7">
      <c r="A19" s="241"/>
      <c r="B19" s="94" t="s">
        <v>223</v>
      </c>
      <c r="C19" s="89" t="e">
        <f>'r-k zysków i strat'!B50/(([1]Bilans!$D$31+'bilans '!B46/2)+([1]Bilans!$D$39+'bilans '!C58/2))</f>
        <v>#REF!</v>
      </c>
      <c r="D19" s="89" t="e">
        <f>'r-k zysków i strat'!C50/(('bilans '!B46+'bilans '!C46/2)+('bilans '!B58+'bilans '!D58/2))</f>
        <v>#DIV/0!</v>
      </c>
      <c r="E19" s="89">
        <f>'r-k zysków i strat'!D50/(('bilans '!C46+'bilans '!D46/2)+('bilans '!C58+'bilans '!E58/2))</f>
        <v>0</v>
      </c>
      <c r="F19" s="89">
        <f>'r-k zysków i strat'!E50/(('bilans '!D46+'bilans '!E46/2)+('bilans '!D58+'bilans '!F58/2))</f>
        <v>3.7581020970133445</v>
      </c>
      <c r="G19" s="89">
        <f>'r-k zysków i strat'!F50/(('bilans '!E46+'bilans '!F46/2)+('bilans '!E58+'bilans '!G58/2))</f>
        <v>1.6088611322977473</v>
      </c>
    </row>
    <row r="20" spans="1:7" ht="13.5" customHeight="1">
      <c r="A20" s="242"/>
      <c r="B20" s="91" t="s">
        <v>210</v>
      </c>
      <c r="C20" s="89" t="e">
        <f>'r-k zysków i strat'!B50/([1]Bilans!$D$3+'[1]cash-flow'!$D$5+'bilans '!B4+'cash-flow'!B8/2)</f>
        <v>#REF!</v>
      </c>
      <c r="D20" s="89" t="e">
        <f>'r-k zysków i strat'!C50/('bilans '!B4+'cash-flow'!B8+'bilans '!C4+'cash-flow'!C8/2)</f>
        <v>#DIV/0!</v>
      </c>
      <c r="E20" s="89" t="e">
        <f>'r-k zysków i strat'!D50/('bilans '!C4+'cash-flow'!C8+'bilans '!D4+'cash-flow'!D8/2)</f>
        <v>#DIV/0!</v>
      </c>
      <c r="F20" s="89">
        <f>'r-k zysków i strat'!E50/('bilans '!D4+'cash-flow'!D8+'bilans '!E4+'cash-flow'!E8/2)</f>
        <v>2.730959549086629</v>
      </c>
      <c r="G20" s="89">
        <f>'r-k zysków i strat'!F50/('bilans '!E4+'cash-flow'!E8+'bilans '!F4+'cash-flow'!F8/2)</f>
        <v>1.2867656459034413</v>
      </c>
    </row>
    <row r="21" spans="1:7" ht="13.5" customHeight="1">
      <c r="A21" s="243" t="s">
        <v>207</v>
      </c>
      <c r="B21" s="92" t="s">
        <v>237</v>
      </c>
      <c r="C21" s="89" t="e">
        <f>'r-k zysków i strat'!B48/'r-k zysków i strat'!B50*100</f>
        <v>#DIV/0!</v>
      </c>
      <c r="D21" s="89" t="e">
        <f>'r-k zysków i strat'!C48/'r-k zysków i strat'!C50*100</f>
        <v>#DIV/0!</v>
      </c>
      <c r="E21" s="89" t="e">
        <f>'r-k zysków i strat'!D48/'r-k zysków i strat'!D50*100</f>
        <v>#DIV/0!</v>
      </c>
      <c r="F21" s="89">
        <f>'r-k zysków i strat'!E48/'r-k zysków i strat'!E50*100</f>
        <v>14.593984364121029</v>
      </c>
      <c r="G21" s="89">
        <f>'r-k zysków i strat'!F48/'r-k zysków i strat'!F50*100</f>
        <v>14.530127155040907</v>
      </c>
    </row>
    <row r="22" spans="1:7" ht="13.5" customHeight="1">
      <c r="A22" s="233"/>
      <c r="B22" s="92" t="s">
        <v>238</v>
      </c>
      <c r="C22" s="89" t="e">
        <f>'r-k zysków i strat'!B48/([1]Bilans!$D$46+'bilans '!B75/2)*100</f>
        <v>#REF!</v>
      </c>
      <c r="D22" s="89" t="e">
        <f>'r-k zysków i strat'!C48/('bilans '!B75+'bilans '!C75/2)*100</f>
        <v>#DIV/0!</v>
      </c>
      <c r="E22" s="89" t="e">
        <f>'r-k zysków i strat'!D48/('bilans '!C75+'bilans '!D75/2)*100</f>
        <v>#DIV/0!</v>
      </c>
      <c r="F22" s="89">
        <f>'r-k zysków i strat'!E48/('bilans '!D75+'bilans '!E75/2)*100</f>
        <v>31.729812724363132</v>
      </c>
      <c r="G22" s="89">
        <f>'r-k zysków i strat'!F48/('bilans '!E75+'bilans '!F75/2)*100</f>
        <v>10.64799129063382</v>
      </c>
    </row>
    <row r="23" spans="1:7" ht="13.5" customHeight="1">
      <c r="A23" s="234"/>
      <c r="B23" s="92" t="s">
        <v>239</v>
      </c>
      <c r="C23" s="89" t="e">
        <f>'r-k zysków i strat'!B48/([1]Bilans!$D$50+'bilans '!B79/2)*100</f>
        <v>#REF!</v>
      </c>
      <c r="D23" s="89" t="e">
        <f>'r-k zysków i strat'!C48/('bilans '!B79+'bilans '!C79/2)*100</f>
        <v>#DIV/0!</v>
      </c>
      <c r="E23" s="89" t="e">
        <f>'r-k zysków i strat'!D48/('bilans '!C79+'bilans '!D79/2)*100</f>
        <v>#DIV/0!</v>
      </c>
      <c r="F23" s="89">
        <f>'r-k zysków i strat'!E48/('bilans '!D79+'bilans '!E79/2)*100</f>
        <v>41.007928152861496</v>
      </c>
      <c r="G23" s="89">
        <f>'r-k zysków i strat'!F48/('bilans '!E79+'bilans '!F79/2)*100</f>
        <v>13.755267387005754</v>
      </c>
    </row>
    <row r="24" spans="1:7" ht="13.5" customHeight="1">
      <c r="A24" s="235" t="s">
        <v>208</v>
      </c>
      <c r="B24" s="92" t="s">
        <v>241</v>
      </c>
      <c r="C24" s="89" t="e">
        <f>'bilans '!B89/'bilans '!B75</f>
        <v>#DIV/0!</v>
      </c>
      <c r="D24" s="89" t="e">
        <f>'bilans '!C89/'bilans '!C75</f>
        <v>#DIV/0!</v>
      </c>
      <c r="E24" s="89" t="e">
        <f>'bilans '!D89/'bilans '!D75</f>
        <v>#DIV/0!</v>
      </c>
      <c r="F24" s="89">
        <f>'bilans '!E89/'bilans '!E75</f>
        <v>0.22625174805011317</v>
      </c>
      <c r="G24" s="89">
        <f>'bilans '!F89/'bilans '!F75</f>
        <v>0.22527701998830613</v>
      </c>
    </row>
    <row r="25" spans="1:7" ht="13.5" customHeight="1">
      <c r="A25" s="235"/>
      <c r="B25" s="92" t="s">
        <v>242</v>
      </c>
      <c r="C25" s="89" t="e">
        <f>'bilans '!B89/'bilans '!B79</f>
        <v>#DIV/0!</v>
      </c>
      <c r="D25" s="89" t="e">
        <f>'bilans '!C89/'bilans '!C79</f>
        <v>#DIV/0!</v>
      </c>
      <c r="E25" s="89" t="e">
        <f>'bilans '!D89/'bilans '!D79</f>
        <v>#DIV/0!</v>
      </c>
      <c r="F25" s="89">
        <f>'bilans '!E89/'bilans '!E79</f>
        <v>0.29241002804199778</v>
      </c>
      <c r="G25" s="89">
        <f>'bilans '!F89/'bilans '!F79</f>
        <v>0.29078396510828391</v>
      </c>
    </row>
    <row r="26" spans="1:7" ht="13.5" customHeight="1">
      <c r="A26" s="235"/>
      <c r="B26" s="92" t="s">
        <v>240</v>
      </c>
      <c r="C26" s="89" t="e">
        <f>'bilans '!B98/'bilans '!B79</f>
        <v>#DIV/0!</v>
      </c>
      <c r="D26" s="89" t="e">
        <f>'bilans '!C98/'bilans '!C79</f>
        <v>#DIV/0!</v>
      </c>
      <c r="E26" s="89" t="e">
        <f>'bilans '!D98/'bilans '!D79</f>
        <v>#DIV/0!</v>
      </c>
      <c r="F26" s="89">
        <f>'bilans '!E98/'bilans '!E79</f>
        <v>1.1645347916414351E-4</v>
      </c>
      <c r="G26" s="89">
        <f>'bilans '!F98/'bilans '!F79</f>
        <v>1.4239856136767715E-5</v>
      </c>
    </row>
    <row r="27" spans="1:7" ht="13.5" customHeight="1">
      <c r="A27" s="235"/>
      <c r="B27" s="94" t="s">
        <v>225</v>
      </c>
      <c r="C27" s="89">
        <f>('r-k zysków i strat'!B45+'r-k zysków i strat'!B36)/(42000+'r-k zysków i strat'!B36)</f>
        <v>0</v>
      </c>
      <c r="D27" s="89">
        <f>('r-k zysków i strat'!C45+'r-k zysków i strat'!C36)/(84000+'r-k zysków i strat'!C36)</f>
        <v>0</v>
      </c>
      <c r="E27" s="89">
        <f>('r-k zysków i strat'!D45+'r-k zysków i strat'!D36)/(165000+'r-k zysków i strat'!D36)</f>
        <v>0</v>
      </c>
      <c r="F27" s="89">
        <f>('r-k zysków i strat'!E45+'r-k zysków i strat'!E36)/(152000+'r-k zysków i strat'!E36)</f>
        <v>0.71602299769891897</v>
      </c>
      <c r="G27" s="89">
        <f>('r-k zysków i strat'!F45+'r-k zysków i strat'!F36)/(107000+'r-k zysków i strat'!F36)</f>
        <v>1.0747088839460945</v>
      </c>
    </row>
    <row r="28" spans="1:7" ht="13.5" customHeight="1">
      <c r="A28" s="235"/>
      <c r="B28" s="92" t="s">
        <v>226</v>
      </c>
      <c r="C28" s="89">
        <f>'r-k zysków i strat'!B48/(42000+'r-k zysków i strat'!B36)</f>
        <v>0</v>
      </c>
      <c r="D28" s="89">
        <f>'r-k zysków i strat'!C48/(42000+'r-k zysków i strat'!C36)</f>
        <v>0</v>
      </c>
      <c r="E28" s="89">
        <f>'r-k zysków i strat'!D48/(42000+'r-k zysków i strat'!D36)</f>
        <v>0</v>
      </c>
      <c r="F28" s="89">
        <f>'r-k zysków i strat'!E48/(42000+'r-k zysków i strat'!E36)</f>
        <v>2.0696099865999011</v>
      </c>
      <c r="G28" s="89">
        <f>'r-k zysków i strat'!F48/(42000+'r-k zysków i strat'!F36)</f>
        <v>2.211037569639541</v>
      </c>
    </row>
    <row r="29" spans="1:7" ht="13.5" customHeight="1">
      <c r="A29" s="235"/>
      <c r="B29" s="91" t="s">
        <v>227</v>
      </c>
      <c r="C29" s="89" t="e">
        <f>('r-k zysków i strat'!B45+'r-k zysków i strat'!B36)/'r-k zysków i strat'!B36</f>
        <v>#DIV/0!</v>
      </c>
      <c r="D29" s="89" t="e">
        <f>('r-k zysków i strat'!C45+'r-k zysków i strat'!C36)/'r-k zysków i strat'!C36</f>
        <v>#DIV/0!</v>
      </c>
      <c r="E29" s="89" t="e">
        <f>('r-k zysków i strat'!D45+'r-k zysków i strat'!D36)/'r-k zysków i strat'!D36</f>
        <v>#DIV/0!</v>
      </c>
      <c r="F29" s="89">
        <f>('r-k zysków i strat'!E45+'r-k zysków i strat'!E36)/'r-k zysków i strat'!E36</f>
        <v>203.38919925512104</v>
      </c>
      <c r="G29" s="89">
        <f>('r-k zysków i strat'!F45+'r-k zysków i strat'!F36)/'r-k zysków i strat'!F36</f>
        <v>57498</v>
      </c>
    </row>
    <row r="30" spans="1:7" ht="13.5" customHeight="1">
      <c r="A30" s="235"/>
      <c r="B30" s="91" t="s">
        <v>228</v>
      </c>
      <c r="C30" s="89">
        <f>('cash-flow'!B6+'cash-flow'!B8)/(42000+'r-k zysków i strat'!B36)</f>
        <v>0</v>
      </c>
      <c r="D30" s="89">
        <f>('cash-flow'!C6+'cash-flow'!C8)/(84000+'r-k zysków i strat'!C36)</f>
        <v>0</v>
      </c>
      <c r="E30" s="89">
        <f>('cash-flow'!D6+'cash-flow'!D8)/(165000+'r-k zysków i strat'!D36)</f>
        <v>0</v>
      </c>
      <c r="F30" s="89">
        <f>('cash-flow'!E6+'cash-flow'!E8)/(152000+'r-k zysków i strat'!E36)</f>
        <v>0.81384188754203901</v>
      </c>
      <c r="G30" s="89">
        <f>('cash-flow'!F6+'cash-flow'!F8)/(107000+'r-k zysków i strat'!F36)</f>
        <v>1.258266200631764</v>
      </c>
    </row>
    <row r="31" spans="1:7">
      <c r="A31" s="95"/>
      <c r="B31" s="96"/>
      <c r="C31" s="97"/>
      <c r="D31" s="97"/>
      <c r="E31" s="97"/>
      <c r="F31" s="97"/>
      <c r="G31" s="97"/>
    </row>
    <row r="32" spans="1:7">
      <c r="A32" s="236" t="s">
        <v>229</v>
      </c>
      <c r="B32" s="236"/>
      <c r="C32" s="236"/>
      <c r="D32" s="236"/>
      <c r="E32" s="236"/>
      <c r="F32" s="236"/>
      <c r="G32" s="236"/>
    </row>
    <row r="33" spans="1:7">
      <c r="A33" s="95"/>
      <c r="B33" s="96"/>
      <c r="C33" s="97"/>
      <c r="D33" s="97"/>
      <c r="E33" s="97"/>
      <c r="F33" s="97"/>
      <c r="G33" s="97"/>
    </row>
    <row r="34" spans="1:7" ht="12.5">
      <c r="A34" s="235" t="s">
        <v>231</v>
      </c>
      <c r="B34" s="98" t="s">
        <v>245</v>
      </c>
      <c r="C34" s="89" t="e">
        <f t="shared" ref="C34:G34" si="1">C8</f>
        <v>#DIV/0!</v>
      </c>
      <c r="D34" s="89" t="e">
        <f t="shared" si="1"/>
        <v>#DIV/0!</v>
      </c>
      <c r="E34" s="89" t="e">
        <f t="shared" si="1"/>
        <v>#DIV/0!</v>
      </c>
      <c r="F34" s="89">
        <f t="shared" si="1"/>
        <v>3.5063304126567214</v>
      </c>
      <c r="G34" s="89">
        <f t="shared" si="1"/>
        <v>3.3332417898812001</v>
      </c>
    </row>
    <row r="35" spans="1:7" ht="13.5">
      <c r="A35" s="235"/>
      <c r="B35" s="98" t="s">
        <v>246</v>
      </c>
      <c r="C35" s="93" t="e">
        <f t="shared" ref="C35:G35" si="2">C24*100</f>
        <v>#DIV/0!</v>
      </c>
      <c r="D35" s="93" t="e">
        <f t="shared" si="2"/>
        <v>#DIV/0!</v>
      </c>
      <c r="E35" s="93" t="e">
        <f t="shared" si="2"/>
        <v>#DIV/0!</v>
      </c>
      <c r="F35" s="93">
        <f t="shared" si="2"/>
        <v>22.625174805011316</v>
      </c>
      <c r="G35" s="93">
        <f t="shared" si="2"/>
        <v>22.527701998830612</v>
      </c>
    </row>
    <row r="36" spans="1:7" ht="13.5">
      <c r="A36" s="235"/>
      <c r="B36" s="98" t="s">
        <v>247</v>
      </c>
      <c r="C36" s="89" t="e">
        <f t="shared" ref="C36:G36" si="3">C22</f>
        <v>#REF!</v>
      </c>
      <c r="D36" s="89" t="e">
        <f t="shared" si="3"/>
        <v>#DIV/0!</v>
      </c>
      <c r="E36" s="89" t="e">
        <f t="shared" si="3"/>
        <v>#DIV/0!</v>
      </c>
      <c r="F36" s="89">
        <f t="shared" si="3"/>
        <v>31.729812724363132</v>
      </c>
      <c r="G36" s="89">
        <f t="shared" si="3"/>
        <v>10.64799129063382</v>
      </c>
    </row>
    <row r="37" spans="1:7" ht="13.5">
      <c r="A37" s="235"/>
      <c r="B37" s="98" t="s">
        <v>248</v>
      </c>
      <c r="C37" s="93" t="e">
        <f>([1]Bilans!$D$75+'bilans '!B105/2)/'r-k zysków i strat'!B12*360</f>
        <v>#REF!</v>
      </c>
      <c r="D37" s="93" t="e">
        <f>('bilans '!B105+'bilans '!C105/2)/'r-k zysków i strat'!C12*360</f>
        <v>#DIV/0!</v>
      </c>
      <c r="E37" s="93" t="e">
        <f>('bilans '!C105+'bilans '!D105/2)/'r-k zysków i strat'!D12*360</f>
        <v>#DIV/0!</v>
      </c>
      <c r="F37" s="93">
        <f>('bilans '!D105+'bilans '!E105/2)/'r-k zysków i strat'!E12*360</f>
        <v>53.462337804811156</v>
      </c>
      <c r="G37" s="93">
        <f>('bilans '!E105+'bilans '!F105/2)/'r-k zysków i strat'!F12*360</f>
        <v>153.01588265997961</v>
      </c>
    </row>
    <row r="38" spans="1:7" ht="13.5">
      <c r="A38" s="235"/>
      <c r="B38" s="98" t="s">
        <v>249</v>
      </c>
      <c r="C38" s="89" t="e">
        <f t="shared" ref="C38:G38" si="4">C16</f>
        <v>#REF!</v>
      </c>
      <c r="D38" s="89" t="e">
        <f t="shared" si="4"/>
        <v>#DIV/0!</v>
      </c>
      <c r="E38" s="89" t="e">
        <f t="shared" si="4"/>
        <v>#DIV/0!</v>
      </c>
      <c r="F38" s="89">
        <f t="shared" si="4"/>
        <v>2.1741706673586783</v>
      </c>
      <c r="G38" s="89">
        <f t="shared" si="4"/>
        <v>0.73282161794019363</v>
      </c>
    </row>
    <row r="39" spans="1:7" ht="13.5" customHeight="1">
      <c r="A39" s="235"/>
      <c r="B39" s="99" t="s">
        <v>233</v>
      </c>
      <c r="C39" s="100" t="e">
        <f t="shared" ref="C39:G39" si="5">0.605+(6.81*0.1*C34)-(1.96*0.01*C35)+(9.69*0.001*C36)+(6.72*0.0001*C37)+(1.57*0.1*C38)</f>
        <v>#DIV/0!</v>
      </c>
      <c r="D39" s="100" t="e">
        <f t="shared" si="5"/>
        <v>#DIV/0!</v>
      </c>
      <c r="E39" s="100" t="e">
        <f t="shared" si="5"/>
        <v>#DIV/0!</v>
      </c>
      <c r="F39" s="100">
        <f t="shared" si="5"/>
        <v>3.2340909559202298</v>
      </c>
      <c r="G39" s="100">
        <f t="shared" si="5"/>
        <v>2.7544534025023761</v>
      </c>
    </row>
    <row r="40" spans="1:7">
      <c r="A40" s="95"/>
      <c r="B40" s="101"/>
      <c r="C40" s="102" t="e">
        <f t="shared" ref="C40:G40" si="6">IF(C39&gt;0,"niebankrut","bankrut")</f>
        <v>#DIV/0!</v>
      </c>
      <c r="D40" s="102" t="e">
        <f t="shared" si="6"/>
        <v>#DIV/0!</v>
      </c>
      <c r="E40" s="102" t="e">
        <f t="shared" si="6"/>
        <v>#DIV/0!</v>
      </c>
      <c r="F40" s="102" t="str">
        <f t="shared" si="6"/>
        <v>niebankrut</v>
      </c>
      <c r="G40" s="102" t="str">
        <f t="shared" si="6"/>
        <v>niebankrut</v>
      </c>
    </row>
    <row r="41" spans="1:7">
      <c r="A41" s="95"/>
      <c r="B41" s="101"/>
      <c r="C41" s="97"/>
      <c r="D41" s="97"/>
      <c r="E41" s="97"/>
      <c r="F41" s="97"/>
      <c r="G41" s="97"/>
    </row>
    <row r="42" spans="1:7" ht="12.5">
      <c r="A42" s="232" t="s">
        <v>232</v>
      </c>
      <c r="B42" s="98" t="s">
        <v>245</v>
      </c>
      <c r="C42" s="89" t="e">
        <f t="shared" ref="C42:G42" si="7">C16</f>
        <v>#REF!</v>
      </c>
      <c r="D42" s="89" t="e">
        <f t="shared" si="7"/>
        <v>#DIV/0!</v>
      </c>
      <c r="E42" s="89" t="e">
        <f t="shared" si="7"/>
        <v>#DIV/0!</v>
      </c>
      <c r="F42" s="89">
        <f t="shared" si="7"/>
        <v>2.1741706673586783</v>
      </c>
      <c r="G42" s="89">
        <f t="shared" si="7"/>
        <v>0.73282161794019363</v>
      </c>
    </row>
    <row r="43" spans="1:7" ht="13.5">
      <c r="A43" s="233"/>
      <c r="B43" s="98" t="s">
        <v>246</v>
      </c>
      <c r="C43" s="93" t="e">
        <f t="shared" ref="C43:G43" si="8">C37</f>
        <v>#REF!</v>
      </c>
      <c r="D43" s="93" t="e">
        <f t="shared" si="8"/>
        <v>#DIV/0!</v>
      </c>
      <c r="E43" s="93" t="e">
        <f t="shared" si="8"/>
        <v>#DIV/0!</v>
      </c>
      <c r="F43" s="93">
        <f t="shared" si="8"/>
        <v>53.462337804811156</v>
      </c>
      <c r="G43" s="93">
        <f t="shared" si="8"/>
        <v>153.01588265997961</v>
      </c>
    </row>
    <row r="44" spans="1:7" ht="13.5">
      <c r="A44" s="233"/>
      <c r="B44" s="98" t="s">
        <v>247</v>
      </c>
      <c r="C44" s="89" t="e">
        <f t="shared" ref="C44:G44" si="9">C36/100</f>
        <v>#REF!</v>
      </c>
      <c r="D44" s="89" t="e">
        <f t="shared" si="9"/>
        <v>#DIV/0!</v>
      </c>
      <c r="E44" s="89" t="e">
        <f t="shared" si="9"/>
        <v>#DIV/0!</v>
      </c>
      <c r="F44" s="89">
        <f t="shared" si="9"/>
        <v>0.31729812724363132</v>
      </c>
      <c r="G44" s="89">
        <f t="shared" si="9"/>
        <v>0.10647991290633821</v>
      </c>
    </row>
    <row r="45" spans="1:7" ht="13.5">
      <c r="A45" s="233"/>
      <c r="B45" s="98" t="s">
        <v>248</v>
      </c>
      <c r="C45" s="89" t="e">
        <f>'r-k zysków i strat'!B45/'r-k zysków i strat'!B50</f>
        <v>#DIV/0!</v>
      </c>
      <c r="D45" s="89" t="e">
        <f>'r-k zysków i strat'!C45/'r-k zysków i strat'!C50</f>
        <v>#DIV/0!</v>
      </c>
      <c r="E45" s="89" t="e">
        <f>'r-k zysków i strat'!D45/'r-k zysków i strat'!D50</f>
        <v>#DIV/0!</v>
      </c>
      <c r="F45" s="89">
        <f>'r-k zysków i strat'!E45/'r-k zysków i strat'!E50</f>
        <v>0.18016902398429782</v>
      </c>
      <c r="G45" s="89">
        <f>'r-k zysków i strat'!F45/'r-k zysków i strat'!F50</f>
        <v>0.17991961085269134</v>
      </c>
    </row>
    <row r="46" spans="1:7" ht="13.5">
      <c r="A46" s="233"/>
      <c r="B46" s="98" t="s">
        <v>249</v>
      </c>
      <c r="C46" s="89" t="e">
        <f t="shared" ref="C46:G46" si="10">C35/100</f>
        <v>#DIV/0!</v>
      </c>
      <c r="D46" s="89" t="e">
        <f t="shared" si="10"/>
        <v>#DIV/0!</v>
      </c>
      <c r="E46" s="89" t="e">
        <f t="shared" si="10"/>
        <v>#DIV/0!</v>
      </c>
      <c r="F46" s="89">
        <f t="shared" si="10"/>
        <v>0.22625174805011317</v>
      </c>
      <c r="G46" s="89">
        <f t="shared" si="10"/>
        <v>0.22527701998830613</v>
      </c>
    </row>
    <row r="47" spans="1:7">
      <c r="A47" s="234"/>
      <c r="B47" s="99" t="s">
        <v>234</v>
      </c>
      <c r="C47" s="103" t="e">
        <f t="shared" ref="C47:G47" si="11">0.773206-(0.085642*C42)+(0.000775*C43)+(0.922098*C44)+(0.653599*C45)-(0.59469*C46)</f>
        <v>#REF!</v>
      </c>
      <c r="D47" s="103" t="e">
        <f t="shared" si="11"/>
        <v>#DIV/0!</v>
      </c>
      <c r="E47" s="103" t="e">
        <f t="shared" si="11"/>
        <v>#DIV/0!</v>
      </c>
      <c r="F47" s="103">
        <f t="shared" si="11"/>
        <v>0.9042275978990858</v>
      </c>
      <c r="G47" s="103">
        <f t="shared" si="11"/>
        <v>0.9108432015058211</v>
      </c>
    </row>
    <row r="48" spans="1:7">
      <c r="A48" s="95"/>
      <c r="B48" s="101"/>
      <c r="C48" s="104" t="e">
        <f t="shared" ref="C48:G48" si="12">IF(C47&lt;0.45,"bankrut","niebankrut")</f>
        <v>#REF!</v>
      </c>
      <c r="D48" s="104" t="e">
        <f t="shared" si="12"/>
        <v>#DIV/0!</v>
      </c>
      <c r="E48" s="104" t="e">
        <f t="shared" si="12"/>
        <v>#DIV/0!</v>
      </c>
      <c r="F48" s="104" t="str">
        <f t="shared" si="12"/>
        <v>niebankrut</v>
      </c>
      <c r="G48" s="104" t="str">
        <f t="shared" si="12"/>
        <v>niebankrut</v>
      </c>
    </row>
    <row r="49" spans="1:7">
      <c r="A49" s="95"/>
      <c r="B49" s="96"/>
      <c r="C49" s="97"/>
      <c r="D49" s="97"/>
      <c r="E49" s="97"/>
      <c r="F49" s="97"/>
      <c r="G49" s="97"/>
    </row>
    <row r="50" spans="1:7">
      <c r="A50" s="95"/>
      <c r="B50" s="101"/>
      <c r="C50" s="97"/>
      <c r="D50" s="97"/>
      <c r="E50" s="97"/>
      <c r="F50" s="97"/>
      <c r="G50" s="97"/>
    </row>
    <row r="51" spans="1:7">
      <c r="A51" s="101"/>
      <c r="B51" s="101"/>
      <c r="C51" s="101"/>
      <c r="D51" s="105"/>
      <c r="E51" s="105"/>
      <c r="F51" s="105"/>
      <c r="G51" s="105"/>
    </row>
    <row r="52" spans="1:7">
      <c r="A52" s="101"/>
      <c r="B52" s="106"/>
      <c r="C52" s="105"/>
      <c r="D52" s="105"/>
      <c r="E52" s="105"/>
      <c r="F52" s="105"/>
      <c r="G52" s="105"/>
    </row>
    <row r="53" spans="1:7">
      <c r="A53" s="101"/>
      <c r="B53" s="101"/>
      <c r="C53" s="101"/>
      <c r="D53" s="105"/>
      <c r="E53" s="105"/>
      <c r="F53" s="105"/>
      <c r="G53" s="105"/>
    </row>
    <row r="54" spans="1:7">
      <c r="A54" s="101"/>
      <c r="B54" s="101"/>
      <c r="C54" s="101"/>
      <c r="D54" s="105"/>
      <c r="E54" s="105"/>
      <c r="F54" s="105"/>
      <c r="G54" s="105"/>
    </row>
    <row r="55" spans="1:7">
      <c r="A55" s="101"/>
      <c r="B55" s="101"/>
      <c r="C55" s="101"/>
      <c r="D55" s="105"/>
      <c r="E55" s="105"/>
      <c r="F55" s="105"/>
      <c r="G55" s="105"/>
    </row>
    <row r="56" spans="1:7">
      <c r="A56" s="101"/>
      <c r="B56" s="101"/>
      <c r="C56" s="101"/>
      <c r="D56" s="105"/>
      <c r="E56" s="105"/>
      <c r="F56" s="105"/>
      <c r="G56" s="105"/>
    </row>
    <row r="57" spans="1:7">
      <c r="A57" s="101"/>
      <c r="B57" s="101"/>
      <c r="C57" s="101"/>
      <c r="D57" s="105"/>
      <c r="E57" s="105"/>
      <c r="F57" s="105"/>
      <c r="G57" s="105"/>
    </row>
    <row r="58" spans="1:7">
      <c r="A58" s="101"/>
      <c r="B58" s="101"/>
      <c r="C58" s="101"/>
      <c r="D58" s="105"/>
      <c r="E58" s="105"/>
      <c r="F58" s="105"/>
      <c r="G58" s="105"/>
    </row>
  </sheetData>
  <mergeCells count="9">
    <mergeCell ref="A1:G2"/>
    <mergeCell ref="A42:A47"/>
    <mergeCell ref="A24:A30"/>
    <mergeCell ref="A32:G32"/>
    <mergeCell ref="A34:A39"/>
    <mergeCell ref="A4:A7"/>
    <mergeCell ref="A8:A11"/>
    <mergeCell ref="A12:A20"/>
    <mergeCell ref="A21:A23"/>
  </mergeCells>
  <phoneticPr fontId="0" type="noConversion"/>
  <pageMargins left="0.41" right="0.59" top="0.57999999999999996" bottom="0.61" header="0.4" footer="0.4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kopia_prezentsacja</vt:lpstr>
      <vt:lpstr>bilans </vt:lpstr>
      <vt:lpstr>r-k zysków i strat</vt:lpstr>
      <vt:lpstr>cash-flow</vt:lpstr>
      <vt:lpstr>wskaźniki</vt:lpstr>
      <vt:lpstr>'bilans '!Obszar_wydruku</vt:lpstr>
      <vt:lpstr>'cash-flow'!Obszar_wydruku</vt:lpstr>
      <vt:lpstr>kopia_prezentsacja!Obszar_wydruku</vt:lpstr>
      <vt:lpstr>'r-k zysków i strat'!Obszar_wydruku</vt:lpstr>
      <vt:lpstr>wskaźniki!Obszar_wydruku</vt:lpstr>
    </vt:vector>
  </TitlesOfParts>
  <Company>PGK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Sprawozdania 1996-2000</dc:title>
  <dc:subject>Analiza ekonomiczno-finansowa</dc:subject>
  <dc:creator>Paweł Klucz</dc:creator>
  <cp:lastModifiedBy>Mateusz Wodnik</cp:lastModifiedBy>
  <cp:lastPrinted>2004-08-30T09:26:31Z</cp:lastPrinted>
  <dcterms:created xsi:type="dcterms:W3CDTF">2001-10-04T08:35:02Z</dcterms:created>
  <dcterms:modified xsi:type="dcterms:W3CDTF">2016-11-29T18:42:48Z</dcterms:modified>
</cp:coreProperties>
</file>