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Alexander/Desktop/saving-oneself-team-1/Report/"/>
    </mc:Choice>
  </mc:AlternateContent>
  <bookViews>
    <workbookView xWindow="0" yWindow="460" windowWidth="33600" windowHeight="20460" tabRatio="500"/>
  </bookViews>
  <sheets>
    <sheet name="Finance" sheetId="3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3" l="1"/>
  <c r="G35" i="3"/>
  <c r="M16" i="3"/>
  <c r="M35" i="3"/>
  <c r="C42" i="3"/>
  <c r="Q35" i="3"/>
  <c r="L28" i="3"/>
  <c r="M28" i="3"/>
  <c r="L29" i="3"/>
  <c r="M29" i="3"/>
  <c r="L31" i="3"/>
  <c r="M31" i="3"/>
  <c r="L32" i="3"/>
  <c r="M32" i="3"/>
  <c r="L30" i="3"/>
  <c r="K31" i="3"/>
  <c r="M30" i="3"/>
  <c r="I27" i="3"/>
  <c r="L27" i="3"/>
  <c r="M27" i="3"/>
  <c r="K28" i="3"/>
  <c r="K29" i="3"/>
  <c r="K30" i="3"/>
  <c r="K32" i="3"/>
  <c r="K27" i="3"/>
  <c r="L19" i="3"/>
  <c r="M19" i="3"/>
  <c r="K19" i="3"/>
  <c r="L12" i="3"/>
  <c r="M12" i="3"/>
  <c r="L13" i="3"/>
  <c r="M13" i="3"/>
  <c r="L14" i="3"/>
  <c r="M14" i="3"/>
  <c r="L15" i="3"/>
  <c r="M15" i="3"/>
  <c r="L17" i="3"/>
  <c r="M17" i="3"/>
  <c r="M18" i="3"/>
  <c r="L11" i="3"/>
  <c r="M11" i="3"/>
  <c r="K12" i="3"/>
  <c r="K13" i="3"/>
  <c r="K14" i="3"/>
  <c r="K15" i="3"/>
  <c r="K17" i="3"/>
  <c r="K11" i="3"/>
  <c r="N39" i="3"/>
  <c r="L39" i="3"/>
  <c r="K39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6" i="3"/>
  <c r="U67" i="3"/>
  <c r="U68" i="3"/>
  <c r="G32" i="3"/>
  <c r="U69" i="3"/>
  <c r="U65" i="3"/>
  <c r="U71" i="3"/>
  <c r="U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45" i="3"/>
  <c r="G25" i="3"/>
  <c r="G26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45" i="3"/>
  <c r="B62" i="3"/>
  <c r="B63" i="3"/>
  <c r="B64" i="3"/>
  <c r="B65" i="3"/>
  <c r="B66" i="3"/>
  <c r="B67" i="3"/>
  <c r="B68" i="3"/>
  <c r="B69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45" i="3"/>
  <c r="G24" i="3"/>
  <c r="G22" i="3"/>
  <c r="G19" i="3"/>
  <c r="G14" i="3"/>
  <c r="G13" i="3"/>
  <c r="G12" i="3"/>
  <c r="G11" i="3"/>
  <c r="G10" i="3"/>
  <c r="G7" i="3"/>
  <c r="D38" i="3"/>
  <c r="G8" i="3"/>
  <c r="G20" i="3"/>
  <c r="G21" i="3"/>
  <c r="G23" i="3"/>
  <c r="K35" i="3"/>
  <c r="L35" i="3"/>
  <c r="U11" i="3"/>
  <c r="U12" i="3"/>
  <c r="U13" i="3"/>
  <c r="U15" i="3"/>
  <c r="U19" i="3"/>
  <c r="U35" i="3"/>
  <c r="C13" i="3"/>
  <c r="C35" i="3"/>
</calcChain>
</file>

<file path=xl/comments1.xml><?xml version="1.0" encoding="utf-8"?>
<comments xmlns="http://schemas.openxmlformats.org/spreadsheetml/2006/main">
  <authors>
    <author>Microsoft Office User</author>
  </authors>
  <commentList>
    <comment ref="E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http://www.ukforex.co.uk/forex-tools/historical-rate-tools/yearly-average-rates</t>
        </r>
      </text>
    </comment>
    <comment ref="L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file:///Users/Alexander/Downloads/hctguide2fig20.pdf</t>
        </r>
      </text>
    </comment>
    <comment ref="F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http://www.shopmedvet.com/product/ketamine-ciii-injection-100mg-ml-10ml</t>
        </r>
      </text>
    </comment>
    <comment ref="T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http://www.payscale.com/research/UK/Job=General_Surgeon/Salary</t>
        </r>
      </text>
    </comment>
    <comment ref="F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http://www.shopmedvet.com/product/xylazine-injection-100mg-ml-50ml/rxx</t>
        </r>
      </text>
    </comment>
    <comment ref="F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https://www.praxisdienst.com/en/Emergency/Auxiliary+breathing+and+intubation/Oxygen+systems+tubes+and+accessories/Oxygen+flask/Oxygen+flask+filled+1+liter.html?cur=3&amp;speed=1&amp;gclid=CI3F4MPT_MsCFcsW0wodNjoAMA</t>
        </r>
      </text>
    </comment>
    <comment ref="T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F1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http://www.scahealth.com/isoflurane-horse-dog-sedative.html</t>
        </r>
      </text>
    </comment>
    <comment ref="F1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https://www.thermofisher.com/uk/en/home/life-science/cell-culture/mammalian-cell-culture/reagents/balanced-salt-solutions/pbs-phosphate-buffered-saline.html</t>
        </r>
      </text>
    </comment>
    <comment ref="T1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F1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https://www.emsdiasum.com/microscopy/products/chemicals/glutaraldehyde.aspx</t>
        </r>
      </text>
    </comment>
    <comment ref="T1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F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https://www.emsdiasum.com/microscopy/products/chemicals/glutaraldehyde.aspx</t>
        </r>
      </text>
    </comment>
    <comment ref="T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F1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http://www.chemicals.co.uk/ethylene-glycol</t>
        </r>
      </text>
    </comment>
    <comment ref="T1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E1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Brain volume x 10 = 1900x10
</t>
        </r>
      </text>
    </comment>
    <comment ref="F1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http://www.sigmaaldrich.com/catalog/product/sigma/70114?lang=en&amp;region=GB</t>
        </r>
      </text>
    </comment>
    <comment ref="T1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E2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See BROPA spreadsheet</t>
        </r>
      </text>
    </comment>
    <comment ref="F2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http://www.sigmaaldrich.com/catalog/product/sigma/75632?lang=en&amp;region=GB</t>
        </r>
      </text>
    </comment>
    <comment ref="F2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http://www.sciencecompany.com/Potassium-Ferricyanide-100g-P6372.aspx</t>
        </r>
      </text>
    </comment>
    <comment ref="F2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http://www.sigmaaldrich.com/catalog/product/sigma/97068?lang=en&amp;region=GB</t>
        </r>
      </text>
    </comment>
    <comment ref="F2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http://www.rightpricechemicals.com/buy-formamide-reagent-acs.html</t>
        </r>
      </text>
    </comment>
    <comment ref="F2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http://www.sigmaaldrich.com/catalog/product/sigma/p0381?lang=en&amp;region=GB</t>
        </r>
      </text>
    </comment>
    <comment ref="E2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Brain volume x 10 = 1900x10
</t>
        </r>
      </text>
    </comment>
    <comment ref="F2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http://www.chemicals.co.uk/absolute-ethanol</t>
        </r>
      </text>
    </comment>
    <comment ref="E2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Brain volume x 10 = 1900x10
</t>
        </r>
      </text>
    </comment>
    <comment ref="F2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http://www.agarscientific.com/checkout/cart/</t>
        </r>
      </text>
    </comment>
  </commentList>
</comments>
</file>

<file path=xl/sharedStrings.xml><?xml version="1.0" encoding="utf-8"?>
<sst xmlns="http://schemas.openxmlformats.org/spreadsheetml/2006/main" count="495" uniqueCount="130">
  <si>
    <t>Stage</t>
  </si>
  <si>
    <t>Materials</t>
  </si>
  <si>
    <t>Machinery</t>
  </si>
  <si>
    <t>Maintenance</t>
  </si>
  <si>
    <t>Utilities</t>
  </si>
  <si>
    <t>Staff</t>
  </si>
  <si>
    <t xml:space="preserve">Brain Removal </t>
  </si>
  <si>
    <t xml:space="preserve">Second Stage Sectioning </t>
  </si>
  <si>
    <t>Initial Fixation</t>
  </si>
  <si>
    <t>Cryopreservation</t>
  </si>
  <si>
    <t>Dehydration</t>
  </si>
  <si>
    <t>Embedding</t>
  </si>
  <si>
    <t>First Stage Sectioning</t>
  </si>
  <si>
    <t>ATUM</t>
  </si>
  <si>
    <t>Processing</t>
  </si>
  <si>
    <t>Imaging</t>
  </si>
  <si>
    <t xml:space="preserve">Storage </t>
  </si>
  <si>
    <t>Time (hours)</t>
  </si>
  <si>
    <t>Cost</t>
  </si>
  <si>
    <t>Ketamine</t>
  </si>
  <si>
    <t>Xylazine</t>
  </si>
  <si>
    <t xml:space="preserve">836 mg </t>
  </si>
  <si>
    <t>6.688 mg</t>
  </si>
  <si>
    <t>Oxygen</t>
  </si>
  <si>
    <t>1L</t>
  </si>
  <si>
    <t>Price/ unit</t>
  </si>
  <si>
    <t>Isoflurane</t>
  </si>
  <si>
    <t>0.05L</t>
  </si>
  <si>
    <t>Quantity Required</t>
  </si>
  <si>
    <t>Washout Solution</t>
  </si>
  <si>
    <t>Ethylene Glycol</t>
  </si>
  <si>
    <t>Vitrification</t>
  </si>
  <si>
    <t>Removal of CPA</t>
  </si>
  <si>
    <t>?</t>
  </si>
  <si>
    <t>ethanol</t>
  </si>
  <si>
    <t>Pyrogallol</t>
  </si>
  <si>
    <t>UNICRYL</t>
  </si>
  <si>
    <t>$33.92/50ml</t>
  </si>
  <si>
    <t>£16.58/500ml</t>
  </si>
  <si>
    <t>Osmium tetroxide</t>
  </si>
  <si>
    <t>$34/250ml</t>
  </si>
  <si>
    <t>£278/L</t>
  </si>
  <si>
    <t>Fixative Solution</t>
  </si>
  <si>
    <t>33.75L</t>
  </si>
  <si>
    <t>£79.60/25L</t>
  </si>
  <si>
    <t>20.8L</t>
  </si>
  <si>
    <t>11.2L</t>
  </si>
  <si>
    <t>GBP/USD (2015 Average) for conversion</t>
  </si>
  <si>
    <t xml:space="preserve">Lab Assistant </t>
  </si>
  <si>
    <t>15L</t>
  </si>
  <si>
    <t>£88.3/100ml</t>
  </si>
  <si>
    <t>0.1 M cacodylate</t>
  </si>
  <si>
    <t>19l</t>
  </si>
  <si>
    <t>£237.15/ 250ml</t>
  </si>
  <si>
    <t>£265.06/2.5l</t>
  </si>
  <si>
    <t xml:space="preserve">Automated Perfusion Machine with Gradient Generator </t>
  </si>
  <si>
    <t>Manual Perfusion Machine</t>
  </si>
  <si>
    <t>Totals</t>
  </si>
  <si>
    <t>£83.56/L</t>
  </si>
  <si>
    <t>Surgical plane of Anaesthesia</t>
  </si>
  <si>
    <t xml:space="preserve">Skilled surgeon </t>
  </si>
  <si>
    <t>Compresstome</t>
  </si>
  <si>
    <t>Lynx II for Microscopy</t>
  </si>
  <si>
    <t>Proffession</t>
  </si>
  <si>
    <t>Quanity Required</t>
  </si>
  <si>
    <t>Wage</t>
  </si>
  <si>
    <t>£15,000/year</t>
  </si>
  <si>
    <t>£7.21/hour</t>
  </si>
  <si>
    <t>£75/hour</t>
  </si>
  <si>
    <t>Formamide</t>
  </si>
  <si>
    <t>Sodium Cacodylate Buffer</t>
  </si>
  <si>
    <t>BROPA</t>
  </si>
  <si>
    <t>Potassium ferrocyanid</t>
  </si>
  <si>
    <t>4.9kg</t>
  </si>
  <si>
    <t>42g</t>
  </si>
  <si>
    <t>15.3kg</t>
  </si>
  <si>
    <t>20.8kg</t>
  </si>
  <si>
    <t>11.4kg</t>
  </si>
  <si>
    <t>£194.5/10ml</t>
  </si>
  <si>
    <t>£7.17/100g</t>
  </si>
  <si>
    <t>£88.2/100ml</t>
  </si>
  <si>
    <t>£35.63/100g</t>
  </si>
  <si>
    <t>£120.50/500g</t>
  </si>
  <si>
    <t>Maintenance at 5% of value</t>
  </si>
  <si>
    <t>6*</t>
  </si>
  <si>
    <t>1*</t>
  </si>
  <si>
    <t>16*</t>
  </si>
  <si>
    <t>84*</t>
  </si>
  <si>
    <t xml:space="preserve">*For one sample only </t>
  </si>
  <si>
    <t xml:space="preserve">Thysitemp MT-23 thermocouple needle probe </t>
  </si>
  <si>
    <t>Inc. Controllable Isothermal Vapor Storage</t>
  </si>
  <si>
    <t>£4.91/10ml</t>
  </si>
  <si>
    <t>Grand Total</t>
  </si>
  <si>
    <t>Samples total</t>
  </si>
  <si>
    <t>Agarose</t>
  </si>
  <si>
    <t>ATUMtome</t>
  </si>
  <si>
    <t>Lab Technician</t>
  </si>
  <si>
    <t>1/50 machines</t>
  </si>
  <si>
    <t>**For one slice only (including 6h thaw time)</t>
  </si>
  <si>
    <t>8**</t>
  </si>
  <si>
    <t>1***</t>
  </si>
  <si>
    <t>***For one slice only</t>
  </si>
  <si>
    <t>Custom Vibratome</t>
  </si>
  <si>
    <t>Silicon wafers</t>
  </si>
  <si>
    <t>Kapton tape</t>
  </si>
  <si>
    <r>
      <t>OCZ</t>
    </r>
    <r>
      <rPr>
        <sz val="10"/>
        <color rgb="FF000000"/>
        <rFont val="Arial Unicode MS"/>
      </rPr>
      <t xml:space="preserve"> Vertex 4                                               </t>
    </r>
  </si>
  <si>
    <t>&amp;</t>
  </si>
  <si>
    <t>\pounds</t>
  </si>
  <si>
    <t>\\</t>
  </si>
  <si>
    <t>\hline</t>
  </si>
  <si>
    <r>
      <t>\multicolumn</t>
    </r>
    <r>
      <rPr>
        <sz val="10"/>
        <color rgb="FF000000"/>
        <rFont val="Arial Unicode MS"/>
      </rPr>
      <t>{1}{</t>
    </r>
    <r>
      <rPr>
        <u/>
        <sz val="10"/>
        <color rgb="FF000000"/>
        <rFont val="Arial Unicode MS"/>
      </rPr>
      <t>r|</t>
    </r>
    <r>
      <rPr>
        <sz val="10"/>
        <color rgb="FF000000"/>
        <rFont val="Arial Unicode MS"/>
      </rPr>
      <t>}{</t>
    </r>
  </si>
  <si>
    <t>}</t>
  </si>
  <si>
    <t xml:space="preserve">MACHINE TOTAL </t>
  </si>
  <si>
    <t xml:space="preserve">Robotic Arm Autoloader </t>
  </si>
  <si>
    <r>
      <t>ZEISS</t>
    </r>
    <r>
      <rPr>
        <sz val="10"/>
        <color rgb="FF000000"/>
        <rFont val="Arial Unicode MS"/>
      </rPr>
      <t xml:space="preserve"> </t>
    </r>
    <r>
      <rPr>
        <u/>
        <sz val="10"/>
        <color rgb="FF000000"/>
        <rFont val="Arial Unicode MS"/>
      </rPr>
      <t>MultiSEM</t>
    </r>
    <r>
      <rPr>
        <sz val="10"/>
        <color rgb="FF000000"/>
        <rFont val="Arial Unicode MS"/>
      </rPr>
      <t xml:space="preserve"> 506 and </t>
    </r>
    <r>
      <rPr>
        <u/>
        <sz val="10"/>
        <color rgb="FF000000"/>
        <rFont val="Arial Unicode MS"/>
      </rPr>
      <t>Axio</t>
    </r>
    <r>
      <rPr>
        <sz val="10"/>
        <color rgb="FF000000"/>
        <rFont val="Arial Unicode MS"/>
      </rPr>
      <t xml:space="preserve"> </t>
    </r>
    <r>
      <rPr>
        <u/>
        <sz val="10"/>
        <color rgb="FF000000"/>
        <rFont val="Arial Unicode MS"/>
      </rPr>
      <t>Imager</t>
    </r>
    <r>
      <rPr>
        <sz val="10"/>
        <color rgb="FF000000"/>
        <rFont val="Arial Unicode MS"/>
      </rPr>
      <t xml:space="preserve"> </t>
    </r>
    <r>
      <rPr>
        <u/>
        <sz val="10"/>
        <color rgb="FF000000"/>
        <rFont val="Arial Unicode MS"/>
      </rPr>
      <t>A2</t>
    </r>
    <r>
      <rPr>
        <sz val="10"/>
        <color rgb="FF000000"/>
        <rFont val="Arial Unicode MS"/>
      </rPr>
      <t xml:space="preserve"> </t>
    </r>
    <r>
      <rPr>
        <u/>
        <sz val="10"/>
        <color rgb="FF000000"/>
        <rFont val="Arial Unicode MS"/>
      </rPr>
      <t>Vario</t>
    </r>
  </si>
  <si>
    <t>TOTAL/UNIT</t>
  </si>
  <si>
    <r>
      <t>NVIDIA</t>
    </r>
    <r>
      <rPr>
        <sz val="10"/>
        <color rgb="FF000000"/>
        <rFont val="Arial Unicode MS"/>
      </rPr>
      <t xml:space="preserve"> Tesla </t>
    </r>
    <r>
      <rPr>
        <u/>
        <sz val="10"/>
        <color rgb="FF000000"/>
        <rFont val="Arial Unicode MS"/>
      </rPr>
      <t>K80</t>
    </r>
  </si>
  <si>
    <t>Machinary</t>
  </si>
  <si>
    <t xml:space="preserve">Material </t>
  </si>
  <si>
    <t>labour</t>
  </si>
  <si>
    <t>Power Consumption/hour</t>
  </si>
  <si>
    <t>Hour</t>
  </si>
  <si>
    <t xml:space="preserve">Rent </t>
  </si>
  <si>
    <t>Area</t>
  </si>
  <si>
    <t>11L</t>
  </si>
  <si>
    <t>£250/</t>
  </si>
  <si>
    <t>Stryker M810</t>
  </si>
  <si>
    <t>$2,279.05</t>
  </si>
  <si>
    <t>N/A - one use per brain</t>
  </si>
  <si>
    <t>20000****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</si>
</sst>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£&quot;#,##0_);[Red]\(&quot;£&quot;#,##0\)"/>
    <numFmt numFmtId="8" formatCode="&quot;£&quot;#,##0.00_);[Red]\(&quot;£&quot;#,##0.00\)"/>
    <numFmt numFmtId="164" formatCode="&quot;£&quot;#,##0;[Red]\-&quot;£&quot;#,##0"/>
    <numFmt numFmtId="165" formatCode="&quot;£&quot;#,##0.00"/>
    <numFmt numFmtId="166" formatCode="[$£-809]#,##0.00;[Red]\-[$£-809]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CC"/>
      <name val="Arial Unicode MS"/>
    </font>
    <font>
      <sz val="9"/>
      <name val="Arial"/>
      <family val="2"/>
    </font>
    <font>
      <sz val="12"/>
      <color rgb="FF373E4D"/>
      <name val="Helvetica"/>
    </font>
    <font>
      <sz val="10"/>
      <color indexed="81"/>
      <name val="Calibri"/>
    </font>
    <font>
      <b/>
      <sz val="10"/>
      <color indexed="81"/>
      <name val="Calibri"/>
    </font>
    <font>
      <sz val="13.2"/>
      <color rgb="FF333333"/>
      <name val="Inherit"/>
    </font>
    <font>
      <sz val="12"/>
      <color rgb="FF333333"/>
      <name val="Arial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DD0000"/>
      <name val="Arial"/>
    </font>
    <font>
      <sz val="12"/>
      <color rgb="FF9C0006"/>
      <name val="Calibri"/>
      <family val="2"/>
      <scheme val="minor"/>
    </font>
    <font>
      <b/>
      <sz val="18"/>
      <color rgb="FF9C0006"/>
      <name val="Calibri"/>
      <scheme val="minor"/>
    </font>
    <font>
      <u/>
      <sz val="10"/>
      <color rgb="FF000000"/>
      <name val="Arial Unicode MS"/>
    </font>
    <font>
      <sz val="10"/>
      <color rgb="FF000000"/>
      <name val="Arial Unicode MS"/>
    </font>
    <font>
      <sz val="10"/>
      <color rgb="FF8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4" fillId="5" borderId="0" applyNumberFormat="0" applyBorder="0" applyAlignment="0" applyProtection="0"/>
    <xf numFmtId="0" fontId="1" fillId="6" borderId="0" applyNumberFormat="0" applyBorder="0" applyAlignment="0" applyProtection="0"/>
  </cellStyleXfs>
  <cellXfs count="111">
    <xf numFmtId="0" fontId="0" fillId="0" borderId="0" xfId="0"/>
    <xf numFmtId="0" fontId="4" fillId="0" borderId="0" xfId="0" applyFont="1" applyAlignment="1">
      <alignment vertical="center"/>
    </xf>
    <xf numFmtId="3" fontId="5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0" fontId="6" fillId="0" borderId="0" xfId="0" applyFont="1"/>
    <xf numFmtId="0" fontId="9" fillId="0" borderId="0" xfId="0" applyFont="1"/>
    <xf numFmtId="0" fontId="10" fillId="0" borderId="0" xfId="0" applyFont="1"/>
    <xf numFmtId="165" fontId="0" fillId="0" borderId="0" xfId="0" applyNumberFormat="1"/>
    <xf numFmtId="165" fontId="5" fillId="0" borderId="0" xfId="0" applyNumberFormat="1" applyFont="1"/>
    <xf numFmtId="0" fontId="12" fillId="0" borderId="0" xfId="1" applyFont="1" applyFill="1" applyAlignment="1">
      <alignment horizontal="center"/>
    </xf>
    <xf numFmtId="0" fontId="2" fillId="4" borderId="1" xfId="3" applyBorder="1"/>
    <xf numFmtId="0" fontId="2" fillId="3" borderId="1" xfId="2" applyBorder="1"/>
    <xf numFmtId="0" fontId="12" fillId="2" borderId="1" xfId="1" applyFont="1" applyBorder="1" applyAlignment="1">
      <alignment horizontal="center" vertical="center"/>
    </xf>
    <xf numFmtId="0" fontId="2" fillId="4" borderId="1" xfId="3" applyBorder="1" applyAlignment="1">
      <alignment horizontal="center" vertical="center"/>
    </xf>
    <xf numFmtId="0" fontId="0" fillId="0" borderId="0" xfId="0" applyBorder="1"/>
    <xf numFmtId="0" fontId="11" fillId="0" borderId="0" xfId="0" applyFont="1" applyBorder="1" applyAlignment="1">
      <alignment horizontal="center"/>
    </xf>
    <xf numFmtId="165" fontId="0" fillId="0" borderId="0" xfId="0" applyNumberFormat="1" applyBorder="1"/>
    <xf numFmtId="165" fontId="5" fillId="0" borderId="0" xfId="0" applyNumberFormat="1" applyFont="1" applyBorder="1" applyAlignment="1">
      <alignment horizontal="right"/>
    </xf>
    <xf numFmtId="0" fontId="5" fillId="0" borderId="0" xfId="0" applyFont="1" applyBorder="1"/>
    <xf numFmtId="165" fontId="5" fillId="0" borderId="0" xfId="0" applyNumberFormat="1" applyFont="1" applyBorder="1" applyAlignment="1">
      <alignment horizontal="left"/>
    </xf>
    <xf numFmtId="165" fontId="5" fillId="0" borderId="0" xfId="0" applyNumberFormat="1" applyFont="1" applyBorder="1"/>
    <xf numFmtId="0" fontId="12" fillId="2" borderId="0" xfId="1" applyFont="1" applyBorder="1" applyAlignment="1">
      <alignment horizontal="center" vertical="center"/>
    </xf>
    <xf numFmtId="0" fontId="11" fillId="0" borderId="0" xfId="0" applyFont="1" applyBorder="1"/>
    <xf numFmtId="0" fontId="0" fillId="3" borderId="1" xfId="2" applyFont="1" applyBorder="1"/>
    <xf numFmtId="3" fontId="2" fillId="4" borderId="1" xfId="3" applyNumberFormat="1" applyBorder="1" applyAlignment="1">
      <alignment horizontal="left"/>
    </xf>
    <xf numFmtId="165" fontId="2" fillId="3" borderId="1" xfId="2" applyNumberFormat="1" applyBorder="1"/>
    <xf numFmtId="8" fontId="2" fillId="3" borderId="1" xfId="2" applyNumberFormat="1" applyBorder="1" applyAlignment="1">
      <alignment horizontal="left"/>
    </xf>
    <xf numFmtId="0" fontId="2" fillId="3" borderId="1" xfId="2" applyBorder="1" applyAlignment="1">
      <alignment vertical="center"/>
    </xf>
    <xf numFmtId="165" fontId="2" fillId="3" borderId="1" xfId="2" applyNumberFormat="1" applyBorder="1" applyAlignment="1">
      <alignment horizontal="right"/>
    </xf>
    <xf numFmtId="165" fontId="2" fillId="3" borderId="1" xfId="2" applyNumberFormat="1" applyBorder="1" applyAlignment="1">
      <alignment horizontal="left"/>
    </xf>
    <xf numFmtId="0" fontId="3" fillId="3" borderId="1" xfId="2" applyFont="1" applyBorder="1"/>
    <xf numFmtId="0" fontId="3" fillId="4" borderId="1" xfId="3" applyFont="1" applyBorder="1"/>
    <xf numFmtId="0" fontId="0" fillId="4" borderId="1" xfId="3" applyFont="1" applyBorder="1"/>
    <xf numFmtId="165" fontId="2" fillId="4" borderId="1" xfId="3" applyNumberFormat="1" applyBorder="1"/>
    <xf numFmtId="0" fontId="2" fillId="3" borderId="1" xfId="2" applyBorder="1" applyAlignment="1">
      <alignment horizontal="center" vertical="center"/>
    </xf>
    <xf numFmtId="165" fontId="2" fillId="3" borderId="1" xfId="2" applyNumberFormat="1" applyBorder="1" applyAlignment="1">
      <alignment horizontal="center" vertical="center"/>
    </xf>
    <xf numFmtId="0" fontId="0" fillId="3" borderId="1" xfId="2" applyFont="1" applyBorder="1" applyAlignment="1">
      <alignment vertical="center"/>
    </xf>
    <xf numFmtId="0" fontId="0" fillId="3" borderId="1" xfId="2" applyFont="1" applyBorder="1" applyAlignment="1">
      <alignment horizontal="center" vertical="center"/>
    </xf>
    <xf numFmtId="0" fontId="0" fillId="3" borderId="1" xfId="2" applyFont="1" applyBorder="1" applyAlignment="1">
      <alignment horizontal="left"/>
    </xf>
    <xf numFmtId="0" fontId="13" fillId="0" borderId="0" xfId="0" applyFont="1"/>
    <xf numFmtId="0" fontId="2" fillId="3" borderId="5" xfId="2" applyBorder="1" applyAlignment="1">
      <alignment horizontal="center"/>
    </xf>
    <xf numFmtId="165" fontId="2" fillId="3" borderId="5" xfId="2" applyNumberFormat="1" applyBorder="1" applyAlignment="1">
      <alignment horizontal="center"/>
    </xf>
    <xf numFmtId="0" fontId="0" fillId="4" borderId="1" xfId="3" applyFont="1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0" fontId="0" fillId="4" borderId="1" xfId="3" applyFont="1" applyBorder="1" applyAlignment="1">
      <alignment horizontal="center" vertical="center"/>
    </xf>
    <xf numFmtId="165" fontId="3" fillId="3" borderId="1" xfId="2" applyNumberFormat="1" applyFont="1" applyBorder="1"/>
    <xf numFmtId="165" fontId="0" fillId="0" borderId="0" xfId="0" applyNumberFormat="1" applyAlignment="1">
      <alignment horizontal="left"/>
    </xf>
    <xf numFmtId="165" fontId="5" fillId="0" borderId="0" xfId="0" applyNumberFormat="1" applyFont="1" applyAlignment="1">
      <alignment horizontal="left"/>
    </xf>
    <xf numFmtId="165" fontId="12" fillId="2" borderId="0" xfId="1" applyNumberFormat="1" applyFont="1" applyBorder="1" applyAlignment="1">
      <alignment horizontal="center" vertical="center"/>
    </xf>
    <xf numFmtId="0" fontId="15" fillId="5" borderId="0" xfId="4" applyFont="1"/>
    <xf numFmtId="165" fontId="15" fillId="5" borderId="0" xfId="4" applyNumberFormat="1" applyFont="1"/>
    <xf numFmtId="0" fontId="0" fillId="3" borderId="1" xfId="2" applyFont="1" applyBorder="1" applyAlignment="1">
      <alignment horizontal="center" vertical="center"/>
    </xf>
    <xf numFmtId="165" fontId="0" fillId="3" borderId="1" xfId="2" applyNumberFormat="1" applyFont="1" applyBorder="1" applyAlignment="1">
      <alignment horizontal="left"/>
    </xf>
    <xf numFmtId="0" fontId="2" fillId="4" borderId="1" xfId="3" applyBorder="1" applyAlignment="1">
      <alignment horizontal="center" vertical="center"/>
    </xf>
    <xf numFmtId="164" fontId="2" fillId="4" borderId="1" xfId="3" applyNumberFormat="1" applyBorder="1"/>
    <xf numFmtId="0" fontId="5" fillId="0" borderId="0" xfId="0" applyFont="1"/>
    <xf numFmtId="0" fontId="5" fillId="0" borderId="0" xfId="0" applyFont="1" applyAlignment="1">
      <alignment horizontal="left"/>
    </xf>
    <xf numFmtId="4" fontId="5" fillId="0" borderId="0" xfId="0" applyNumberFormat="1" applyFont="1" applyBorder="1"/>
    <xf numFmtId="166" fontId="0" fillId="0" borderId="0" xfId="0" applyNumberFormat="1"/>
    <xf numFmtId="2" fontId="5" fillId="0" borderId="0" xfId="0" applyNumberFormat="1" applyFont="1" applyBorder="1"/>
    <xf numFmtId="0" fontId="18" fillId="0" borderId="0" xfId="0" applyFont="1"/>
    <xf numFmtId="0" fontId="5" fillId="0" borderId="0" xfId="0" applyFont="1" applyFill="1" applyBorder="1"/>
    <xf numFmtId="0" fontId="1" fillId="6" borderId="1" xfId="5" applyBorder="1"/>
    <xf numFmtId="0" fontId="1" fillId="6" borderId="5" xfId="5" applyBorder="1"/>
    <xf numFmtId="0" fontId="1" fillId="6" borderId="6" xfId="5" applyBorder="1"/>
    <xf numFmtId="0" fontId="1" fillId="6" borderId="7" xfId="5" applyBorder="1"/>
    <xf numFmtId="0" fontId="0" fillId="6" borderId="1" xfId="5" applyFont="1" applyBorder="1"/>
    <xf numFmtId="0" fontId="12" fillId="2" borderId="5" xfId="1" applyFont="1" applyBorder="1" applyAlignment="1">
      <alignment horizontal="center" vertical="center"/>
    </xf>
    <xf numFmtId="0" fontId="12" fillId="2" borderId="6" xfId="1" applyFont="1" applyBorder="1" applyAlignment="1">
      <alignment horizontal="center" vertical="center"/>
    </xf>
    <xf numFmtId="0" fontId="3" fillId="4" borderId="2" xfId="3" applyFont="1" applyBorder="1" applyAlignment="1">
      <alignment horizontal="center"/>
    </xf>
    <xf numFmtId="0" fontId="3" fillId="4" borderId="4" xfId="3" applyFont="1" applyBorder="1" applyAlignment="1">
      <alignment horizontal="center"/>
    </xf>
    <xf numFmtId="0" fontId="3" fillId="4" borderId="3" xfId="3" applyFont="1" applyBorder="1" applyAlignment="1">
      <alignment horizontal="center"/>
    </xf>
    <xf numFmtId="0" fontId="1" fillId="6" borderId="2" xfId="5" applyBorder="1" applyAlignment="1">
      <alignment horizontal="center"/>
    </xf>
    <xf numFmtId="0" fontId="1" fillId="6" borderId="4" xfId="5" applyBorder="1" applyAlignment="1">
      <alignment horizontal="center"/>
    </xf>
    <xf numFmtId="0" fontId="1" fillId="6" borderId="3" xfId="5" applyBorder="1" applyAlignment="1">
      <alignment horizontal="center"/>
    </xf>
    <xf numFmtId="11" fontId="0" fillId="4" borderId="5" xfId="3" applyNumberFormat="1" applyFont="1" applyBorder="1" applyAlignment="1">
      <alignment horizontal="center" vertical="center"/>
    </xf>
    <xf numFmtId="11" fontId="0" fillId="4" borderId="6" xfId="3" applyNumberFormat="1" applyFont="1" applyBorder="1" applyAlignment="1">
      <alignment horizontal="center" vertical="center"/>
    </xf>
    <xf numFmtId="0" fontId="0" fillId="4" borderId="5" xfId="3" applyFont="1" applyBorder="1" applyAlignment="1">
      <alignment horizontal="left" vertical="center"/>
    </xf>
    <xf numFmtId="0" fontId="0" fillId="4" borderId="7" xfId="3" applyFont="1" applyBorder="1" applyAlignment="1">
      <alignment horizontal="left" vertical="center"/>
    </xf>
    <xf numFmtId="0" fontId="0" fillId="4" borderId="6" xfId="3" applyFont="1" applyBorder="1" applyAlignment="1">
      <alignment horizontal="left" vertical="center"/>
    </xf>
    <xf numFmtId="4" fontId="0" fillId="4" borderId="5" xfId="3" applyNumberFormat="1" applyFont="1" applyBorder="1" applyAlignment="1">
      <alignment horizontal="center" vertical="center"/>
    </xf>
    <xf numFmtId="4" fontId="2" fillId="4" borderId="7" xfId="3" applyNumberFormat="1" applyBorder="1" applyAlignment="1">
      <alignment horizontal="center" vertical="center"/>
    </xf>
    <xf numFmtId="4" fontId="2" fillId="4" borderId="6" xfId="3" applyNumberFormat="1" applyBorder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3" fillId="4" borderId="1" xfId="3" applyFont="1" applyBorder="1" applyAlignment="1">
      <alignment horizontal="center" vertical="center"/>
    </xf>
    <xf numFmtId="0" fontId="12" fillId="2" borderId="7" xfId="1" applyFont="1" applyBorder="1" applyAlignment="1">
      <alignment horizontal="center" vertical="center"/>
    </xf>
    <xf numFmtId="0" fontId="0" fillId="4" borderId="5" xfId="3" applyFont="1" applyBorder="1" applyAlignment="1">
      <alignment horizontal="center" vertical="center"/>
    </xf>
    <xf numFmtId="0" fontId="2" fillId="4" borderId="7" xfId="3" applyBorder="1" applyAlignment="1">
      <alignment horizontal="center" vertical="center"/>
    </xf>
    <xf numFmtId="0" fontId="2" fillId="4" borderId="6" xfId="3" applyBorder="1" applyAlignment="1">
      <alignment horizontal="center" vertical="center"/>
    </xf>
    <xf numFmtId="0" fontId="3" fillId="3" borderId="1" xfId="2" applyFont="1" applyBorder="1" applyAlignment="1">
      <alignment horizontal="center"/>
    </xf>
    <xf numFmtId="0" fontId="2" fillId="4" borderId="1" xfId="3" applyBorder="1" applyAlignment="1">
      <alignment horizontal="center" vertical="center"/>
    </xf>
    <xf numFmtId="0" fontId="0" fillId="4" borderId="1" xfId="3" applyFont="1" applyBorder="1" applyAlignment="1">
      <alignment horizontal="center" vertical="center"/>
    </xf>
    <xf numFmtId="4" fontId="2" fillId="4" borderId="5" xfId="3" applyNumberFormat="1" applyBorder="1" applyAlignment="1">
      <alignment horizontal="center" vertical="center"/>
    </xf>
    <xf numFmtId="165" fontId="2" fillId="4" borderId="5" xfId="3" applyNumberFormat="1" applyBorder="1" applyAlignment="1">
      <alignment horizontal="center" vertical="center"/>
    </xf>
    <xf numFmtId="165" fontId="2" fillId="4" borderId="7" xfId="3" applyNumberFormat="1" applyBorder="1" applyAlignment="1">
      <alignment horizontal="center" vertical="center"/>
    </xf>
    <xf numFmtId="165" fontId="2" fillId="4" borderId="6" xfId="3" applyNumberFormat="1" applyBorder="1" applyAlignment="1">
      <alignment horizontal="center" vertical="center"/>
    </xf>
    <xf numFmtId="0" fontId="3" fillId="3" borderId="2" xfId="2" applyFont="1" applyBorder="1" applyAlignment="1">
      <alignment horizontal="center"/>
    </xf>
    <xf numFmtId="0" fontId="3" fillId="3" borderId="4" xfId="2" applyFont="1" applyBorder="1" applyAlignment="1">
      <alignment horizontal="center"/>
    </xf>
    <xf numFmtId="0" fontId="3" fillId="3" borderId="3" xfId="2" applyFont="1" applyBorder="1" applyAlignment="1">
      <alignment horizontal="center"/>
    </xf>
    <xf numFmtId="0" fontId="2" fillId="3" borderId="5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0" fillId="3" borderId="5" xfId="2" applyFont="1" applyBorder="1" applyAlignment="1">
      <alignment horizontal="center" vertical="center"/>
    </xf>
    <xf numFmtId="165" fontId="2" fillId="3" borderId="5" xfId="2" applyNumberFormat="1" applyBorder="1" applyAlignment="1">
      <alignment horizontal="center" vertical="center"/>
    </xf>
    <xf numFmtId="165" fontId="2" fillId="3" borderId="7" xfId="2" applyNumberFormat="1" applyBorder="1" applyAlignment="1">
      <alignment horizontal="center" vertical="center"/>
    </xf>
    <xf numFmtId="165" fontId="2" fillId="3" borderId="6" xfId="2" applyNumberFormat="1" applyBorder="1" applyAlignment="1">
      <alignment horizontal="center" vertical="center"/>
    </xf>
    <xf numFmtId="0" fontId="0" fillId="3" borderId="6" xfId="2" applyFont="1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6" fontId="0" fillId="3" borderId="1" xfId="2" applyNumberFormat="1" applyFont="1" applyBorder="1"/>
    <xf numFmtId="165" fontId="0" fillId="3" borderId="1" xfId="2" applyNumberFormat="1" applyFont="1" applyBorder="1" applyAlignment="1">
      <alignment horizontal="right"/>
    </xf>
    <xf numFmtId="165" fontId="0" fillId="4" borderId="1" xfId="3" applyNumberFormat="1" applyFont="1" applyBorder="1"/>
  </cellXfs>
  <cellStyles count="6">
    <cellStyle name="20% - Accent1" xfId="1" builtinId="30"/>
    <cellStyle name="40% - Accent1" xfId="2" builtinId="31"/>
    <cellStyle name="40% - Accent4" xfId="5" builtinId="43"/>
    <cellStyle name="40% - Accent6" xfId="3" builtinId="51"/>
    <cellStyle name="Bad" xfId="4" builtinId="2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Z76"/>
  <sheetViews>
    <sheetView tabSelected="1" topLeftCell="E1" workbookViewId="0">
      <selection activeCell="M32" sqref="H5:M32"/>
    </sheetView>
  </sheetViews>
  <sheetFormatPr baseColWidth="10" defaultColWidth="11" defaultRowHeight="16" x14ac:dyDescent="0.2"/>
  <cols>
    <col min="2" max="2" width="23.33203125" bestFit="1" customWidth="1"/>
    <col min="3" max="3" width="24.33203125" bestFit="1" customWidth="1"/>
    <col min="4" max="4" width="29.33203125" customWidth="1"/>
    <col min="5" max="5" width="16" bestFit="1" customWidth="1"/>
    <col min="6" max="6" width="18.33203125" customWidth="1"/>
    <col min="7" max="7" width="21.6640625" customWidth="1"/>
    <col min="8" max="8" width="62.5" customWidth="1"/>
    <col min="9" max="9" width="21" bestFit="1" customWidth="1"/>
    <col min="10" max="10" width="17.5" customWidth="1"/>
    <col min="11" max="11" width="22.5" style="7" customWidth="1"/>
    <col min="12" max="12" width="23.6640625" style="7" bestFit="1" customWidth="1"/>
    <col min="13" max="13" width="23.6640625" style="7" customWidth="1"/>
    <col min="14" max="14" width="23.6640625" customWidth="1"/>
    <col min="15" max="17" width="12.6640625" customWidth="1"/>
    <col min="18" max="20" width="17" style="14" customWidth="1"/>
    <col min="21" max="21" width="17" style="16" customWidth="1"/>
    <col min="22" max="22" width="16" customWidth="1"/>
    <col min="23" max="23" width="2.6640625" style="14" customWidth="1"/>
    <col min="26" max="26" width="39.5" bestFit="1" customWidth="1"/>
  </cols>
  <sheetData>
    <row r="2" spans="2:26" x14ac:dyDescent="0.2">
      <c r="D2" t="s">
        <v>47</v>
      </c>
      <c r="E2" s="6">
        <v>1.5285040000000001</v>
      </c>
    </row>
    <row r="3" spans="2:26" x14ac:dyDescent="0.2">
      <c r="L3" s="7" t="s">
        <v>83</v>
      </c>
    </row>
    <row r="4" spans="2:26" x14ac:dyDescent="0.2">
      <c r="D4" s="1"/>
    </row>
    <row r="5" spans="2:26" ht="19" x14ac:dyDescent="0.25">
      <c r="B5" s="83" t="s">
        <v>0</v>
      </c>
      <c r="C5" s="84" t="s">
        <v>17</v>
      </c>
      <c r="D5" s="89" t="s">
        <v>1</v>
      </c>
      <c r="E5" s="89"/>
      <c r="F5" s="89"/>
      <c r="G5" s="89"/>
      <c r="H5" s="69" t="s">
        <v>2</v>
      </c>
      <c r="I5" s="70"/>
      <c r="J5" s="70"/>
      <c r="K5" s="70"/>
      <c r="L5" s="70"/>
      <c r="M5" s="71"/>
      <c r="N5" s="72" t="s">
        <v>4</v>
      </c>
      <c r="O5" s="73"/>
      <c r="P5" s="73"/>
      <c r="Q5" s="74"/>
      <c r="R5" s="96" t="s">
        <v>5</v>
      </c>
      <c r="S5" s="97"/>
      <c r="T5" s="97"/>
      <c r="U5" s="98"/>
      <c r="V5" s="22"/>
      <c r="W5" s="15"/>
    </row>
    <row r="6" spans="2:26" x14ac:dyDescent="0.2">
      <c r="B6" s="83"/>
      <c r="C6" s="84"/>
      <c r="D6" s="30" t="s">
        <v>1</v>
      </c>
      <c r="E6" s="30" t="s">
        <v>28</v>
      </c>
      <c r="F6" s="30" t="s">
        <v>25</v>
      </c>
      <c r="G6" s="30" t="s">
        <v>18</v>
      </c>
      <c r="H6" s="31" t="s">
        <v>2</v>
      </c>
      <c r="I6" s="31" t="s">
        <v>28</v>
      </c>
      <c r="J6" s="31" t="s">
        <v>25</v>
      </c>
      <c r="K6" s="33" t="s">
        <v>3</v>
      </c>
      <c r="L6" s="33" t="s">
        <v>115</v>
      </c>
      <c r="M6" s="33" t="s">
        <v>112</v>
      </c>
      <c r="N6" s="66" t="s">
        <v>120</v>
      </c>
      <c r="O6" s="66" t="s">
        <v>121</v>
      </c>
      <c r="P6" s="66" t="s">
        <v>122</v>
      </c>
      <c r="Q6" s="66" t="s">
        <v>123</v>
      </c>
      <c r="R6" s="30" t="s">
        <v>63</v>
      </c>
      <c r="S6" s="30" t="s">
        <v>64</v>
      </c>
      <c r="T6" s="30" t="s">
        <v>65</v>
      </c>
      <c r="U6" s="45" t="s">
        <v>18</v>
      </c>
      <c r="V6" s="14"/>
    </row>
    <row r="7" spans="2:26" x14ac:dyDescent="0.2">
      <c r="B7" s="83" t="s">
        <v>59</v>
      </c>
      <c r="C7" s="90">
        <v>0.5</v>
      </c>
      <c r="D7" s="11" t="s">
        <v>19</v>
      </c>
      <c r="E7" s="11" t="s">
        <v>22</v>
      </c>
      <c r="F7" s="23" t="s">
        <v>91</v>
      </c>
      <c r="G7" s="25">
        <f>7.5/E2</f>
        <v>4.9067585037396038</v>
      </c>
      <c r="H7" s="10"/>
      <c r="I7" s="10"/>
      <c r="J7" s="10"/>
      <c r="K7" s="33"/>
      <c r="L7" s="33"/>
      <c r="M7" s="33"/>
      <c r="N7" s="63"/>
      <c r="O7" s="63"/>
      <c r="P7" s="63"/>
      <c r="Q7" s="63"/>
      <c r="R7" s="102" t="s">
        <v>60</v>
      </c>
      <c r="S7" s="99">
        <v>1</v>
      </c>
      <c r="T7" s="102" t="s">
        <v>68</v>
      </c>
      <c r="U7" s="103">
        <v>35</v>
      </c>
      <c r="V7" s="14"/>
      <c r="W7" s="16"/>
    </row>
    <row r="8" spans="2:26" x14ac:dyDescent="0.2">
      <c r="B8" s="83"/>
      <c r="C8" s="90"/>
      <c r="D8" s="11" t="s">
        <v>20</v>
      </c>
      <c r="E8" s="11" t="s">
        <v>21</v>
      </c>
      <c r="F8" s="11" t="s">
        <v>37</v>
      </c>
      <c r="G8" s="25">
        <f>567/E2</f>
        <v>370.95094288271406</v>
      </c>
      <c r="H8" s="10"/>
      <c r="I8" s="10"/>
      <c r="J8" s="10"/>
      <c r="K8" s="33"/>
      <c r="L8" s="33"/>
      <c r="M8" s="33"/>
      <c r="N8" s="64"/>
      <c r="O8" s="64"/>
      <c r="P8" s="64"/>
      <c r="Q8" s="64"/>
      <c r="R8" s="101"/>
      <c r="S8" s="101"/>
      <c r="T8" s="106"/>
      <c r="U8" s="105"/>
      <c r="V8" s="14"/>
      <c r="W8" s="16"/>
    </row>
    <row r="9" spans="2:26" x14ac:dyDescent="0.2">
      <c r="B9" s="83"/>
      <c r="C9" s="90"/>
      <c r="D9" s="11" t="s">
        <v>23</v>
      </c>
      <c r="E9" s="11" t="s">
        <v>24</v>
      </c>
      <c r="F9" s="26" t="s">
        <v>58</v>
      </c>
      <c r="G9" s="25">
        <v>83.56</v>
      </c>
      <c r="H9" s="10"/>
      <c r="I9" s="10"/>
      <c r="J9" s="10"/>
      <c r="K9" s="33"/>
      <c r="L9" s="33"/>
      <c r="M9" s="33"/>
      <c r="N9" s="63"/>
      <c r="O9" s="63"/>
      <c r="P9" s="63"/>
      <c r="Q9" s="63"/>
      <c r="R9" s="99" t="s">
        <v>48</v>
      </c>
      <c r="S9" s="99">
        <v>2</v>
      </c>
      <c r="T9" s="107" t="s">
        <v>67</v>
      </c>
      <c r="U9" s="103">
        <v>7.21</v>
      </c>
      <c r="V9" s="14"/>
      <c r="W9" s="16"/>
    </row>
    <row r="10" spans="2:26" x14ac:dyDescent="0.2">
      <c r="B10" s="83"/>
      <c r="C10" s="90"/>
      <c r="D10" s="11" t="s">
        <v>26</v>
      </c>
      <c r="E10" s="11" t="s">
        <v>27</v>
      </c>
      <c r="F10" s="11" t="s">
        <v>40</v>
      </c>
      <c r="G10" s="25">
        <f>24/E2</f>
        <v>15.701627211966732</v>
      </c>
      <c r="H10" s="10"/>
      <c r="I10" s="10"/>
      <c r="J10" s="10"/>
      <c r="K10" s="33"/>
      <c r="L10" s="33"/>
      <c r="M10" s="33"/>
      <c r="N10" s="64"/>
      <c r="O10" s="64"/>
      <c r="P10" s="64"/>
      <c r="Q10" s="64"/>
      <c r="R10" s="101"/>
      <c r="S10" s="101"/>
      <c r="T10" s="107"/>
      <c r="U10" s="105"/>
      <c r="V10" s="14"/>
      <c r="W10" s="16"/>
    </row>
    <row r="11" spans="2:26" x14ac:dyDescent="0.2">
      <c r="B11" s="12" t="s">
        <v>29</v>
      </c>
      <c r="C11" s="13">
        <v>0.33</v>
      </c>
      <c r="D11" s="11" t="s">
        <v>29</v>
      </c>
      <c r="E11" s="11" t="s">
        <v>49</v>
      </c>
      <c r="F11" s="11" t="s">
        <v>38</v>
      </c>
      <c r="G11" s="25">
        <f>16.58*30</f>
        <v>497.4</v>
      </c>
      <c r="H11" s="10" t="s">
        <v>56</v>
      </c>
      <c r="I11" s="10">
        <v>1</v>
      </c>
      <c r="J11" s="10">
        <v>5000</v>
      </c>
      <c r="K11" s="33">
        <f>J11*0.05</f>
        <v>250</v>
      </c>
      <c r="L11" s="33">
        <f>SUM(J11:K11)</f>
        <v>5250</v>
      </c>
      <c r="M11" s="33">
        <f>L11*I11</f>
        <v>5250</v>
      </c>
      <c r="N11" s="62"/>
      <c r="O11" s="62"/>
      <c r="P11" s="62"/>
      <c r="Q11" s="62"/>
      <c r="R11" s="34" t="s">
        <v>48</v>
      </c>
      <c r="S11" s="34">
        <v>2</v>
      </c>
      <c r="T11" s="37" t="s">
        <v>67</v>
      </c>
      <c r="U11" s="35">
        <f>7.21*2*0.33</f>
        <v>4.7586000000000004</v>
      </c>
      <c r="V11" s="14"/>
      <c r="W11" s="16"/>
    </row>
    <row r="12" spans="2:26" ht="17" x14ac:dyDescent="0.2">
      <c r="B12" s="12" t="s">
        <v>8</v>
      </c>
      <c r="C12" s="13">
        <v>0.75</v>
      </c>
      <c r="D12" s="11" t="s">
        <v>42</v>
      </c>
      <c r="E12" s="11" t="s">
        <v>43</v>
      </c>
      <c r="F12" s="11" t="s">
        <v>41</v>
      </c>
      <c r="G12" s="25">
        <f>278*34</f>
        <v>9452</v>
      </c>
      <c r="H12" s="10" t="s">
        <v>55</v>
      </c>
      <c r="I12" s="10">
        <v>1</v>
      </c>
      <c r="J12" s="10">
        <v>10000</v>
      </c>
      <c r="K12" s="33">
        <f t="shared" ref="K12:K18" si="0">J12*0.05</f>
        <v>500</v>
      </c>
      <c r="L12" s="33">
        <f t="shared" ref="L12:L18" si="1">SUM(J12:K12)</f>
        <v>10500</v>
      </c>
      <c r="M12" s="33">
        <f t="shared" ref="M12:M18" si="2">L12*I12</f>
        <v>10500</v>
      </c>
      <c r="N12" s="62"/>
      <c r="O12" s="62"/>
      <c r="P12" s="62"/>
      <c r="Q12" s="62"/>
      <c r="R12" s="34" t="s">
        <v>48</v>
      </c>
      <c r="S12" s="34">
        <v>2</v>
      </c>
      <c r="T12" s="37" t="s">
        <v>67</v>
      </c>
      <c r="U12" s="35">
        <f>7.21*2*0.75</f>
        <v>10.815</v>
      </c>
      <c r="V12" s="14"/>
      <c r="W12" s="16"/>
      <c r="Z12" s="5"/>
    </row>
    <row r="13" spans="2:26" ht="17" x14ac:dyDescent="0.2">
      <c r="B13" s="83" t="s">
        <v>9</v>
      </c>
      <c r="C13" s="91">
        <f>7+24</f>
        <v>31</v>
      </c>
      <c r="D13" s="11" t="s">
        <v>42</v>
      </c>
      <c r="E13" s="11" t="s">
        <v>46</v>
      </c>
      <c r="F13" s="11" t="s">
        <v>41</v>
      </c>
      <c r="G13" s="25">
        <f>11.2*278</f>
        <v>3113.6</v>
      </c>
      <c r="H13" s="32" t="s">
        <v>90</v>
      </c>
      <c r="I13" s="10">
        <v>1</v>
      </c>
      <c r="J13" s="10"/>
      <c r="K13" s="33">
        <f t="shared" si="0"/>
        <v>0</v>
      </c>
      <c r="L13" s="33">
        <f t="shared" si="1"/>
        <v>0</v>
      </c>
      <c r="M13" s="33">
        <f t="shared" si="2"/>
        <v>0</v>
      </c>
      <c r="N13" s="63"/>
      <c r="O13" s="63"/>
      <c r="P13" s="63"/>
      <c r="Q13" s="63"/>
      <c r="R13" s="99" t="s">
        <v>48</v>
      </c>
      <c r="S13" s="99">
        <v>1</v>
      </c>
      <c r="T13" s="107" t="s">
        <v>67</v>
      </c>
      <c r="U13" s="103">
        <f>7.13*7</f>
        <v>49.91</v>
      </c>
      <c r="V13" s="14"/>
      <c r="W13" s="16"/>
      <c r="Z13" s="5"/>
    </row>
    <row r="14" spans="2:26" ht="17" x14ac:dyDescent="0.2">
      <c r="B14" s="83"/>
      <c r="C14" s="90"/>
      <c r="D14" s="11" t="s">
        <v>30</v>
      </c>
      <c r="E14" s="11" t="s">
        <v>45</v>
      </c>
      <c r="F14" s="11" t="s">
        <v>44</v>
      </c>
      <c r="G14" s="25">
        <f>28.8*79.6/25</f>
        <v>91.699200000000005</v>
      </c>
      <c r="H14" s="32" t="s">
        <v>89</v>
      </c>
      <c r="I14" s="10">
        <v>1</v>
      </c>
      <c r="J14" s="10"/>
      <c r="K14" s="33">
        <f t="shared" si="0"/>
        <v>0</v>
      </c>
      <c r="L14" s="33">
        <f t="shared" si="1"/>
        <v>0</v>
      </c>
      <c r="M14" s="33">
        <f t="shared" si="2"/>
        <v>0</v>
      </c>
      <c r="N14" s="64"/>
      <c r="O14" s="64"/>
      <c r="P14" s="64"/>
      <c r="Q14" s="64"/>
      <c r="R14" s="101"/>
      <c r="S14" s="101"/>
      <c r="T14" s="107"/>
      <c r="U14" s="105"/>
      <c r="V14" s="14"/>
      <c r="W14" s="16"/>
      <c r="Z14" s="5"/>
    </row>
    <row r="15" spans="2:26" ht="17" x14ac:dyDescent="0.2">
      <c r="B15" s="12" t="s">
        <v>31</v>
      </c>
      <c r="C15" s="13">
        <v>2</v>
      </c>
      <c r="D15" s="40"/>
      <c r="E15" s="40"/>
      <c r="F15" s="40"/>
      <c r="G15" s="41"/>
      <c r="H15" s="10"/>
      <c r="I15" s="10"/>
      <c r="J15" s="10"/>
      <c r="K15" s="33">
        <f t="shared" si="0"/>
        <v>0</v>
      </c>
      <c r="L15" s="33">
        <f t="shared" si="1"/>
        <v>0</v>
      </c>
      <c r="M15" s="33">
        <f t="shared" si="2"/>
        <v>0</v>
      </c>
      <c r="N15" s="62"/>
      <c r="O15" s="62"/>
      <c r="P15" s="62"/>
      <c r="Q15" s="62"/>
      <c r="R15" s="34" t="s">
        <v>48</v>
      </c>
      <c r="S15" s="34">
        <v>1</v>
      </c>
      <c r="T15" s="37" t="s">
        <v>67</v>
      </c>
      <c r="U15" s="35">
        <f>7.21*2</f>
        <v>14.42</v>
      </c>
      <c r="V15" s="14"/>
      <c r="W15" s="16"/>
      <c r="Z15" s="5"/>
    </row>
    <row r="16" spans="2:26" ht="17" x14ac:dyDescent="0.2">
      <c r="B16" s="12" t="s">
        <v>6</v>
      </c>
      <c r="C16" s="13">
        <v>2</v>
      </c>
      <c r="D16" s="27"/>
      <c r="E16" s="11"/>
      <c r="F16" s="11"/>
      <c r="G16" s="25"/>
      <c r="H16" s="32" t="s">
        <v>126</v>
      </c>
      <c r="I16" s="10">
        <v>1</v>
      </c>
      <c r="J16" s="10" t="s">
        <v>127</v>
      </c>
      <c r="K16" s="33" t="s">
        <v>127</v>
      </c>
      <c r="L16" s="25" t="s">
        <v>128</v>
      </c>
      <c r="M16" s="33" t="e">
        <f t="shared" si="2"/>
        <v>#VALUE!</v>
      </c>
      <c r="N16" s="62"/>
      <c r="O16" s="62"/>
      <c r="P16" s="62"/>
      <c r="Q16" s="62"/>
      <c r="R16" s="34" t="s">
        <v>60</v>
      </c>
      <c r="S16" s="34">
        <v>1</v>
      </c>
      <c r="T16" s="34" t="s">
        <v>68</v>
      </c>
      <c r="U16" s="35">
        <v>35</v>
      </c>
      <c r="V16" s="14"/>
      <c r="W16" s="16"/>
      <c r="Z16" s="5"/>
    </row>
    <row r="17" spans="2:26" ht="17" x14ac:dyDescent="0.2">
      <c r="B17" s="12" t="s">
        <v>12</v>
      </c>
      <c r="C17" s="44" t="s">
        <v>99</v>
      </c>
      <c r="D17" s="36" t="s">
        <v>94</v>
      </c>
      <c r="E17" s="23" t="s">
        <v>124</v>
      </c>
      <c r="F17" s="23" t="s">
        <v>125</v>
      </c>
      <c r="G17" s="25"/>
      <c r="H17" s="32" t="s">
        <v>61</v>
      </c>
      <c r="I17" s="10">
        <v>1</v>
      </c>
      <c r="J17" s="10"/>
      <c r="K17" s="33">
        <f t="shared" si="0"/>
        <v>0</v>
      </c>
      <c r="L17" s="33">
        <f t="shared" si="1"/>
        <v>0</v>
      </c>
      <c r="M17" s="33">
        <f t="shared" si="2"/>
        <v>0</v>
      </c>
      <c r="N17" s="62"/>
      <c r="O17" s="62"/>
      <c r="P17" s="62"/>
      <c r="Q17" s="62"/>
      <c r="R17" s="34"/>
      <c r="S17" s="34"/>
      <c r="T17" s="34"/>
      <c r="U17" s="35"/>
      <c r="V17" s="14"/>
      <c r="W17" s="16"/>
      <c r="Z17" s="5"/>
    </row>
    <row r="18" spans="2:26" ht="17" x14ac:dyDescent="0.2">
      <c r="B18" s="12" t="s">
        <v>7</v>
      </c>
      <c r="C18" s="44" t="s">
        <v>100</v>
      </c>
      <c r="D18" s="36"/>
      <c r="E18" s="11"/>
      <c r="F18" s="11"/>
      <c r="G18" s="25"/>
      <c r="H18" s="32" t="s">
        <v>102</v>
      </c>
      <c r="I18" s="10">
        <v>1</v>
      </c>
      <c r="J18" s="110" t="s">
        <v>129</v>
      </c>
      <c r="K18" s="33">
        <v>20000</v>
      </c>
      <c r="L18" s="25"/>
      <c r="M18" s="33">
        <f t="shared" si="2"/>
        <v>0</v>
      </c>
      <c r="N18" s="62"/>
      <c r="O18" s="62"/>
      <c r="P18" s="62"/>
      <c r="Q18" s="62"/>
      <c r="R18" s="34"/>
      <c r="S18" s="34"/>
      <c r="T18" s="34"/>
      <c r="U18" s="35"/>
      <c r="V18" s="14"/>
      <c r="W18" s="16"/>
      <c r="Z18" s="5"/>
    </row>
    <row r="19" spans="2:26" ht="17" x14ac:dyDescent="0.2">
      <c r="B19" s="12" t="s">
        <v>32</v>
      </c>
      <c r="C19" s="42" t="s">
        <v>85</v>
      </c>
      <c r="D19" s="11" t="s">
        <v>51</v>
      </c>
      <c r="E19" s="11" t="s">
        <v>52</v>
      </c>
      <c r="F19" s="11" t="s">
        <v>50</v>
      </c>
      <c r="G19" s="25">
        <f>88.3*10*19</f>
        <v>16777</v>
      </c>
      <c r="H19" s="77" t="s">
        <v>62</v>
      </c>
      <c r="I19" s="80">
        <v>170</v>
      </c>
      <c r="J19" s="92">
        <v>13750</v>
      </c>
      <c r="K19" s="93">
        <f>J19*0.5</f>
        <v>6875</v>
      </c>
      <c r="L19" s="93">
        <f>SUM(J19:K26)</f>
        <v>20625</v>
      </c>
      <c r="M19" s="93">
        <f>I19*L19</f>
        <v>3506250</v>
      </c>
      <c r="N19" s="63"/>
      <c r="O19" s="63"/>
      <c r="P19" s="63"/>
      <c r="Q19" s="63"/>
      <c r="R19" s="99" t="s">
        <v>48</v>
      </c>
      <c r="S19" s="99">
        <v>30</v>
      </c>
      <c r="T19" s="102" t="s">
        <v>66</v>
      </c>
      <c r="U19" s="103">
        <f>30*15000</f>
        <v>450000</v>
      </c>
      <c r="V19" s="14"/>
      <c r="W19" s="16"/>
      <c r="Y19" s="4"/>
      <c r="Z19" s="5"/>
    </row>
    <row r="20" spans="2:26" ht="17" x14ac:dyDescent="0.2">
      <c r="B20" s="67" t="s">
        <v>71</v>
      </c>
      <c r="C20" s="86" t="s">
        <v>84</v>
      </c>
      <c r="D20" s="27" t="s">
        <v>39</v>
      </c>
      <c r="E20" s="38" t="s">
        <v>77</v>
      </c>
      <c r="F20" s="23" t="s">
        <v>78</v>
      </c>
      <c r="G20" s="25">
        <f>1140*194.5</f>
        <v>221730</v>
      </c>
      <c r="H20" s="78"/>
      <c r="I20" s="81"/>
      <c r="J20" s="81"/>
      <c r="K20" s="94"/>
      <c r="L20" s="94"/>
      <c r="M20" s="94"/>
      <c r="N20" s="65"/>
      <c r="O20" s="65"/>
      <c r="P20" s="65"/>
      <c r="Q20" s="65"/>
      <c r="R20" s="100"/>
      <c r="S20" s="100"/>
      <c r="T20" s="100"/>
      <c r="U20" s="104"/>
      <c r="V20" s="14"/>
      <c r="W20" s="16"/>
      <c r="Z20" s="5"/>
    </row>
    <row r="21" spans="2:26" ht="17" x14ac:dyDescent="0.2">
      <c r="B21" s="85"/>
      <c r="C21" s="87"/>
      <c r="D21" s="27" t="s">
        <v>72</v>
      </c>
      <c r="E21" s="23" t="s">
        <v>73</v>
      </c>
      <c r="F21" s="23" t="s">
        <v>79</v>
      </c>
      <c r="G21" s="25">
        <f>7.17*49</f>
        <v>351.33</v>
      </c>
      <c r="H21" s="78"/>
      <c r="I21" s="81"/>
      <c r="J21" s="81"/>
      <c r="K21" s="94"/>
      <c r="L21" s="94"/>
      <c r="M21" s="94"/>
      <c r="N21" s="65"/>
      <c r="O21" s="65"/>
      <c r="P21" s="65"/>
      <c r="Q21" s="65"/>
      <c r="R21" s="100"/>
      <c r="S21" s="100"/>
      <c r="T21" s="100"/>
      <c r="U21" s="104"/>
      <c r="V21" s="14"/>
      <c r="W21" s="16"/>
      <c r="Z21" s="5"/>
    </row>
    <row r="22" spans="2:26" ht="17" x14ac:dyDescent="0.2">
      <c r="B22" s="85"/>
      <c r="C22" s="87"/>
      <c r="D22" s="36" t="s">
        <v>70</v>
      </c>
      <c r="E22" s="23" t="s">
        <v>76</v>
      </c>
      <c r="F22" s="23" t="s">
        <v>80</v>
      </c>
      <c r="G22" s="25">
        <f>208*88.2</f>
        <v>18345.600000000002</v>
      </c>
      <c r="H22" s="78"/>
      <c r="I22" s="81"/>
      <c r="J22" s="81"/>
      <c r="K22" s="94"/>
      <c r="L22" s="94"/>
      <c r="M22" s="94"/>
      <c r="N22" s="65"/>
      <c r="O22" s="65"/>
      <c r="P22" s="65"/>
      <c r="Q22" s="65"/>
      <c r="R22" s="100"/>
      <c r="S22" s="100"/>
      <c r="T22" s="100"/>
      <c r="U22" s="104"/>
      <c r="V22" s="14"/>
      <c r="W22" s="16"/>
      <c r="Z22" s="5"/>
    </row>
    <row r="23" spans="2:26" x14ac:dyDescent="0.2">
      <c r="B23" s="85"/>
      <c r="C23" s="87"/>
      <c r="D23" s="36" t="s">
        <v>69</v>
      </c>
      <c r="E23" s="23" t="s">
        <v>74</v>
      </c>
      <c r="F23" s="23" t="s">
        <v>81</v>
      </c>
      <c r="G23" s="25">
        <f>42*35.63/100</f>
        <v>14.964600000000001</v>
      </c>
      <c r="H23" s="78"/>
      <c r="I23" s="81"/>
      <c r="J23" s="81"/>
      <c r="K23" s="94"/>
      <c r="L23" s="94"/>
      <c r="M23" s="94"/>
      <c r="N23" s="65"/>
      <c r="O23" s="65"/>
      <c r="P23" s="65"/>
      <c r="Q23" s="65"/>
      <c r="R23" s="100"/>
      <c r="S23" s="100"/>
      <c r="T23" s="100"/>
      <c r="U23" s="104"/>
      <c r="V23" s="14"/>
      <c r="W23" s="16"/>
    </row>
    <row r="24" spans="2:26" x14ac:dyDescent="0.2">
      <c r="B24" s="68"/>
      <c r="C24" s="88"/>
      <c r="D24" s="27" t="s">
        <v>35</v>
      </c>
      <c r="E24" s="23" t="s">
        <v>75</v>
      </c>
      <c r="F24" s="23" t="s">
        <v>82</v>
      </c>
      <c r="G24" s="25">
        <f>31*120.5</f>
        <v>3735.5</v>
      </c>
      <c r="H24" s="78"/>
      <c r="I24" s="81"/>
      <c r="J24" s="81"/>
      <c r="K24" s="94"/>
      <c r="L24" s="94"/>
      <c r="M24" s="94"/>
      <c r="N24" s="65"/>
      <c r="O24" s="65"/>
      <c r="P24" s="65"/>
      <c r="Q24" s="65"/>
      <c r="R24" s="100"/>
      <c r="S24" s="100"/>
      <c r="T24" s="100"/>
      <c r="U24" s="104"/>
      <c r="V24" s="14"/>
      <c r="W24" s="16"/>
    </row>
    <row r="25" spans="2:26" x14ac:dyDescent="0.2">
      <c r="B25" s="12" t="s">
        <v>10</v>
      </c>
      <c r="C25" s="42" t="s">
        <v>86</v>
      </c>
      <c r="D25" s="11" t="s">
        <v>34</v>
      </c>
      <c r="E25" s="11" t="s">
        <v>52</v>
      </c>
      <c r="F25" s="11" t="s">
        <v>54</v>
      </c>
      <c r="G25" s="28">
        <f>19*265.06/2.5</f>
        <v>2014.4560000000001</v>
      </c>
      <c r="H25" s="78"/>
      <c r="I25" s="81"/>
      <c r="J25" s="81"/>
      <c r="K25" s="94"/>
      <c r="L25" s="94"/>
      <c r="M25" s="94"/>
      <c r="N25" s="65"/>
      <c r="O25" s="65"/>
      <c r="P25" s="65"/>
      <c r="Q25" s="65"/>
      <c r="R25" s="100"/>
      <c r="S25" s="100"/>
      <c r="T25" s="100"/>
      <c r="U25" s="104"/>
      <c r="V25" s="14"/>
      <c r="W25" s="17"/>
    </row>
    <row r="26" spans="2:26" x14ac:dyDescent="0.2">
      <c r="B26" s="12" t="s">
        <v>11</v>
      </c>
      <c r="C26" s="42" t="s">
        <v>87</v>
      </c>
      <c r="D26" s="11" t="s">
        <v>36</v>
      </c>
      <c r="E26" s="11" t="s">
        <v>52</v>
      </c>
      <c r="F26" s="11" t="s">
        <v>53</v>
      </c>
      <c r="G26" s="25">
        <f>237.15*4*19</f>
        <v>18023.400000000001</v>
      </c>
      <c r="H26" s="79"/>
      <c r="I26" s="82"/>
      <c r="J26" s="82"/>
      <c r="K26" s="95"/>
      <c r="L26" s="95"/>
      <c r="M26" s="95"/>
      <c r="N26" s="64"/>
      <c r="O26" s="64"/>
      <c r="P26" s="64"/>
      <c r="Q26" s="64"/>
      <c r="R26" s="101"/>
      <c r="S26" s="101"/>
      <c r="T26" s="101"/>
      <c r="U26" s="105"/>
      <c r="V26" s="14"/>
      <c r="W26" s="18"/>
    </row>
    <row r="27" spans="2:26" x14ac:dyDescent="0.2">
      <c r="B27" s="67" t="s">
        <v>13</v>
      </c>
      <c r="C27" s="75">
        <v>17380000</v>
      </c>
      <c r="D27" s="23" t="s">
        <v>103</v>
      </c>
      <c r="E27" s="23">
        <v>120000</v>
      </c>
      <c r="F27" s="108">
        <v>6</v>
      </c>
      <c r="G27" s="109">
        <f>120000*6</f>
        <v>720000</v>
      </c>
      <c r="H27" s="10" t="s">
        <v>95</v>
      </c>
      <c r="I27" s="32">
        <f>I29/10</f>
        <v>300</v>
      </c>
      <c r="J27" s="54">
        <v>50000</v>
      </c>
      <c r="K27" s="33">
        <f>J27*0.05</f>
        <v>2500</v>
      </c>
      <c r="L27" s="33">
        <f>SUM(J27:K27)</f>
        <v>52500</v>
      </c>
      <c r="M27" s="33">
        <f>L27*I27</f>
        <v>15750000</v>
      </c>
      <c r="N27" s="62"/>
      <c r="O27" s="62"/>
      <c r="P27" s="62"/>
      <c r="Q27" s="62"/>
      <c r="R27" s="43" t="s">
        <v>96</v>
      </c>
      <c r="S27" s="43" t="s">
        <v>97</v>
      </c>
      <c r="T27" s="34"/>
      <c r="U27" s="35"/>
      <c r="V27" s="14"/>
      <c r="W27" s="19"/>
    </row>
    <row r="28" spans="2:26" x14ac:dyDescent="0.2">
      <c r="B28" s="68"/>
      <c r="C28" s="76"/>
      <c r="D28" s="23" t="s">
        <v>104</v>
      </c>
      <c r="E28" s="23"/>
      <c r="F28" s="23"/>
      <c r="G28" s="52"/>
      <c r="H28" s="10"/>
      <c r="I28" s="10"/>
      <c r="J28" s="10"/>
      <c r="K28" s="33">
        <f t="shared" ref="K28:K32" si="3">J28*0.05</f>
        <v>0</v>
      </c>
      <c r="L28" s="33">
        <f t="shared" ref="L28:L32" si="4">SUM(J28:K28)</f>
        <v>0</v>
      </c>
      <c r="M28" s="33">
        <f t="shared" ref="M28:M32" si="5">L28*I28</f>
        <v>0</v>
      </c>
      <c r="N28" s="62"/>
      <c r="O28" s="62"/>
      <c r="P28" s="62"/>
      <c r="Q28" s="62"/>
      <c r="R28" s="51"/>
      <c r="S28" s="51"/>
      <c r="T28" s="34"/>
      <c r="U28" s="35"/>
      <c r="V28" s="14"/>
      <c r="W28" s="19"/>
    </row>
    <row r="29" spans="2:26" x14ac:dyDescent="0.2">
      <c r="B29" s="67" t="s">
        <v>15</v>
      </c>
      <c r="C29" s="13" t="s">
        <v>33</v>
      </c>
      <c r="D29" s="11"/>
      <c r="E29" s="11"/>
      <c r="F29" s="11"/>
      <c r="G29" s="29"/>
      <c r="H29" s="10" t="s">
        <v>113</v>
      </c>
      <c r="I29" s="10">
        <v>3000</v>
      </c>
      <c r="J29" s="10">
        <v>10000</v>
      </c>
      <c r="K29" s="33">
        <f t="shared" si="3"/>
        <v>500</v>
      </c>
      <c r="L29" s="33">
        <f t="shared" si="4"/>
        <v>10500</v>
      </c>
      <c r="M29" s="33">
        <f t="shared" si="5"/>
        <v>31500000</v>
      </c>
      <c r="N29" s="62"/>
      <c r="O29" s="62"/>
      <c r="P29" s="62"/>
      <c r="Q29" s="62"/>
      <c r="R29" s="34"/>
      <c r="S29" s="34"/>
      <c r="T29" s="34"/>
      <c r="U29" s="35"/>
      <c r="V29" s="14"/>
      <c r="W29" s="19"/>
    </row>
    <row r="30" spans="2:26" ht="17" x14ac:dyDescent="0.25">
      <c r="B30" s="68"/>
      <c r="C30" s="53"/>
      <c r="D30" s="11"/>
      <c r="E30" s="11"/>
      <c r="F30" s="11"/>
      <c r="G30" s="29"/>
      <c r="H30" s="10" t="s">
        <v>114</v>
      </c>
      <c r="I30" s="10">
        <v>3000</v>
      </c>
      <c r="J30" s="10">
        <v>2700000</v>
      </c>
      <c r="K30" s="33">
        <f t="shared" si="3"/>
        <v>135000</v>
      </c>
      <c r="L30" s="33">
        <f>SUM(J30:K30)</f>
        <v>2835000</v>
      </c>
      <c r="M30" s="33">
        <f t="shared" si="5"/>
        <v>8505000000</v>
      </c>
      <c r="N30" s="62"/>
      <c r="O30" s="62"/>
      <c r="P30" s="62"/>
      <c r="Q30" s="62"/>
      <c r="R30" s="34"/>
      <c r="S30" s="34"/>
      <c r="T30" s="34"/>
      <c r="U30" s="35"/>
      <c r="V30" s="14"/>
      <c r="W30" s="19"/>
    </row>
    <row r="31" spans="2:26" ht="17" x14ac:dyDescent="0.25">
      <c r="B31" s="12" t="s">
        <v>14</v>
      </c>
      <c r="C31" s="13" t="s">
        <v>33</v>
      </c>
      <c r="D31" s="11"/>
      <c r="E31" s="11"/>
      <c r="F31" s="11"/>
      <c r="G31" s="25"/>
      <c r="H31" s="10" t="s">
        <v>116</v>
      </c>
      <c r="I31" s="10">
        <v>125000</v>
      </c>
      <c r="J31" s="24">
        <v>7000</v>
      </c>
      <c r="K31" s="33">
        <f t="shared" si="3"/>
        <v>350</v>
      </c>
      <c r="L31" s="33">
        <f t="shared" si="4"/>
        <v>7350</v>
      </c>
      <c r="M31" s="33">
        <f t="shared" si="5"/>
        <v>918750000</v>
      </c>
      <c r="N31" s="62"/>
      <c r="O31" s="62"/>
      <c r="P31" s="62"/>
      <c r="Q31" s="62"/>
      <c r="R31" s="34"/>
      <c r="S31" s="34"/>
      <c r="T31" s="34"/>
      <c r="U31" s="35"/>
      <c r="V31" s="14"/>
      <c r="W31" s="20"/>
    </row>
    <row r="32" spans="2:26" ht="17" x14ac:dyDescent="0.25">
      <c r="B32" s="12" t="s">
        <v>16</v>
      </c>
      <c r="C32" s="13" t="s">
        <v>33</v>
      </c>
      <c r="D32" s="11" t="s">
        <v>105</v>
      </c>
      <c r="E32" s="11">
        <v>1500000</v>
      </c>
      <c r="F32" s="11">
        <v>100</v>
      </c>
      <c r="G32" s="25">
        <f>E32*F32</f>
        <v>150000000</v>
      </c>
      <c r="H32" s="10"/>
      <c r="I32" s="10"/>
      <c r="J32" s="10"/>
      <c r="K32" s="33">
        <f t="shared" si="3"/>
        <v>0</v>
      </c>
      <c r="L32" s="33">
        <f t="shared" si="4"/>
        <v>0</v>
      </c>
      <c r="M32" s="33">
        <f t="shared" si="5"/>
        <v>0</v>
      </c>
      <c r="N32" s="62"/>
      <c r="O32" s="62"/>
      <c r="P32" s="62"/>
      <c r="Q32" s="62"/>
      <c r="R32" s="34"/>
      <c r="S32" s="34"/>
      <c r="T32" s="34"/>
      <c r="U32" s="35"/>
      <c r="V32" s="14"/>
      <c r="W32" s="20"/>
    </row>
    <row r="33" spans="2:24" x14ac:dyDescent="0.2">
      <c r="B33" s="9"/>
      <c r="G33" s="7"/>
      <c r="H33" s="3"/>
      <c r="I33" s="3"/>
      <c r="J33" s="3"/>
      <c r="K33" s="46"/>
      <c r="R33" s="16"/>
      <c r="S33" s="16"/>
      <c r="T33" s="16"/>
      <c r="W33" s="16"/>
    </row>
    <row r="34" spans="2:24" x14ac:dyDescent="0.2">
      <c r="G34" s="48" t="s">
        <v>118</v>
      </c>
      <c r="H34" s="2"/>
      <c r="I34" s="2"/>
      <c r="J34" s="2"/>
      <c r="K34" s="47"/>
      <c r="M34" s="48" t="s">
        <v>117</v>
      </c>
      <c r="N34" s="48"/>
      <c r="O34" s="48"/>
      <c r="P34" s="48"/>
      <c r="Q34" s="48" t="s">
        <v>4</v>
      </c>
      <c r="R34" s="20"/>
      <c r="S34" s="20"/>
      <c r="T34" s="20"/>
      <c r="U34" s="48" t="s">
        <v>119</v>
      </c>
      <c r="W34" s="20"/>
    </row>
    <row r="35" spans="2:24" x14ac:dyDescent="0.2">
      <c r="B35" s="21" t="s">
        <v>57</v>
      </c>
      <c r="C35" s="21">
        <f>SUM(C7:C32)</f>
        <v>17380036.579999998</v>
      </c>
      <c r="G35" s="48">
        <f>SUM(G7:G32)</f>
        <v>151014622.0691286</v>
      </c>
      <c r="H35" s="2"/>
      <c r="I35" s="2"/>
      <c r="J35" s="2"/>
      <c r="K35" s="48">
        <f>SUM(K7:K32)</f>
        <v>165975</v>
      </c>
      <c r="L35" s="48">
        <f>SUM(L7:L32)</f>
        <v>2941725</v>
      </c>
      <c r="M35" s="48" t="e">
        <f>SUM(M7:M32)</f>
        <v>#VALUE!</v>
      </c>
      <c r="N35" s="21"/>
      <c r="O35" s="21"/>
      <c r="P35" s="21"/>
      <c r="Q35" s="21">
        <f>SUM(Q7:Q32)</f>
        <v>0</v>
      </c>
      <c r="R35" s="18"/>
      <c r="S35" s="18"/>
      <c r="T35" s="18"/>
      <c r="U35" s="48">
        <f>SUM(U7:U32)</f>
        <v>450157.11359999998</v>
      </c>
      <c r="W35" s="18"/>
    </row>
    <row r="36" spans="2:24" x14ac:dyDescent="0.2">
      <c r="G36" s="7"/>
    </row>
    <row r="37" spans="2:24" x14ac:dyDescent="0.2">
      <c r="G37" s="7"/>
    </row>
    <row r="38" spans="2:24" x14ac:dyDescent="0.2">
      <c r="B38" t="s">
        <v>88</v>
      </c>
      <c r="D38">
        <f>1700/(0.25*0.35*0.05)</f>
        <v>388571.42857142864</v>
      </c>
      <c r="E38" t="s">
        <v>93</v>
      </c>
      <c r="G38" s="8"/>
      <c r="H38" s="2"/>
      <c r="I38" s="2"/>
      <c r="J38" s="2"/>
      <c r="K38" s="47"/>
      <c r="R38" s="18"/>
      <c r="S38" s="18"/>
      <c r="T38" s="18"/>
      <c r="U38" s="20"/>
      <c r="W38" s="18"/>
    </row>
    <row r="39" spans="2:24" x14ac:dyDescent="0.2">
      <c r="B39" t="s">
        <v>98</v>
      </c>
      <c r="G39" s="8"/>
      <c r="H39" s="2"/>
      <c r="I39" s="2"/>
      <c r="J39" s="2"/>
      <c r="K39" s="47">
        <f>J19*0.05</f>
        <v>687.5</v>
      </c>
      <c r="L39" s="7">
        <f>K39+J19</f>
        <v>14437.5</v>
      </c>
      <c r="N39" s="7">
        <f>I19*L39</f>
        <v>2454375</v>
      </c>
      <c r="O39" s="7"/>
      <c r="P39" s="7"/>
      <c r="Q39" s="7"/>
      <c r="R39" s="18"/>
      <c r="S39" s="18"/>
      <c r="T39" s="18"/>
      <c r="U39" s="20"/>
      <c r="W39" s="18"/>
    </row>
    <row r="40" spans="2:24" x14ac:dyDescent="0.2">
      <c r="B40" t="s">
        <v>101</v>
      </c>
      <c r="G40" s="4"/>
    </row>
    <row r="41" spans="2:24" ht="18" x14ac:dyDescent="0.2">
      <c r="B41" s="39"/>
    </row>
    <row r="42" spans="2:24" ht="24" x14ac:dyDescent="0.3">
      <c r="B42" s="49" t="s">
        <v>92</v>
      </c>
      <c r="C42" s="50" t="e">
        <f>G35+M35+Q35+U35</f>
        <v>#VALUE!</v>
      </c>
    </row>
    <row r="45" spans="2:24" ht="17" x14ac:dyDescent="0.25">
      <c r="B45" s="55" t="str">
        <f t="shared" ref="B45:B67" si="6">B7</f>
        <v>Surgical plane of Anaesthesia</v>
      </c>
      <c r="C45" s="56" t="s">
        <v>106</v>
      </c>
      <c r="D45" s="18" t="str">
        <f t="shared" ref="D45:D67" si="7">D7</f>
        <v>Ketamine</v>
      </c>
      <c r="E45" s="55" t="s">
        <v>106</v>
      </c>
      <c r="F45" s="60" t="s">
        <v>110</v>
      </c>
      <c r="G45" s="18" t="str">
        <f t="shared" ref="G45:G67" si="8">E7</f>
        <v>6.688 mg</v>
      </c>
      <c r="H45" s="61" t="s">
        <v>111</v>
      </c>
      <c r="I45" s="55" t="s">
        <v>106</v>
      </c>
      <c r="J45" s="60" t="s">
        <v>110</v>
      </c>
      <c r="K45" t="s">
        <v>107</v>
      </c>
      <c r="L45" s="57" t="str">
        <f t="shared" ref="L45:L67" si="9">F7</f>
        <v>£4.91/10ml</v>
      </c>
      <c r="M45" s="57"/>
      <c r="N45" t="s">
        <v>111</v>
      </c>
      <c r="R45" s="55" t="s">
        <v>106</v>
      </c>
      <c r="S45" s="60" t="s">
        <v>110</v>
      </c>
      <c r="T45" t="s">
        <v>107</v>
      </c>
      <c r="U45" s="57">
        <f t="shared" ref="U45:U67" si="10">G7</f>
        <v>4.9067585037396038</v>
      </c>
      <c r="V45" t="s">
        <v>111</v>
      </c>
      <c r="W45" t="s">
        <v>108</v>
      </c>
      <c r="X45" s="58" t="s">
        <v>109</v>
      </c>
    </row>
    <row r="46" spans="2:24" ht="17" x14ac:dyDescent="0.25">
      <c r="B46" s="55">
        <f t="shared" si="6"/>
        <v>0</v>
      </c>
      <c r="C46" s="56" t="s">
        <v>106</v>
      </c>
      <c r="D46" s="18" t="str">
        <f t="shared" si="7"/>
        <v>Xylazine</v>
      </c>
      <c r="E46" s="55" t="s">
        <v>106</v>
      </c>
      <c r="F46" s="60" t="s">
        <v>110</v>
      </c>
      <c r="G46" s="18" t="str">
        <f t="shared" si="8"/>
        <v xml:space="preserve">836 mg </v>
      </c>
      <c r="H46" s="61" t="s">
        <v>111</v>
      </c>
      <c r="I46" s="55" t="s">
        <v>106</v>
      </c>
      <c r="J46" s="60" t="s">
        <v>110</v>
      </c>
      <c r="K46" t="s">
        <v>107</v>
      </c>
      <c r="L46" s="57" t="str">
        <f t="shared" si="9"/>
        <v>$33.92/50ml</v>
      </c>
      <c r="M46" s="57"/>
      <c r="N46" t="s">
        <v>111</v>
      </c>
      <c r="R46" s="55" t="s">
        <v>106</v>
      </c>
      <c r="S46" s="60" t="s">
        <v>110</v>
      </c>
      <c r="T46"/>
      <c r="U46" s="57">
        <f t="shared" si="10"/>
        <v>370.95094288271406</v>
      </c>
      <c r="V46" t="s">
        <v>111</v>
      </c>
      <c r="W46" t="s">
        <v>108</v>
      </c>
      <c r="X46" s="58" t="s">
        <v>109</v>
      </c>
    </row>
    <row r="47" spans="2:24" ht="17" x14ac:dyDescent="0.25">
      <c r="B47" s="55">
        <f t="shared" si="6"/>
        <v>0</v>
      </c>
      <c r="C47" s="56" t="s">
        <v>106</v>
      </c>
      <c r="D47" s="18" t="str">
        <f t="shared" si="7"/>
        <v>Oxygen</v>
      </c>
      <c r="E47" s="55" t="s">
        <v>106</v>
      </c>
      <c r="F47" s="60" t="s">
        <v>110</v>
      </c>
      <c r="G47" s="18" t="str">
        <f t="shared" si="8"/>
        <v>1L</v>
      </c>
      <c r="H47" s="61" t="s">
        <v>111</v>
      </c>
      <c r="I47" s="55" t="s">
        <v>106</v>
      </c>
      <c r="J47" s="60" t="s">
        <v>110</v>
      </c>
      <c r="K47" t="s">
        <v>107</v>
      </c>
      <c r="L47" s="57" t="str">
        <f t="shared" si="9"/>
        <v>£83.56/L</v>
      </c>
      <c r="M47" s="57"/>
      <c r="N47" t="s">
        <v>111</v>
      </c>
      <c r="R47" s="55" t="s">
        <v>106</v>
      </c>
      <c r="S47" s="60" t="s">
        <v>110</v>
      </c>
      <c r="T47" t="s">
        <v>107</v>
      </c>
      <c r="U47" s="57">
        <f t="shared" si="10"/>
        <v>83.56</v>
      </c>
      <c r="V47" t="s">
        <v>111</v>
      </c>
      <c r="W47" t="s">
        <v>108</v>
      </c>
      <c r="X47" s="58" t="s">
        <v>109</v>
      </c>
    </row>
    <row r="48" spans="2:24" ht="17" x14ac:dyDescent="0.25">
      <c r="B48" s="55">
        <f t="shared" si="6"/>
        <v>0</v>
      </c>
      <c r="C48" s="56" t="s">
        <v>106</v>
      </c>
      <c r="D48" s="18" t="str">
        <f t="shared" si="7"/>
        <v>Isoflurane</v>
      </c>
      <c r="E48" s="55" t="s">
        <v>106</v>
      </c>
      <c r="F48" s="60" t="s">
        <v>110</v>
      </c>
      <c r="G48" s="18" t="str">
        <f t="shared" si="8"/>
        <v>0.05L</v>
      </c>
      <c r="H48" s="61" t="s">
        <v>111</v>
      </c>
      <c r="I48" s="55" t="s">
        <v>106</v>
      </c>
      <c r="J48" s="60" t="s">
        <v>110</v>
      </c>
      <c r="K48" t="s">
        <v>107</v>
      </c>
      <c r="L48" s="57" t="str">
        <f t="shared" si="9"/>
        <v>$34/250ml</v>
      </c>
      <c r="M48" s="57"/>
      <c r="N48" t="s">
        <v>111</v>
      </c>
      <c r="R48" s="55" t="s">
        <v>106</v>
      </c>
      <c r="S48" s="60" t="s">
        <v>110</v>
      </c>
      <c r="T48" t="s">
        <v>107</v>
      </c>
      <c r="U48" s="57">
        <f t="shared" si="10"/>
        <v>15.701627211966732</v>
      </c>
      <c r="V48" t="s">
        <v>111</v>
      </c>
      <c r="W48" t="s">
        <v>108</v>
      </c>
      <c r="X48" s="58" t="s">
        <v>109</v>
      </c>
    </row>
    <row r="49" spans="2:24" ht="17" x14ac:dyDescent="0.25">
      <c r="B49" s="55" t="str">
        <f t="shared" si="6"/>
        <v>Washout Solution</v>
      </c>
      <c r="C49" s="56" t="s">
        <v>106</v>
      </c>
      <c r="D49" s="18" t="str">
        <f t="shared" si="7"/>
        <v>Washout Solution</v>
      </c>
      <c r="E49" s="55" t="s">
        <v>106</v>
      </c>
      <c r="F49" s="60" t="s">
        <v>110</v>
      </c>
      <c r="G49" s="18" t="str">
        <f t="shared" si="8"/>
        <v>15L</v>
      </c>
      <c r="H49" s="61" t="s">
        <v>111</v>
      </c>
      <c r="I49" s="55" t="s">
        <v>106</v>
      </c>
      <c r="J49" s="60" t="s">
        <v>110</v>
      </c>
      <c r="K49" t="s">
        <v>107</v>
      </c>
      <c r="L49" s="57" t="str">
        <f t="shared" si="9"/>
        <v>£16.58/500ml</v>
      </c>
      <c r="M49" s="57"/>
      <c r="N49" t="s">
        <v>111</v>
      </c>
      <c r="R49" s="55" t="s">
        <v>106</v>
      </c>
      <c r="S49" s="60" t="s">
        <v>110</v>
      </c>
      <c r="T49" t="s">
        <v>107</v>
      </c>
      <c r="U49" s="57">
        <f t="shared" si="10"/>
        <v>497.4</v>
      </c>
      <c r="V49" t="s">
        <v>111</v>
      </c>
      <c r="W49" t="s">
        <v>108</v>
      </c>
      <c r="X49" s="58" t="s">
        <v>109</v>
      </c>
    </row>
    <row r="50" spans="2:24" ht="17" x14ac:dyDescent="0.25">
      <c r="B50" s="55" t="str">
        <f t="shared" si="6"/>
        <v>Initial Fixation</v>
      </c>
      <c r="C50" s="56" t="s">
        <v>106</v>
      </c>
      <c r="D50" s="18" t="str">
        <f t="shared" si="7"/>
        <v>Fixative Solution</v>
      </c>
      <c r="E50" s="55" t="s">
        <v>106</v>
      </c>
      <c r="F50" s="60" t="s">
        <v>110</v>
      </c>
      <c r="G50" s="18" t="str">
        <f t="shared" si="8"/>
        <v>33.75L</v>
      </c>
      <c r="H50" s="61" t="s">
        <v>111</v>
      </c>
      <c r="I50" s="55" t="s">
        <v>106</v>
      </c>
      <c r="J50" s="60" t="s">
        <v>110</v>
      </c>
      <c r="K50" t="s">
        <v>107</v>
      </c>
      <c r="L50" s="57" t="str">
        <f t="shared" si="9"/>
        <v>£278/L</v>
      </c>
      <c r="M50" s="57"/>
      <c r="N50" t="s">
        <v>111</v>
      </c>
      <c r="R50" s="55" t="s">
        <v>106</v>
      </c>
      <c r="S50" s="60" t="s">
        <v>110</v>
      </c>
      <c r="T50" t="s">
        <v>107</v>
      </c>
      <c r="U50" s="57">
        <f t="shared" si="10"/>
        <v>9452</v>
      </c>
      <c r="V50" t="s">
        <v>111</v>
      </c>
      <c r="W50" t="s">
        <v>108</v>
      </c>
      <c r="X50" s="58" t="s">
        <v>109</v>
      </c>
    </row>
    <row r="51" spans="2:24" ht="17" x14ac:dyDescent="0.25">
      <c r="B51" s="55" t="str">
        <f t="shared" si="6"/>
        <v>Cryopreservation</v>
      </c>
      <c r="C51" s="56" t="s">
        <v>106</v>
      </c>
      <c r="D51" s="18" t="str">
        <f t="shared" si="7"/>
        <v>Fixative Solution</v>
      </c>
      <c r="E51" s="55" t="s">
        <v>106</v>
      </c>
      <c r="F51" s="60" t="s">
        <v>110</v>
      </c>
      <c r="G51" s="18" t="str">
        <f t="shared" si="8"/>
        <v>11.2L</v>
      </c>
      <c r="H51" s="61" t="s">
        <v>111</v>
      </c>
      <c r="I51" s="55" t="s">
        <v>106</v>
      </c>
      <c r="J51" s="60" t="s">
        <v>110</v>
      </c>
      <c r="K51" t="s">
        <v>107</v>
      </c>
      <c r="L51" s="57" t="str">
        <f t="shared" si="9"/>
        <v>£278/L</v>
      </c>
      <c r="M51" s="57"/>
      <c r="N51" t="s">
        <v>111</v>
      </c>
      <c r="R51" s="55" t="s">
        <v>106</v>
      </c>
      <c r="S51" s="60" t="s">
        <v>110</v>
      </c>
      <c r="T51" t="s">
        <v>107</v>
      </c>
      <c r="U51" s="57">
        <f t="shared" si="10"/>
        <v>3113.6</v>
      </c>
      <c r="V51" t="s">
        <v>111</v>
      </c>
      <c r="W51" t="s">
        <v>108</v>
      </c>
      <c r="X51" s="58" t="s">
        <v>109</v>
      </c>
    </row>
    <row r="52" spans="2:24" ht="17" x14ac:dyDescent="0.25">
      <c r="B52" s="55">
        <f t="shared" si="6"/>
        <v>0</v>
      </c>
      <c r="C52" s="56" t="s">
        <v>106</v>
      </c>
      <c r="D52" s="18" t="str">
        <f t="shared" si="7"/>
        <v>Ethylene Glycol</v>
      </c>
      <c r="E52" s="55" t="s">
        <v>106</v>
      </c>
      <c r="F52" s="60" t="s">
        <v>110</v>
      </c>
      <c r="G52" s="18" t="str">
        <f t="shared" si="8"/>
        <v>20.8L</v>
      </c>
      <c r="H52" s="61" t="s">
        <v>111</v>
      </c>
      <c r="I52" s="55" t="s">
        <v>106</v>
      </c>
      <c r="J52" s="60" t="s">
        <v>110</v>
      </c>
      <c r="K52" t="s">
        <v>107</v>
      </c>
      <c r="L52" s="57" t="str">
        <f t="shared" si="9"/>
        <v>£79.60/25L</v>
      </c>
      <c r="M52" s="57"/>
      <c r="N52" t="s">
        <v>111</v>
      </c>
      <c r="R52" s="55" t="s">
        <v>106</v>
      </c>
      <c r="S52" s="60" t="s">
        <v>110</v>
      </c>
      <c r="T52" t="s">
        <v>107</v>
      </c>
      <c r="U52" s="57">
        <f t="shared" si="10"/>
        <v>91.699200000000005</v>
      </c>
      <c r="V52" t="s">
        <v>111</v>
      </c>
      <c r="W52" t="s">
        <v>108</v>
      </c>
      <c r="X52" s="58" t="s">
        <v>109</v>
      </c>
    </row>
    <row r="53" spans="2:24" ht="17" x14ac:dyDescent="0.25">
      <c r="B53" s="55" t="str">
        <f t="shared" si="6"/>
        <v>Vitrification</v>
      </c>
      <c r="C53" s="56" t="s">
        <v>106</v>
      </c>
      <c r="D53" s="18">
        <f t="shared" si="7"/>
        <v>0</v>
      </c>
      <c r="E53" s="55" t="s">
        <v>106</v>
      </c>
      <c r="F53" s="60" t="s">
        <v>110</v>
      </c>
      <c r="G53" s="18">
        <f t="shared" si="8"/>
        <v>0</v>
      </c>
      <c r="H53" s="61" t="s">
        <v>111</v>
      </c>
      <c r="I53" s="55" t="s">
        <v>106</v>
      </c>
      <c r="J53" s="60" t="s">
        <v>110</v>
      </c>
      <c r="K53" t="s">
        <v>107</v>
      </c>
      <c r="L53" s="57">
        <f t="shared" si="9"/>
        <v>0</v>
      </c>
      <c r="M53" s="57"/>
      <c r="N53" t="s">
        <v>111</v>
      </c>
      <c r="R53" s="55" t="s">
        <v>106</v>
      </c>
      <c r="S53" s="60" t="s">
        <v>110</v>
      </c>
      <c r="T53" t="s">
        <v>107</v>
      </c>
      <c r="U53" s="57">
        <f t="shared" si="10"/>
        <v>0</v>
      </c>
      <c r="V53" t="s">
        <v>111</v>
      </c>
      <c r="W53" t="s">
        <v>108</v>
      </c>
      <c r="X53" s="58" t="s">
        <v>109</v>
      </c>
    </row>
    <row r="54" spans="2:24" ht="17" x14ac:dyDescent="0.25">
      <c r="B54" s="55" t="str">
        <f t="shared" si="6"/>
        <v xml:space="preserve">Brain Removal </v>
      </c>
      <c r="C54" s="56" t="s">
        <v>106</v>
      </c>
      <c r="D54" s="18">
        <f t="shared" si="7"/>
        <v>0</v>
      </c>
      <c r="E54" s="55" t="s">
        <v>106</v>
      </c>
      <c r="F54" s="60" t="s">
        <v>110</v>
      </c>
      <c r="G54" s="18">
        <f t="shared" si="8"/>
        <v>0</v>
      </c>
      <c r="H54" s="61" t="s">
        <v>111</v>
      </c>
      <c r="I54" s="55" t="s">
        <v>106</v>
      </c>
      <c r="J54" s="60" t="s">
        <v>110</v>
      </c>
      <c r="K54" t="s">
        <v>107</v>
      </c>
      <c r="L54" s="57">
        <f t="shared" si="9"/>
        <v>0</v>
      </c>
      <c r="M54" s="57"/>
      <c r="N54" t="s">
        <v>111</v>
      </c>
      <c r="R54" s="55" t="s">
        <v>106</v>
      </c>
      <c r="S54" s="60" t="s">
        <v>110</v>
      </c>
      <c r="T54"/>
      <c r="U54" s="57">
        <f t="shared" si="10"/>
        <v>0</v>
      </c>
      <c r="V54" t="s">
        <v>111</v>
      </c>
      <c r="W54" t="s">
        <v>108</v>
      </c>
      <c r="X54" s="58" t="s">
        <v>109</v>
      </c>
    </row>
    <row r="55" spans="2:24" ht="17" x14ac:dyDescent="0.25">
      <c r="B55" s="55" t="str">
        <f t="shared" si="6"/>
        <v>First Stage Sectioning</v>
      </c>
      <c r="C55" s="56" t="s">
        <v>106</v>
      </c>
      <c r="D55" s="18" t="str">
        <f t="shared" si="7"/>
        <v>Agarose</v>
      </c>
      <c r="E55" s="55" t="s">
        <v>106</v>
      </c>
      <c r="F55" s="60" t="s">
        <v>110</v>
      </c>
      <c r="G55" s="18" t="str">
        <f t="shared" si="8"/>
        <v>11L</v>
      </c>
      <c r="H55" s="61" t="s">
        <v>111</v>
      </c>
      <c r="I55" s="55" t="s">
        <v>106</v>
      </c>
      <c r="J55" s="60" t="s">
        <v>110</v>
      </c>
      <c r="K55" t="s">
        <v>107</v>
      </c>
      <c r="L55" s="57" t="str">
        <f t="shared" si="9"/>
        <v>£250/</v>
      </c>
      <c r="M55" s="57"/>
      <c r="N55" t="s">
        <v>111</v>
      </c>
      <c r="R55" s="55" t="s">
        <v>106</v>
      </c>
      <c r="S55" s="60" t="s">
        <v>110</v>
      </c>
      <c r="T55" t="s">
        <v>107</v>
      </c>
      <c r="U55" s="57">
        <f t="shared" si="10"/>
        <v>0</v>
      </c>
      <c r="V55" t="s">
        <v>111</v>
      </c>
      <c r="W55" t="s">
        <v>108</v>
      </c>
      <c r="X55" s="58" t="s">
        <v>109</v>
      </c>
    </row>
    <row r="56" spans="2:24" ht="17" x14ac:dyDescent="0.25">
      <c r="B56" s="55" t="str">
        <f t="shared" si="6"/>
        <v xml:space="preserve">Second Stage Sectioning </v>
      </c>
      <c r="C56" s="56" t="s">
        <v>106</v>
      </c>
      <c r="D56" s="18">
        <f t="shared" si="7"/>
        <v>0</v>
      </c>
      <c r="E56" s="55" t="s">
        <v>106</v>
      </c>
      <c r="F56" s="60" t="s">
        <v>110</v>
      </c>
      <c r="G56" s="18">
        <f t="shared" si="8"/>
        <v>0</v>
      </c>
      <c r="H56" s="61" t="s">
        <v>111</v>
      </c>
      <c r="I56" s="55" t="s">
        <v>106</v>
      </c>
      <c r="J56" s="60" t="s">
        <v>110</v>
      </c>
      <c r="K56" t="s">
        <v>107</v>
      </c>
      <c r="L56" s="57">
        <f t="shared" si="9"/>
        <v>0</v>
      </c>
      <c r="M56" s="57"/>
      <c r="N56" t="s">
        <v>111</v>
      </c>
      <c r="R56" s="55" t="s">
        <v>106</v>
      </c>
      <c r="S56" s="60" t="s">
        <v>110</v>
      </c>
      <c r="T56" t="s">
        <v>107</v>
      </c>
      <c r="U56" s="57">
        <f t="shared" si="10"/>
        <v>0</v>
      </c>
      <c r="V56" t="s">
        <v>111</v>
      </c>
      <c r="W56" t="s">
        <v>108</v>
      </c>
      <c r="X56" s="58" t="s">
        <v>109</v>
      </c>
    </row>
    <row r="57" spans="2:24" ht="17" x14ac:dyDescent="0.25">
      <c r="B57" s="55" t="str">
        <f t="shared" si="6"/>
        <v>Removal of CPA</v>
      </c>
      <c r="C57" s="56" t="s">
        <v>106</v>
      </c>
      <c r="D57" s="18" t="str">
        <f t="shared" si="7"/>
        <v>0.1 M cacodylate</v>
      </c>
      <c r="E57" s="55" t="s">
        <v>106</v>
      </c>
      <c r="F57" s="60" t="s">
        <v>110</v>
      </c>
      <c r="G57" s="18" t="str">
        <f t="shared" si="8"/>
        <v>19l</v>
      </c>
      <c r="H57" s="61" t="s">
        <v>111</v>
      </c>
      <c r="I57" s="55" t="s">
        <v>106</v>
      </c>
      <c r="J57" s="60" t="s">
        <v>110</v>
      </c>
      <c r="K57" t="s">
        <v>107</v>
      </c>
      <c r="L57" s="57" t="str">
        <f t="shared" si="9"/>
        <v>£88.3/100ml</v>
      </c>
      <c r="M57" s="57"/>
      <c r="N57" t="s">
        <v>111</v>
      </c>
      <c r="R57" s="55" t="s">
        <v>106</v>
      </c>
      <c r="S57" s="60" t="s">
        <v>110</v>
      </c>
      <c r="T57" t="s">
        <v>107</v>
      </c>
      <c r="U57" s="57">
        <f t="shared" si="10"/>
        <v>16777</v>
      </c>
      <c r="V57" t="s">
        <v>111</v>
      </c>
      <c r="W57" t="s">
        <v>108</v>
      </c>
      <c r="X57" s="58" t="s">
        <v>109</v>
      </c>
    </row>
    <row r="58" spans="2:24" ht="17" x14ac:dyDescent="0.25">
      <c r="B58" s="55" t="str">
        <f t="shared" si="6"/>
        <v>BROPA</v>
      </c>
      <c r="C58" s="56" t="s">
        <v>106</v>
      </c>
      <c r="D58" s="18" t="str">
        <f t="shared" si="7"/>
        <v>Osmium tetroxide</v>
      </c>
      <c r="E58" s="55" t="s">
        <v>106</v>
      </c>
      <c r="F58" s="60" t="s">
        <v>110</v>
      </c>
      <c r="G58" s="18" t="str">
        <f t="shared" si="8"/>
        <v>11.4kg</v>
      </c>
      <c r="H58" s="61" t="s">
        <v>111</v>
      </c>
      <c r="I58" s="55" t="s">
        <v>106</v>
      </c>
      <c r="J58" s="60" t="s">
        <v>110</v>
      </c>
      <c r="K58" t="s">
        <v>107</v>
      </c>
      <c r="L58" s="57" t="str">
        <f t="shared" si="9"/>
        <v>£194.5/10ml</v>
      </c>
      <c r="M58" s="57"/>
      <c r="N58" t="s">
        <v>111</v>
      </c>
      <c r="R58" s="55" t="s">
        <v>106</v>
      </c>
      <c r="S58" s="60" t="s">
        <v>110</v>
      </c>
      <c r="T58"/>
      <c r="U58" s="57">
        <f t="shared" si="10"/>
        <v>221730</v>
      </c>
      <c r="V58" t="s">
        <v>111</v>
      </c>
      <c r="W58" t="s">
        <v>108</v>
      </c>
      <c r="X58" s="58" t="s">
        <v>109</v>
      </c>
    </row>
    <row r="59" spans="2:24" ht="17" x14ac:dyDescent="0.25">
      <c r="B59" s="55">
        <f t="shared" si="6"/>
        <v>0</v>
      </c>
      <c r="C59" s="56" t="s">
        <v>106</v>
      </c>
      <c r="D59" s="18" t="str">
        <f t="shared" si="7"/>
        <v>Potassium ferrocyanid</v>
      </c>
      <c r="E59" s="55" t="s">
        <v>106</v>
      </c>
      <c r="F59" s="60" t="s">
        <v>110</v>
      </c>
      <c r="G59" s="18" t="str">
        <f t="shared" si="8"/>
        <v>4.9kg</v>
      </c>
      <c r="H59" s="61" t="s">
        <v>111</v>
      </c>
      <c r="I59" s="55" t="s">
        <v>106</v>
      </c>
      <c r="J59" s="60" t="s">
        <v>110</v>
      </c>
      <c r="K59" t="s">
        <v>107</v>
      </c>
      <c r="L59" s="57" t="str">
        <f t="shared" si="9"/>
        <v>£7.17/100g</v>
      </c>
      <c r="M59" s="57"/>
      <c r="N59" t="s">
        <v>111</v>
      </c>
      <c r="R59" s="55" t="s">
        <v>106</v>
      </c>
      <c r="S59" s="60" t="s">
        <v>110</v>
      </c>
      <c r="T59" t="s">
        <v>107</v>
      </c>
      <c r="U59" s="57">
        <f t="shared" si="10"/>
        <v>351.33</v>
      </c>
      <c r="V59" t="s">
        <v>111</v>
      </c>
      <c r="W59" t="s">
        <v>108</v>
      </c>
      <c r="X59" s="58" t="s">
        <v>109</v>
      </c>
    </row>
    <row r="60" spans="2:24" ht="17" x14ac:dyDescent="0.25">
      <c r="B60" s="55">
        <f t="shared" si="6"/>
        <v>0</v>
      </c>
      <c r="C60" s="56" t="s">
        <v>106</v>
      </c>
      <c r="D60" s="18" t="str">
        <f t="shared" si="7"/>
        <v>Sodium Cacodylate Buffer</v>
      </c>
      <c r="E60" s="55" t="s">
        <v>106</v>
      </c>
      <c r="F60" s="60" t="s">
        <v>110</v>
      </c>
      <c r="G60" s="18" t="str">
        <f t="shared" si="8"/>
        <v>20.8kg</v>
      </c>
      <c r="H60" s="61" t="s">
        <v>111</v>
      </c>
      <c r="I60" s="55" t="s">
        <v>106</v>
      </c>
      <c r="J60" s="60" t="s">
        <v>110</v>
      </c>
      <c r="K60" t="s">
        <v>107</v>
      </c>
      <c r="L60" s="57" t="str">
        <f t="shared" si="9"/>
        <v>£88.2/100ml</v>
      </c>
      <c r="M60" s="57"/>
      <c r="N60" t="s">
        <v>111</v>
      </c>
      <c r="R60" s="55" t="s">
        <v>106</v>
      </c>
      <c r="S60" s="60" t="s">
        <v>110</v>
      </c>
      <c r="T60"/>
      <c r="U60" s="57">
        <f t="shared" si="10"/>
        <v>18345.600000000002</v>
      </c>
      <c r="V60" t="s">
        <v>111</v>
      </c>
      <c r="W60" t="s">
        <v>108</v>
      </c>
      <c r="X60" s="58" t="s">
        <v>109</v>
      </c>
    </row>
    <row r="61" spans="2:24" ht="17" x14ac:dyDescent="0.25">
      <c r="B61" s="55">
        <f t="shared" si="6"/>
        <v>0</v>
      </c>
      <c r="C61" s="56" t="s">
        <v>106</v>
      </c>
      <c r="D61" s="18" t="str">
        <f t="shared" si="7"/>
        <v>Formamide</v>
      </c>
      <c r="E61" s="55" t="s">
        <v>106</v>
      </c>
      <c r="F61" s="60" t="s">
        <v>110</v>
      </c>
      <c r="G61" s="18" t="str">
        <f t="shared" si="8"/>
        <v>42g</v>
      </c>
      <c r="H61" s="61" t="s">
        <v>111</v>
      </c>
      <c r="I61" s="55" t="s">
        <v>106</v>
      </c>
      <c r="J61" s="60" t="s">
        <v>110</v>
      </c>
      <c r="K61" t="s">
        <v>107</v>
      </c>
      <c r="L61" s="57" t="str">
        <f t="shared" si="9"/>
        <v>£35.63/100g</v>
      </c>
      <c r="M61" s="57"/>
      <c r="N61" t="s">
        <v>111</v>
      </c>
      <c r="R61" s="55" t="s">
        <v>106</v>
      </c>
      <c r="S61" s="60" t="s">
        <v>110</v>
      </c>
      <c r="T61" t="s">
        <v>107</v>
      </c>
      <c r="U61" s="57">
        <f t="shared" si="10"/>
        <v>14.964600000000001</v>
      </c>
      <c r="V61" t="s">
        <v>111</v>
      </c>
      <c r="W61" t="s">
        <v>108</v>
      </c>
      <c r="X61" s="58" t="s">
        <v>109</v>
      </c>
    </row>
    <row r="62" spans="2:24" ht="17" x14ac:dyDescent="0.25">
      <c r="B62" s="55">
        <f t="shared" si="6"/>
        <v>0</v>
      </c>
      <c r="C62" s="56" t="s">
        <v>106</v>
      </c>
      <c r="D62" s="18" t="str">
        <f t="shared" si="7"/>
        <v>Pyrogallol</v>
      </c>
      <c r="E62" s="55" t="s">
        <v>106</v>
      </c>
      <c r="F62" s="60" t="s">
        <v>110</v>
      </c>
      <c r="G62" s="18" t="str">
        <f t="shared" si="8"/>
        <v>15.3kg</v>
      </c>
      <c r="H62" s="61" t="s">
        <v>111</v>
      </c>
      <c r="I62" s="55" t="s">
        <v>106</v>
      </c>
      <c r="J62" s="60" t="s">
        <v>110</v>
      </c>
      <c r="K62" t="s">
        <v>107</v>
      </c>
      <c r="L62" s="57" t="str">
        <f t="shared" si="9"/>
        <v>£120.50/500g</v>
      </c>
      <c r="M62" s="57"/>
      <c r="N62" t="s">
        <v>111</v>
      </c>
      <c r="R62" s="55" t="s">
        <v>106</v>
      </c>
      <c r="S62" s="60" t="s">
        <v>110</v>
      </c>
      <c r="T62" t="s">
        <v>107</v>
      </c>
      <c r="U62" s="57">
        <f t="shared" si="10"/>
        <v>3735.5</v>
      </c>
      <c r="V62" t="s">
        <v>111</v>
      </c>
      <c r="W62" t="s">
        <v>108</v>
      </c>
      <c r="X62" s="58" t="s">
        <v>109</v>
      </c>
    </row>
    <row r="63" spans="2:24" ht="17" x14ac:dyDescent="0.25">
      <c r="B63" s="55" t="str">
        <f t="shared" si="6"/>
        <v>Dehydration</v>
      </c>
      <c r="C63" s="56" t="s">
        <v>106</v>
      </c>
      <c r="D63" s="18" t="str">
        <f t="shared" si="7"/>
        <v>ethanol</v>
      </c>
      <c r="E63" s="55" t="s">
        <v>106</v>
      </c>
      <c r="F63" s="60" t="s">
        <v>110</v>
      </c>
      <c r="G63" s="18" t="str">
        <f t="shared" si="8"/>
        <v>19l</v>
      </c>
      <c r="H63" s="61" t="s">
        <v>111</v>
      </c>
      <c r="I63" s="55" t="s">
        <v>106</v>
      </c>
      <c r="J63" s="60" t="s">
        <v>110</v>
      </c>
      <c r="K63" t="s">
        <v>107</v>
      </c>
      <c r="L63" s="57" t="str">
        <f t="shared" si="9"/>
        <v>£265.06/2.5l</v>
      </c>
      <c r="M63" s="57"/>
      <c r="N63" t="s">
        <v>111</v>
      </c>
      <c r="R63" s="55" t="s">
        <v>106</v>
      </c>
      <c r="S63" s="60" t="s">
        <v>110</v>
      </c>
      <c r="T63" t="s">
        <v>107</v>
      </c>
      <c r="U63" s="57">
        <f t="shared" si="10"/>
        <v>2014.4560000000001</v>
      </c>
      <c r="V63" t="s">
        <v>111</v>
      </c>
      <c r="W63" t="s">
        <v>108</v>
      </c>
      <c r="X63" s="58" t="s">
        <v>109</v>
      </c>
    </row>
    <row r="64" spans="2:24" ht="17" x14ac:dyDescent="0.25">
      <c r="B64" s="55" t="str">
        <f t="shared" si="6"/>
        <v>Embedding</v>
      </c>
      <c r="C64" s="56" t="s">
        <v>106</v>
      </c>
      <c r="D64" s="18" t="str">
        <f t="shared" si="7"/>
        <v>UNICRYL</v>
      </c>
      <c r="E64" s="55" t="s">
        <v>106</v>
      </c>
      <c r="F64" s="60" t="s">
        <v>110</v>
      </c>
      <c r="G64" s="18" t="str">
        <f t="shared" si="8"/>
        <v>19l</v>
      </c>
      <c r="H64" s="61" t="s">
        <v>111</v>
      </c>
      <c r="I64" s="55" t="s">
        <v>106</v>
      </c>
      <c r="J64" s="60" t="s">
        <v>110</v>
      </c>
      <c r="K64" t="s">
        <v>107</v>
      </c>
      <c r="L64" s="57" t="str">
        <f t="shared" si="9"/>
        <v>£237.15/ 250ml</v>
      </c>
      <c r="M64" s="57"/>
      <c r="N64" t="s">
        <v>111</v>
      </c>
      <c r="R64" s="55" t="s">
        <v>106</v>
      </c>
      <c r="S64" s="60" t="s">
        <v>110</v>
      </c>
      <c r="T64" t="s">
        <v>107</v>
      </c>
      <c r="U64" s="57">
        <f t="shared" si="10"/>
        <v>18023.400000000001</v>
      </c>
      <c r="V64" t="s">
        <v>111</v>
      </c>
      <c r="W64" t="s">
        <v>108</v>
      </c>
      <c r="X64" s="58" t="s">
        <v>109</v>
      </c>
    </row>
    <row r="65" spans="2:24" ht="17" x14ac:dyDescent="0.25">
      <c r="B65" s="55" t="str">
        <f t="shared" si="6"/>
        <v>ATUM</v>
      </c>
      <c r="C65" s="56" t="s">
        <v>106</v>
      </c>
      <c r="D65" s="18" t="str">
        <f t="shared" si="7"/>
        <v>Silicon wafers</v>
      </c>
      <c r="E65" s="55" t="s">
        <v>106</v>
      </c>
      <c r="F65" s="60" t="s">
        <v>110</v>
      </c>
      <c r="G65" s="18">
        <f t="shared" si="8"/>
        <v>120000</v>
      </c>
      <c r="H65" s="61" t="s">
        <v>111</v>
      </c>
      <c r="I65" s="55" t="s">
        <v>106</v>
      </c>
      <c r="J65" s="60" t="s">
        <v>110</v>
      </c>
      <c r="K65" t="s">
        <v>107</v>
      </c>
      <c r="L65" s="57">
        <f t="shared" si="9"/>
        <v>6</v>
      </c>
      <c r="M65" s="57"/>
      <c r="N65" t="s">
        <v>111</v>
      </c>
      <c r="R65" s="55" t="s">
        <v>106</v>
      </c>
      <c r="S65" s="60" t="s">
        <v>110</v>
      </c>
      <c r="T65" t="s">
        <v>107</v>
      </c>
      <c r="U65" s="57">
        <f t="shared" si="10"/>
        <v>720000</v>
      </c>
      <c r="V65" t="s">
        <v>111</v>
      </c>
      <c r="W65" t="s">
        <v>108</v>
      </c>
      <c r="X65" s="58" t="s">
        <v>109</v>
      </c>
    </row>
    <row r="66" spans="2:24" ht="17" x14ac:dyDescent="0.25">
      <c r="B66" s="55">
        <f t="shared" si="6"/>
        <v>0</v>
      </c>
      <c r="C66" s="56" t="s">
        <v>106</v>
      </c>
      <c r="D66" s="18" t="str">
        <f t="shared" si="7"/>
        <v>Kapton tape</v>
      </c>
      <c r="E66" s="55" t="s">
        <v>106</v>
      </c>
      <c r="F66" s="60" t="s">
        <v>110</v>
      </c>
      <c r="G66" s="18">
        <f t="shared" si="8"/>
        <v>0</v>
      </c>
      <c r="H66" s="61" t="s">
        <v>111</v>
      </c>
      <c r="I66" s="55" t="s">
        <v>106</v>
      </c>
      <c r="J66" s="60" t="s">
        <v>110</v>
      </c>
      <c r="K66" t="s">
        <v>107</v>
      </c>
      <c r="L66" s="57">
        <f t="shared" si="9"/>
        <v>0</v>
      </c>
      <c r="M66" s="57"/>
      <c r="N66" t="s">
        <v>111</v>
      </c>
      <c r="R66" s="55" t="s">
        <v>106</v>
      </c>
      <c r="S66" s="60" t="s">
        <v>110</v>
      </c>
      <c r="T66" t="s">
        <v>107</v>
      </c>
      <c r="U66" s="57">
        <f t="shared" si="10"/>
        <v>0</v>
      </c>
      <c r="V66" t="s">
        <v>111</v>
      </c>
      <c r="W66" t="s">
        <v>108</v>
      </c>
      <c r="X66" s="58" t="s">
        <v>109</v>
      </c>
    </row>
    <row r="67" spans="2:24" ht="17" x14ac:dyDescent="0.25">
      <c r="B67" s="55" t="str">
        <f t="shared" si="6"/>
        <v>Imaging</v>
      </c>
      <c r="C67" s="56" t="s">
        <v>106</v>
      </c>
      <c r="D67" s="18">
        <f t="shared" si="7"/>
        <v>0</v>
      </c>
      <c r="E67" s="55" t="s">
        <v>106</v>
      </c>
      <c r="F67" s="60" t="s">
        <v>110</v>
      </c>
      <c r="G67" s="18">
        <f t="shared" si="8"/>
        <v>0</v>
      </c>
      <c r="H67" s="61" t="s">
        <v>111</v>
      </c>
      <c r="I67" s="55" t="s">
        <v>106</v>
      </c>
      <c r="J67" s="60" t="s">
        <v>110</v>
      </c>
      <c r="K67" t="s">
        <v>107</v>
      </c>
      <c r="L67" s="57">
        <f t="shared" si="9"/>
        <v>0</v>
      </c>
      <c r="M67" s="57"/>
      <c r="N67" t="s">
        <v>111</v>
      </c>
      <c r="R67" s="55" t="s">
        <v>106</v>
      </c>
      <c r="S67" s="60" t="s">
        <v>110</v>
      </c>
      <c r="T67" t="s">
        <v>107</v>
      </c>
      <c r="U67" s="57">
        <f t="shared" si="10"/>
        <v>0</v>
      </c>
      <c r="V67" t="s">
        <v>111</v>
      </c>
      <c r="W67" t="s">
        <v>108</v>
      </c>
      <c r="X67" s="58" t="s">
        <v>109</v>
      </c>
    </row>
    <row r="68" spans="2:24" ht="17" x14ac:dyDescent="0.25">
      <c r="B68" s="55" t="str">
        <f t="shared" ref="B68:B69" si="11">B31</f>
        <v>Processing</v>
      </c>
      <c r="C68" s="56" t="s">
        <v>106</v>
      </c>
      <c r="D68" s="18">
        <f t="shared" ref="D68:D69" si="12">D31</f>
        <v>0</v>
      </c>
      <c r="E68" s="55" t="s">
        <v>106</v>
      </c>
      <c r="F68" s="60" t="s">
        <v>110</v>
      </c>
      <c r="G68" s="18">
        <f t="shared" ref="G68:G69" si="13">E31</f>
        <v>0</v>
      </c>
      <c r="H68" s="61" t="s">
        <v>111</v>
      </c>
      <c r="I68" s="55" t="s">
        <v>106</v>
      </c>
      <c r="J68" s="60" t="s">
        <v>110</v>
      </c>
      <c r="K68" t="s">
        <v>107</v>
      </c>
      <c r="L68" s="57">
        <f t="shared" ref="L68:L69" si="14">F31</f>
        <v>0</v>
      </c>
      <c r="M68" s="57"/>
      <c r="N68" t="s">
        <v>111</v>
      </c>
      <c r="R68" s="55" t="s">
        <v>106</v>
      </c>
      <c r="S68" s="60" t="s">
        <v>110</v>
      </c>
      <c r="T68" t="s">
        <v>107</v>
      </c>
      <c r="U68" s="57">
        <f t="shared" ref="U68:U69" si="15">G31</f>
        <v>0</v>
      </c>
      <c r="V68" t="s">
        <v>111</v>
      </c>
      <c r="W68" t="s">
        <v>108</v>
      </c>
      <c r="X68" s="58" t="s">
        <v>109</v>
      </c>
    </row>
    <row r="69" spans="2:24" ht="17" x14ac:dyDescent="0.25">
      <c r="B69" s="55" t="str">
        <f t="shared" si="11"/>
        <v xml:space="preserve">Storage </v>
      </c>
      <c r="C69" s="56" t="s">
        <v>106</v>
      </c>
      <c r="D69" s="18" t="str">
        <f t="shared" si="12"/>
        <v xml:space="preserve">OCZ Vertex 4                                               </v>
      </c>
      <c r="E69" s="55" t="s">
        <v>106</v>
      </c>
      <c r="F69" s="60" t="s">
        <v>110</v>
      </c>
      <c r="G69" s="18">
        <f t="shared" si="13"/>
        <v>1500000</v>
      </c>
      <c r="H69" s="61" t="s">
        <v>111</v>
      </c>
      <c r="I69" s="55" t="s">
        <v>106</v>
      </c>
      <c r="J69" s="60" t="s">
        <v>110</v>
      </c>
      <c r="K69" t="s">
        <v>107</v>
      </c>
      <c r="L69" s="57">
        <f t="shared" si="14"/>
        <v>100</v>
      </c>
      <c r="M69" s="57"/>
      <c r="N69" t="s">
        <v>111</v>
      </c>
      <c r="R69" s="55" t="s">
        <v>106</v>
      </c>
      <c r="S69" s="60" t="s">
        <v>110</v>
      </c>
      <c r="T69" t="s">
        <v>107</v>
      </c>
      <c r="U69" s="57">
        <f t="shared" si="15"/>
        <v>150000000</v>
      </c>
      <c r="V69" t="s">
        <v>111</v>
      </c>
      <c r="W69" t="s">
        <v>108</v>
      </c>
      <c r="X69" s="58" t="s">
        <v>109</v>
      </c>
    </row>
    <row r="70" spans="2:24" x14ac:dyDescent="0.2">
      <c r="E70" s="55"/>
      <c r="F70" s="18"/>
      <c r="G70" s="55"/>
      <c r="I70" s="59"/>
      <c r="J70" s="55"/>
      <c r="K70"/>
      <c r="L70" s="57"/>
      <c r="M70" s="57"/>
      <c r="R70" s="58"/>
    </row>
    <row r="71" spans="2:24" x14ac:dyDescent="0.2">
      <c r="E71" s="55"/>
      <c r="F71" s="18"/>
      <c r="G71" s="55"/>
      <c r="I71" s="59"/>
      <c r="J71" s="55"/>
      <c r="K71"/>
      <c r="L71" s="57"/>
      <c r="M71" s="57"/>
      <c r="R71" s="58"/>
      <c r="U71" s="16">
        <f>SUM(U45:U69)</f>
        <v>151014622.0691286</v>
      </c>
    </row>
    <row r="72" spans="2:24" x14ac:dyDescent="0.2">
      <c r="E72" s="55"/>
      <c r="F72" s="18"/>
      <c r="G72" s="55"/>
      <c r="I72" s="59"/>
      <c r="J72" s="55"/>
      <c r="K72"/>
      <c r="L72" s="57"/>
      <c r="M72" s="57"/>
      <c r="R72" s="58"/>
    </row>
    <row r="73" spans="2:24" x14ac:dyDescent="0.2">
      <c r="E73" s="55"/>
      <c r="F73" s="18"/>
      <c r="G73" s="55"/>
      <c r="I73" s="59"/>
      <c r="J73" s="55"/>
      <c r="K73"/>
      <c r="L73" s="57"/>
      <c r="M73" s="57"/>
      <c r="R73" s="58"/>
    </row>
    <row r="74" spans="2:24" x14ac:dyDescent="0.2">
      <c r="E74" s="55"/>
      <c r="F74" s="18"/>
      <c r="G74" s="55"/>
      <c r="I74" s="59"/>
      <c r="J74" s="55"/>
      <c r="K74"/>
      <c r="L74" s="57"/>
      <c r="M74" s="57"/>
      <c r="R74" s="58"/>
    </row>
    <row r="75" spans="2:24" x14ac:dyDescent="0.2">
      <c r="E75" s="55"/>
      <c r="F75" s="18"/>
      <c r="G75" s="55"/>
      <c r="I75" s="59"/>
      <c r="J75" s="55"/>
      <c r="K75"/>
      <c r="L75" s="57"/>
      <c r="M75" s="57"/>
      <c r="R75" s="58"/>
    </row>
    <row r="76" spans="2:24" x14ac:dyDescent="0.2">
      <c r="E76" s="55"/>
      <c r="F76" s="18"/>
      <c r="G76" s="55"/>
      <c r="I76" s="59"/>
      <c r="J76" s="55"/>
      <c r="K76"/>
      <c r="L76" s="57"/>
      <c r="M76" s="57"/>
      <c r="R76" s="58"/>
    </row>
  </sheetData>
  <mergeCells count="37">
    <mergeCell ref="S9:S10"/>
    <mergeCell ref="T9:T10"/>
    <mergeCell ref="U7:U8"/>
    <mergeCell ref="U9:U10"/>
    <mergeCell ref="M19:M26"/>
    <mergeCell ref="J19:J26"/>
    <mergeCell ref="K19:K26"/>
    <mergeCell ref="R5:U5"/>
    <mergeCell ref="R19:R26"/>
    <mergeCell ref="S19:S26"/>
    <mergeCell ref="T19:T26"/>
    <mergeCell ref="U19:U26"/>
    <mergeCell ref="R7:R8"/>
    <mergeCell ref="S7:S8"/>
    <mergeCell ref="T7:T8"/>
    <mergeCell ref="R13:R14"/>
    <mergeCell ref="S13:S14"/>
    <mergeCell ref="T13:T14"/>
    <mergeCell ref="U13:U14"/>
    <mergeCell ref="L19:L26"/>
    <mergeCell ref="R9:R10"/>
    <mergeCell ref="B29:B30"/>
    <mergeCell ref="H5:M5"/>
    <mergeCell ref="N5:Q5"/>
    <mergeCell ref="C27:C28"/>
    <mergeCell ref="B27:B28"/>
    <mergeCell ref="H19:H26"/>
    <mergeCell ref="I19:I26"/>
    <mergeCell ref="B7:B10"/>
    <mergeCell ref="B13:B14"/>
    <mergeCell ref="C5:C6"/>
    <mergeCell ref="B5:B6"/>
    <mergeCell ref="B20:B24"/>
    <mergeCell ref="C20:C24"/>
    <mergeCell ref="D5:G5"/>
    <mergeCell ref="C7:C10"/>
    <mergeCell ref="C13:C1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2016-04-07T00:20:11Z</dcterms:created>
  <dcterms:modified xsi:type="dcterms:W3CDTF">2016-05-02T12:19:12Z</dcterms:modified>
</cp:coreProperties>
</file>