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er/Desktop/saving-oneself-team-1/Report/"/>
    </mc:Choice>
  </mc:AlternateContent>
  <bookViews>
    <workbookView xWindow="0" yWindow="460" windowWidth="33600" windowHeight="20460" tabRatio="500" activeTab="1"/>
  </bookViews>
  <sheets>
    <sheet name="Finance" sheetId="3" r:id="rId1"/>
    <sheet name="Cashflow" sheetId="5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5" i="3" l="1"/>
  <c r="S44" i="3"/>
  <c r="S43" i="3"/>
  <c r="O40" i="3"/>
  <c r="N40" i="3"/>
  <c r="N39" i="3"/>
  <c r="AA10" i="5"/>
  <c r="AB10" i="5"/>
  <c r="AC10" i="5"/>
  <c r="AD10" i="5"/>
  <c r="Z10" i="5"/>
  <c r="P10" i="5"/>
  <c r="Q10" i="5"/>
  <c r="R10" i="5"/>
  <c r="S10" i="5"/>
  <c r="T10" i="5"/>
  <c r="U10" i="5"/>
  <c r="V10" i="5"/>
  <c r="W10" i="5"/>
  <c r="X10" i="5"/>
  <c r="Y10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C8" i="5"/>
  <c r="AD8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F23" i="5"/>
  <c r="AD7" i="5"/>
  <c r="Z7" i="5"/>
  <c r="T7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F15" i="5"/>
  <c r="F16" i="5"/>
  <c r="G22" i="5"/>
  <c r="H22" i="5"/>
  <c r="I22" i="5"/>
  <c r="J7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F22" i="5"/>
  <c r="E28" i="5"/>
  <c r="F13" i="5"/>
  <c r="F28" i="5"/>
  <c r="G13" i="5"/>
  <c r="G28" i="5"/>
  <c r="H13" i="5"/>
  <c r="H28" i="5"/>
  <c r="I13" i="5"/>
  <c r="I28" i="5"/>
  <c r="J13" i="5"/>
  <c r="J28" i="5"/>
  <c r="K13" i="5"/>
  <c r="K28" i="5"/>
  <c r="L13" i="5"/>
  <c r="L28" i="5"/>
  <c r="M13" i="5"/>
  <c r="M28" i="5"/>
  <c r="N13" i="5"/>
  <c r="N28" i="5"/>
  <c r="O13" i="5"/>
  <c r="O28" i="5"/>
  <c r="P13" i="5"/>
  <c r="P28" i="5"/>
  <c r="Q13" i="5"/>
  <c r="Q28" i="5"/>
  <c r="R13" i="5"/>
  <c r="R28" i="5"/>
  <c r="S13" i="5"/>
  <c r="S28" i="5"/>
  <c r="T13" i="5"/>
  <c r="T28" i="5"/>
  <c r="U13" i="5"/>
  <c r="U28" i="5"/>
  <c r="V13" i="5"/>
  <c r="V28" i="5"/>
  <c r="W13" i="5"/>
  <c r="W28" i="5"/>
  <c r="X13" i="5"/>
  <c r="X28" i="5"/>
  <c r="Y13" i="5"/>
  <c r="Y28" i="5"/>
  <c r="Z13" i="5"/>
  <c r="Z28" i="5"/>
  <c r="AA13" i="5"/>
  <c r="AA28" i="5"/>
  <c r="AB13" i="5"/>
  <c r="AB28" i="5"/>
  <c r="AC13" i="5"/>
  <c r="AC28" i="5"/>
  <c r="AD13" i="5"/>
  <c r="AD28" i="5"/>
  <c r="O27" i="3"/>
  <c r="N27" i="3"/>
  <c r="O29" i="3"/>
  <c r="O30" i="3"/>
  <c r="M42" i="3"/>
  <c r="L42" i="3"/>
  <c r="M41" i="3"/>
  <c r="N31" i="3"/>
  <c r="N29" i="3"/>
  <c r="Q27" i="3"/>
  <c r="Q29" i="3"/>
  <c r="Q30" i="3"/>
  <c r="O31" i="3"/>
  <c r="Q31" i="3"/>
  <c r="Q35" i="3"/>
  <c r="AG9" i="3"/>
  <c r="AG13" i="3"/>
  <c r="AI9" i="3"/>
  <c r="AI10" i="3"/>
  <c r="AI11" i="3"/>
  <c r="AI8" i="3"/>
  <c r="AG11" i="3"/>
  <c r="AG10" i="3"/>
  <c r="AG8" i="3"/>
  <c r="N11" i="3"/>
  <c r="O11" i="3"/>
  <c r="Q11" i="3"/>
  <c r="N12" i="3"/>
  <c r="O12" i="3"/>
  <c r="Q12" i="3"/>
  <c r="N13" i="3"/>
  <c r="O13" i="3"/>
  <c r="Q13" i="3"/>
  <c r="N16" i="3"/>
  <c r="O16" i="3"/>
  <c r="Q16" i="3"/>
  <c r="N17" i="3"/>
  <c r="O17" i="3"/>
  <c r="Q17" i="3"/>
  <c r="N18" i="3"/>
  <c r="O18" i="3"/>
  <c r="Q18" i="3"/>
  <c r="N19" i="3"/>
  <c r="O19" i="3"/>
  <c r="Q19" i="3"/>
  <c r="L27" i="3"/>
  <c r="S32" i="3"/>
  <c r="T31" i="3"/>
  <c r="T32" i="3"/>
  <c r="U32" i="3"/>
  <c r="V32" i="3"/>
  <c r="W32" i="3"/>
  <c r="U29" i="3"/>
  <c r="S29" i="3"/>
  <c r="V29" i="3"/>
  <c r="W29" i="3"/>
  <c r="U30" i="3"/>
  <c r="S30" i="3"/>
  <c r="V30" i="3"/>
  <c r="W30" i="3"/>
  <c r="W42" i="3"/>
  <c r="Y103" i="3"/>
  <c r="V123" i="3"/>
  <c r="V122" i="3"/>
  <c r="V120" i="3"/>
  <c r="V118" i="3"/>
  <c r="V110" i="3"/>
  <c r="V109" i="3"/>
  <c r="V108" i="3"/>
  <c r="V107" i="3"/>
  <c r="V106" i="3"/>
  <c r="V104" i="3"/>
  <c r="V103" i="3"/>
  <c r="V102" i="3"/>
  <c r="J76" i="3"/>
  <c r="J75" i="3"/>
  <c r="J74" i="3"/>
  <c r="J73" i="3"/>
  <c r="J72" i="3"/>
  <c r="J71" i="3"/>
  <c r="J59" i="3"/>
  <c r="J7" i="3"/>
  <c r="J8" i="3"/>
  <c r="J10" i="3"/>
  <c r="J11" i="3"/>
  <c r="J12" i="3"/>
  <c r="J13" i="3"/>
  <c r="J14" i="3"/>
  <c r="J19" i="3"/>
  <c r="J20" i="3"/>
  <c r="J21" i="3"/>
  <c r="J22" i="3"/>
  <c r="J23" i="3"/>
  <c r="J24" i="3"/>
  <c r="J25" i="3"/>
  <c r="J26" i="3"/>
  <c r="J27" i="3"/>
  <c r="J28" i="3"/>
  <c r="J32" i="3"/>
  <c r="J35" i="3"/>
  <c r="U21" i="3"/>
  <c r="S21" i="3"/>
  <c r="V21" i="3"/>
  <c r="W21" i="3"/>
  <c r="U27" i="3"/>
  <c r="S27" i="3"/>
  <c r="V27" i="3"/>
  <c r="W27" i="3"/>
  <c r="U31" i="3"/>
  <c r="S31" i="3"/>
  <c r="V31" i="3"/>
  <c r="W31" i="3"/>
  <c r="W35" i="3"/>
  <c r="AA11" i="3"/>
  <c r="AA12" i="3"/>
  <c r="AA13" i="3"/>
  <c r="AA15" i="3"/>
  <c r="AA16" i="3"/>
  <c r="AA17" i="3"/>
  <c r="AA18" i="3"/>
  <c r="AA19" i="3"/>
  <c r="AA27" i="3"/>
  <c r="AA29" i="3"/>
  <c r="AA31" i="3"/>
  <c r="AA32" i="3"/>
  <c r="AA35" i="3"/>
  <c r="C42" i="3"/>
  <c r="E38" i="3"/>
  <c r="C13" i="3"/>
  <c r="C35" i="3"/>
</calcChain>
</file>

<file path=xl/comments1.xml><?xml version="1.0" encoding="utf-8"?>
<comments xmlns="http://schemas.openxmlformats.org/spreadsheetml/2006/main">
  <authors>
    <author>Microsoft Office User</author>
  </authors>
  <commentList>
    <comment ref="G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http://www.ukforex.co.uk/forex-tools/historical-rate-tools/yearly-average-rates</t>
        </r>
      </text>
    </comment>
    <comment ref="O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file:///Users/Alexander/Downloads/hctguide2fig20.pdf</t>
        </r>
      </text>
    </comment>
    <comment ref="H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http://www.shopmedvet.com/product/ketamine-ciii-injection-100mg-ml-10ml</t>
        </r>
      </text>
    </comment>
    <comment ref="Z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http://www.payscale.com/research/UK/Job=General_Surgeon/Salary</t>
        </r>
      </text>
    </comment>
    <comment ref="H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http://www.shopmedvet.com/product/xylazine-injection-100mg-ml-50ml/rxx</t>
        </r>
      </text>
    </comment>
    <comment ref="H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https://www.praxisdienst.com/en/Emergency/Auxiliary+breathing+and+intubation/Oxygen+systems+tubes+and+accessories/Oxygen+flask/Oxygen+flask+filled+1+liter.html?cur=3&amp;speed=1&amp;gclid=CI3F4MPT_MsCFcsW0wodNjoAMA</t>
        </r>
      </text>
    </comment>
    <comment ref="Z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H1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http://www.scahealth.com/isoflurane-horse-dog-sedative.html</t>
        </r>
      </text>
    </comment>
    <comment ref="H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https://www.thermofisher.com/uk/en/home/life-science/cell-culture/mammalian-cell-culture/reagents/balanced-salt-solutions/pbs-phosphate-buffered-saline.html</t>
        </r>
      </text>
    </comment>
    <comment ref="Z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H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https://www.emsdiasum.com/microscopy/products/chemicals/glutaraldehyde.aspx</t>
        </r>
      </text>
    </comment>
    <comment ref="Z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H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https://www.emsdiasum.com/microscopy/products/chemicals/glutaraldehyde.aspx</t>
        </r>
      </text>
    </comment>
    <comment ref="Z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H1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http://www.chemicals.co.uk/ethylene-glycol</t>
        </r>
      </text>
    </comment>
    <comment ref="Z1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Z1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M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based on double commerical vibratome price
</t>
        </r>
      </text>
    </comment>
    <comment ref="Z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G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Brain volume x 10 = 1900x10
</t>
        </r>
      </text>
    </comment>
    <comment ref="H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http://www.sigmaaldrich.com/catalog/product/sigma/70114?lang=en&amp;region=GB</t>
        </r>
      </text>
    </comment>
    <comment ref="Z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G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BROPA spreadsheet</t>
        </r>
      </text>
    </comment>
    <comment ref="H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http://www.sigmaaldrich.com/catalog/product/sigma/75632?lang=en&amp;region=GB</t>
        </r>
      </text>
    </comment>
    <comment ref="H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http://www.sciencecompany.com/Potassium-Ferricyanide-100g-P6372.aspx</t>
        </r>
      </text>
    </comment>
    <comment ref="H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http://www.sigmaaldrich.com/catalog/product/sigma/97068?lang=en&amp;region=GB</t>
        </r>
      </text>
    </comment>
    <comment ref="H2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http://www.rightpricechemicals.com/buy-formamide-reagent-acs.html</t>
        </r>
      </text>
    </comment>
    <comment ref="H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http://www.sigmaaldrich.com/catalog/product/sigma/p0381?lang=en&amp;region=GB</t>
        </r>
      </text>
    </comment>
    <comment ref="G2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Brain volume x 10 = 1900x10
</t>
        </r>
      </text>
    </comment>
    <comment ref="H2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http://www.chemicals.co.uk/absolute-ethanol</t>
        </r>
      </text>
    </comment>
    <comment ref="G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Brain volume x 10 = 1900x10
</t>
        </r>
      </text>
    </comment>
    <comment ref="H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http://www.agarscientific.com/checkout/cart/</t>
        </r>
      </text>
    </comment>
    <comment ref="S3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>https://www.gov.uk/government/uploads/system/uploads/attachment_data/file/511316/QEP_Mar_2016_V2.pdf</t>
        </r>
      </text>
    </comment>
    <comment ref="T3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http://pdf.euro.savills.co.uk/uk/commercial-retail-uk/global-retail-destination-index--2016.pdf</t>
        </r>
      </text>
    </comment>
    <comment ref="O5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based on double commerical vibratome price
</t>
        </r>
      </text>
    </comment>
    <comment ref="O8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O8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O8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O8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O8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O8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O8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O8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0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http://www.payscale.com/research/UK/Job=General_Surgeon/Salary</t>
        </r>
      </text>
    </comment>
    <comment ref="N10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0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0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0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0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1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  <comment ref="N1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https://www.prospects.ac.uk/job-profiles/scientific-laboratory-technician</t>
        </r>
      </text>
    </comment>
  </commentList>
</comments>
</file>

<file path=xl/sharedStrings.xml><?xml version="1.0" encoding="utf-8"?>
<sst xmlns="http://schemas.openxmlformats.org/spreadsheetml/2006/main" count="1024" uniqueCount="186">
  <si>
    <t>Stage</t>
  </si>
  <si>
    <t>Materials</t>
  </si>
  <si>
    <t>Machinery</t>
  </si>
  <si>
    <t>Maintenance</t>
  </si>
  <si>
    <t>Utilities</t>
  </si>
  <si>
    <t>Staff</t>
  </si>
  <si>
    <t xml:space="preserve">Brain Removal </t>
  </si>
  <si>
    <t xml:space="preserve">Second Stage Sectioning </t>
  </si>
  <si>
    <t>Initial Fixation</t>
  </si>
  <si>
    <t>Cryopreservation</t>
  </si>
  <si>
    <t>Dehydration</t>
  </si>
  <si>
    <t>Embedding</t>
  </si>
  <si>
    <t>First Stage Sectioning</t>
  </si>
  <si>
    <t>ATUM</t>
  </si>
  <si>
    <t>Processing</t>
  </si>
  <si>
    <t>Imaging</t>
  </si>
  <si>
    <t xml:space="preserve">Storage </t>
  </si>
  <si>
    <t>Time (hours)</t>
  </si>
  <si>
    <t>Cost</t>
  </si>
  <si>
    <t>Ketamine</t>
  </si>
  <si>
    <t>Xylazine</t>
  </si>
  <si>
    <t xml:space="preserve">836 mg </t>
  </si>
  <si>
    <t>6.688 mg</t>
  </si>
  <si>
    <t>Oxygen</t>
  </si>
  <si>
    <t>1L</t>
  </si>
  <si>
    <t>Price/ unit</t>
  </si>
  <si>
    <t>Isoflurane</t>
  </si>
  <si>
    <t>0.05L</t>
  </si>
  <si>
    <t>Quantity Required</t>
  </si>
  <si>
    <t>Washout Solution</t>
  </si>
  <si>
    <t>Ethylene Glycol</t>
  </si>
  <si>
    <t>Vitrification</t>
  </si>
  <si>
    <t>Removal of CPA</t>
  </si>
  <si>
    <t>ethanol</t>
  </si>
  <si>
    <t>Pyrogallol</t>
  </si>
  <si>
    <t>UNICRYL</t>
  </si>
  <si>
    <t>$33.92/50ml</t>
  </si>
  <si>
    <t>£16.58/500ml</t>
  </si>
  <si>
    <t>Osmium tetroxide</t>
  </si>
  <si>
    <t>$34/250ml</t>
  </si>
  <si>
    <t>£278/L</t>
  </si>
  <si>
    <t>Fixative Solution</t>
  </si>
  <si>
    <t>33.75L</t>
  </si>
  <si>
    <t>£79.60/25L</t>
  </si>
  <si>
    <t>20.8L</t>
  </si>
  <si>
    <t>11.2L</t>
  </si>
  <si>
    <t>GBP/USD (2015 Average) for conversion</t>
  </si>
  <si>
    <t xml:space="preserve">Lab Assistant </t>
  </si>
  <si>
    <t>15L</t>
  </si>
  <si>
    <t>£88.3/100ml</t>
  </si>
  <si>
    <t>0.1 M cacodylate</t>
  </si>
  <si>
    <t>19l</t>
  </si>
  <si>
    <t>£237.15/ 250ml</t>
  </si>
  <si>
    <t>£265.06/2.5l</t>
  </si>
  <si>
    <t xml:space="preserve">Automated Perfusion Machine with Gradient Generator </t>
  </si>
  <si>
    <t>Manual Perfusion Machine</t>
  </si>
  <si>
    <t>Totals</t>
  </si>
  <si>
    <t>£83.56/L</t>
  </si>
  <si>
    <t>Surgical plane of Anaesthesia</t>
  </si>
  <si>
    <t xml:space="preserve">Skilled surgeon </t>
  </si>
  <si>
    <t>Compresstome</t>
  </si>
  <si>
    <t>Lynx II for Microscopy</t>
  </si>
  <si>
    <t>Proffession</t>
  </si>
  <si>
    <t>Quanity Required</t>
  </si>
  <si>
    <t>Wage</t>
  </si>
  <si>
    <t>£15,000/year</t>
  </si>
  <si>
    <t>£7.21/hour</t>
  </si>
  <si>
    <t>£75/hour</t>
  </si>
  <si>
    <t>Formamide</t>
  </si>
  <si>
    <t>Sodium Cacodylate Buffer</t>
  </si>
  <si>
    <t>BROPA</t>
  </si>
  <si>
    <t>Potassium ferrocyanid</t>
  </si>
  <si>
    <t>4.9kg</t>
  </si>
  <si>
    <t>42g</t>
  </si>
  <si>
    <t>15.3kg</t>
  </si>
  <si>
    <t>20.8kg</t>
  </si>
  <si>
    <t>11.4kg</t>
  </si>
  <si>
    <t>£194.5/10ml</t>
  </si>
  <si>
    <t>£7.17/100g</t>
  </si>
  <si>
    <t>£88.2/100ml</t>
  </si>
  <si>
    <t>£35.63/100g</t>
  </si>
  <si>
    <t>£120.50/500g</t>
  </si>
  <si>
    <t>Maintenance at 5% of value</t>
  </si>
  <si>
    <t>6*</t>
  </si>
  <si>
    <t>1*</t>
  </si>
  <si>
    <t>16*</t>
  </si>
  <si>
    <t>84*</t>
  </si>
  <si>
    <t xml:space="preserve">*For one sample only </t>
  </si>
  <si>
    <t>Inc. Controllable Isothermal Vapor Storage</t>
  </si>
  <si>
    <t>£4.91/10ml</t>
  </si>
  <si>
    <t>Grand Total</t>
  </si>
  <si>
    <t>Samples total</t>
  </si>
  <si>
    <t>Agarose</t>
  </si>
  <si>
    <t>ATUMtome</t>
  </si>
  <si>
    <t>Lab Technician</t>
  </si>
  <si>
    <t>**For one slice only (including 6h thaw time)</t>
  </si>
  <si>
    <t>8**</t>
  </si>
  <si>
    <t>1***</t>
  </si>
  <si>
    <t>***For one slice only</t>
  </si>
  <si>
    <t>Custom Vibratome</t>
  </si>
  <si>
    <t>Silicon wafers</t>
  </si>
  <si>
    <t>Kapton tape</t>
  </si>
  <si>
    <t>Stryker M810</t>
  </si>
  <si>
    <t>1kg</t>
  </si>
  <si>
    <t>10k</t>
  </si>
  <si>
    <t>£250/500g</t>
  </si>
  <si>
    <r>
      <t>OCZ</t>
    </r>
    <r>
      <rPr>
        <sz val="10"/>
        <color rgb="FF000000"/>
        <rFont val="Arial Unicode MS"/>
      </rPr>
      <t xml:space="preserve"> Vertex 4                                               </t>
    </r>
  </si>
  <si>
    <t xml:space="preserve">Robotic Arm Autoloader </t>
  </si>
  <si>
    <r>
      <t>ZEISS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MultiSEM</t>
    </r>
    <r>
      <rPr>
        <sz val="10"/>
        <color rgb="FF000000"/>
        <rFont val="Arial Unicode MS"/>
      </rPr>
      <t xml:space="preserve"> 506 and </t>
    </r>
    <r>
      <rPr>
        <u/>
        <sz val="10"/>
        <color rgb="FF000000"/>
        <rFont val="Arial Unicode MS"/>
      </rPr>
      <t>Axio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Imager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A2</t>
    </r>
    <r>
      <rPr>
        <sz val="10"/>
        <color rgb="FF000000"/>
        <rFont val="Arial Unicode MS"/>
      </rPr>
      <t xml:space="preserve"> </t>
    </r>
    <r>
      <rPr>
        <u/>
        <sz val="10"/>
        <color rgb="FF000000"/>
        <rFont val="Arial Unicode MS"/>
      </rPr>
      <t>Vario</t>
    </r>
  </si>
  <si>
    <r>
      <t>NVIDIA</t>
    </r>
    <r>
      <rPr>
        <sz val="10"/>
        <color rgb="FF000000"/>
        <rFont val="Arial Unicode MS"/>
      </rPr>
      <t xml:space="preserve"> Tesla </t>
    </r>
    <r>
      <rPr>
        <u/>
        <sz val="10"/>
        <color rgb="FF000000"/>
        <rFont val="Arial Unicode MS"/>
      </rPr>
      <t>K80</t>
    </r>
  </si>
  <si>
    <t>TOTAL/UNIT</t>
  </si>
  <si>
    <t xml:space="preserve">MACHINE TOTAL </t>
  </si>
  <si>
    <t>Power Consumption/hour</t>
  </si>
  <si>
    <t>1kw/machine</t>
  </si>
  <si>
    <t>Area/machine</t>
  </si>
  <si>
    <t>Power cost/machine</t>
  </si>
  <si>
    <t>Rent/machine</t>
  </si>
  <si>
    <t>Total/machine</t>
  </si>
  <si>
    <t>Utilities Total</t>
  </si>
  <si>
    <t>1m^2</t>
  </si>
  <si>
    <t>6.6 pence per kWh</t>
  </si>
  <si>
    <r>
      <t xml:space="preserve">£25.71 per </t>
    </r>
    <r>
      <rPr>
        <sz val="11"/>
        <color theme="1"/>
        <rFont val="CMMI10"/>
      </rPr>
      <t>m</t>
    </r>
    <r>
      <rPr>
        <sz val="8"/>
        <color theme="1"/>
        <rFont val="CMR8"/>
      </rPr>
      <t xml:space="preserve">2 </t>
    </r>
    <r>
      <rPr>
        <sz val="11"/>
        <color theme="1"/>
        <rFont val="NimbusSanL"/>
      </rPr>
      <t xml:space="preserve">per year </t>
    </r>
  </si>
  <si>
    <t>RENT</t>
  </si>
  <si>
    <t>POWER</t>
  </si>
  <si>
    <t>N/A TOO SMALL - Rent a lab for a week  £20,000</t>
  </si>
  <si>
    <t>300w/machine</t>
  </si>
  <si>
    <t>2.5w/machine</t>
  </si>
  <si>
    <t>Developer</t>
  </si>
  <si>
    <t>£50,000/year</t>
  </si>
  <si>
    <t>None</t>
  </si>
  <si>
    <t>4.5kw/machine</t>
  </si>
  <si>
    <t>Engineer</t>
  </si>
  <si>
    <t>3m^2</t>
  </si>
  <si>
    <t>&amp;</t>
  </si>
  <si>
    <r>
      <t>\multicolumn</t>
    </r>
    <r>
      <rPr>
        <sz val="10"/>
        <color rgb="FF000000"/>
        <rFont val="Arial Unicode MS"/>
      </rPr>
      <t>{1}{</t>
    </r>
    <r>
      <rPr>
        <u/>
        <sz val="10"/>
        <color rgb="FF000000"/>
        <rFont val="Arial Unicode MS"/>
      </rPr>
      <t>r|</t>
    </r>
    <r>
      <rPr>
        <sz val="10"/>
        <color rgb="FF000000"/>
        <rFont val="Arial Unicode MS"/>
      </rPr>
      <t>}{</t>
    </r>
  </si>
  <si>
    <t>\pounds</t>
  </si>
  <si>
    <t>}</t>
  </si>
  <si>
    <t>\\</t>
  </si>
  <si>
    <t>\hline</t>
  </si>
  <si>
    <t>Chemical Processing</t>
  </si>
  <si>
    <t>Machine</t>
  </si>
  <si>
    <t>Pre Chemical Processing</t>
  </si>
  <si>
    <t>N/A</t>
  </si>
  <si>
    <t>Power Consumption/ Machine</t>
  </si>
  <si>
    <t>1kW</t>
  </si>
  <si>
    <t>4.5kW</t>
  </si>
  <si>
    <t>0.3kW</t>
  </si>
  <si>
    <t>2.5kW</t>
  </si>
  <si>
    <t>$</t>
  </si>
  <si>
    <t>^2</t>
  </si>
  <si>
    <t>3.000m</t>
  </si>
  <si>
    <t>1.000m</t>
  </si>
  <si>
    <t>20.000m</t>
  </si>
  <si>
    <t>0.004m</t>
  </si>
  <si>
    <t>STAFF</t>
  </si>
  <si>
    <t>/hour</t>
  </si>
  <si>
    <t>7.21/hour</t>
  </si>
  <si>
    <t>75.00/hour</t>
  </si>
  <si>
    <t>15,000/year</t>
  </si>
  <si>
    <t>50,000/year</t>
  </si>
  <si>
    <t>Total Cost</t>
  </si>
  <si>
    <t>Cost Breakdown</t>
  </si>
  <si>
    <t>Total</t>
  </si>
  <si>
    <t>Year</t>
  </si>
  <si>
    <t>Expense</t>
  </si>
  <si>
    <t>Initial Cost</t>
  </si>
  <si>
    <t>Income</t>
  </si>
  <si>
    <t>Loan</t>
  </si>
  <si>
    <t>Research Grant</t>
  </si>
  <si>
    <t xml:space="preserve">Start 1st Brain </t>
  </si>
  <si>
    <t xml:space="preserve">Closing Balance </t>
  </si>
  <si>
    <t>Opening Balance</t>
  </si>
  <si>
    <t xml:space="preserve">Brain (cyrogenics) </t>
  </si>
  <si>
    <t>Brain (full process) Number</t>
  </si>
  <si>
    <t>Sales Figures</t>
  </si>
  <si>
    <t>Brain (full process) Price</t>
  </si>
  <si>
    <t>Brain (full process) Cost</t>
  </si>
  <si>
    <t>Brain (cyrogenics) Number</t>
  </si>
  <si>
    <t>Brain (cyrogenics) Cost</t>
  </si>
  <si>
    <t>Brain (cyrogenics) Price</t>
  </si>
  <si>
    <t xml:space="preserve">Loan replayment </t>
  </si>
  <si>
    <t>Varrible Costs</t>
  </si>
  <si>
    <t>25% price drop every 10 years</t>
  </si>
  <si>
    <t xml:space="preserve">Stake in the firm </t>
  </si>
  <si>
    <t>4% interest</t>
  </si>
  <si>
    <t xml:space="preserve">Profitable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</si>
</sst>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£&quot;#,##0_);[Red]\(&quot;£&quot;#,##0\)"/>
    <numFmt numFmtId="8" formatCode="&quot;£&quot;#,##0.00_);[Red]\(&quot;£&quot;#,##0.00\)"/>
    <numFmt numFmtId="164" formatCode="&quot;£&quot;#,##0;[Red]\-&quot;£&quot;#,##0"/>
    <numFmt numFmtId="165" formatCode="&quot;£&quot;#,##0.00;[Red]\-&quot;£&quot;#,##0.00"/>
    <numFmt numFmtId="166" formatCode="&quot;£&quot;#,##0.00"/>
    <numFmt numFmtId="167" formatCode="[$£-809]#,##0.00;[Red]\-[$£-809]#,##0.00"/>
    <numFmt numFmtId="168" formatCode="0.0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CC"/>
      <name val="Arial Unicode MS"/>
    </font>
    <font>
      <sz val="9"/>
      <name val="Arial"/>
      <family val="2"/>
    </font>
    <font>
      <sz val="10"/>
      <color rgb="FF008000"/>
      <name val="Arial Unicode MS"/>
    </font>
    <font>
      <sz val="12"/>
      <color rgb="FF373E4D"/>
      <name val="Helvetica"/>
    </font>
    <font>
      <sz val="10"/>
      <color indexed="81"/>
      <name val="Calibri"/>
    </font>
    <font>
      <b/>
      <sz val="10"/>
      <color indexed="81"/>
      <name val="Calibri"/>
    </font>
    <font>
      <sz val="13.2"/>
      <color rgb="FF333333"/>
      <name val="Inherit"/>
    </font>
    <font>
      <sz val="12"/>
      <color rgb="FF333333"/>
      <name val="Arial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80"/>
      <name val="Arial"/>
    </font>
    <font>
      <sz val="12"/>
      <color rgb="FF9C0006"/>
      <name val="Calibri"/>
      <family val="2"/>
      <scheme val="minor"/>
    </font>
    <font>
      <b/>
      <sz val="18"/>
      <color rgb="FF9C0006"/>
      <name val="Calibri"/>
      <scheme val="minor"/>
    </font>
    <font>
      <sz val="10"/>
      <color rgb="FF000000"/>
      <name val="Arial Unicode MS"/>
    </font>
    <font>
      <u/>
      <sz val="10"/>
      <color rgb="FF000000"/>
      <name val="Arial Unicode MS"/>
    </font>
    <font>
      <sz val="11"/>
      <color theme="1"/>
      <name val="NimbusSanL"/>
    </font>
    <font>
      <sz val="11"/>
      <color theme="1"/>
      <name val="CMMI10"/>
    </font>
    <font>
      <sz val="8"/>
      <color theme="1"/>
      <name val="CMR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800000"/>
      <name val="Arial Unicode MS"/>
    </font>
    <font>
      <b/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color rgb="FF222222"/>
      <name val="Arial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</borders>
  <cellStyleXfs count="6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5" fillId="5" borderId="0" applyNumberFormat="0" applyBorder="0" applyAlignment="0" applyProtection="0"/>
    <xf numFmtId="0" fontId="1" fillId="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10" borderId="0" applyNumberFormat="0" applyBorder="0" applyAlignment="0" applyProtection="0"/>
  </cellStyleXfs>
  <cellXfs count="200">
    <xf numFmtId="0" fontId="0" fillId="0" borderId="0" xfId="0"/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166" fontId="0" fillId="0" borderId="0" xfId="0" applyNumberFormat="1"/>
    <xf numFmtId="166" fontId="5" fillId="0" borderId="0" xfId="0" applyNumberFormat="1" applyFont="1"/>
    <xf numFmtId="0" fontId="13" fillId="0" borderId="0" xfId="1" applyFont="1" applyFill="1" applyAlignment="1">
      <alignment horizontal="center"/>
    </xf>
    <xf numFmtId="0" fontId="2" fillId="4" borderId="1" xfId="3" applyBorder="1"/>
    <xf numFmtId="0" fontId="2" fillId="3" borderId="1" xfId="2" applyBorder="1"/>
    <xf numFmtId="0" fontId="13" fillId="2" borderId="1" xfId="1" applyFont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0" fillId="0" borderId="0" xfId="0" applyBorder="1"/>
    <xf numFmtId="0" fontId="12" fillId="0" borderId="0" xfId="0" applyFont="1" applyBorder="1" applyAlignment="1">
      <alignment horizontal="center"/>
    </xf>
    <xf numFmtId="166" fontId="0" fillId="0" borderId="0" xfId="0" applyNumberFormat="1" applyBorder="1"/>
    <xf numFmtId="166" fontId="5" fillId="0" borderId="0" xfId="0" applyNumberFormat="1" applyFont="1" applyBorder="1" applyAlignment="1">
      <alignment horizontal="right"/>
    </xf>
    <xf numFmtId="0" fontId="5" fillId="0" borderId="0" xfId="0" applyFont="1" applyBorder="1"/>
    <xf numFmtId="166" fontId="5" fillId="0" borderId="0" xfId="0" applyNumberFormat="1" applyFont="1" applyBorder="1" applyAlignment="1">
      <alignment horizontal="left"/>
    </xf>
    <xf numFmtId="166" fontId="5" fillId="0" borderId="0" xfId="0" applyNumberFormat="1" applyFont="1" applyBorder="1"/>
    <xf numFmtId="0" fontId="13" fillId="2" borderId="0" xfId="1" applyFont="1" applyBorder="1" applyAlignment="1">
      <alignment horizontal="center" vertical="center"/>
    </xf>
    <xf numFmtId="0" fontId="12" fillId="0" borderId="0" xfId="0" applyFont="1" applyBorder="1"/>
    <xf numFmtId="0" fontId="0" fillId="3" borderId="1" xfId="2" applyFont="1" applyBorder="1"/>
    <xf numFmtId="3" fontId="2" fillId="4" borderId="1" xfId="3" applyNumberFormat="1" applyBorder="1" applyAlignment="1">
      <alignment horizontal="left"/>
    </xf>
    <xf numFmtId="166" fontId="2" fillId="3" borderId="1" xfId="2" applyNumberFormat="1" applyBorder="1"/>
    <xf numFmtId="8" fontId="2" fillId="3" borderId="1" xfId="2" applyNumberFormat="1" applyBorder="1" applyAlignment="1">
      <alignment horizontal="left"/>
    </xf>
    <xf numFmtId="0" fontId="2" fillId="3" borderId="1" xfId="2" applyBorder="1" applyAlignment="1">
      <alignment vertical="center"/>
    </xf>
    <xf numFmtId="166" fontId="2" fillId="3" borderId="1" xfId="2" applyNumberFormat="1" applyBorder="1" applyAlignment="1">
      <alignment horizontal="right"/>
    </xf>
    <xf numFmtId="166" fontId="2" fillId="3" borderId="1" xfId="2" applyNumberFormat="1" applyBorder="1" applyAlignment="1">
      <alignment horizontal="left"/>
    </xf>
    <xf numFmtId="0" fontId="3" fillId="3" borderId="1" xfId="2" applyFont="1" applyBorder="1"/>
    <xf numFmtId="0" fontId="3" fillId="4" borderId="1" xfId="3" applyFont="1" applyBorder="1"/>
    <xf numFmtId="0" fontId="0" fillId="4" borderId="1" xfId="3" applyFont="1" applyBorder="1"/>
    <xf numFmtId="166" fontId="2" fillId="4" borderId="1" xfId="3" applyNumberFormat="1" applyBorder="1"/>
    <xf numFmtId="0" fontId="2" fillId="3" borderId="1" xfId="2" applyBorder="1" applyAlignment="1">
      <alignment horizontal="center" vertical="center"/>
    </xf>
    <xf numFmtId="166" fontId="2" fillId="3" borderId="1" xfId="2" applyNumberFormat="1" applyBorder="1" applyAlignment="1">
      <alignment horizontal="center" vertical="center"/>
    </xf>
    <xf numFmtId="0" fontId="0" fillId="3" borderId="1" xfId="2" applyFont="1" applyBorder="1" applyAlignment="1">
      <alignment vertical="center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left"/>
    </xf>
    <xf numFmtId="0" fontId="14" fillId="0" borderId="0" xfId="0" applyFont="1"/>
    <xf numFmtId="0" fontId="2" fillId="3" borderId="5" xfId="2" applyBorder="1" applyAlignment="1">
      <alignment horizontal="center"/>
    </xf>
    <xf numFmtId="166" fontId="2" fillId="3" borderId="5" xfId="2" applyNumberFormat="1" applyBorder="1" applyAlignment="1">
      <alignment horizontal="center"/>
    </xf>
    <xf numFmtId="0" fontId="0" fillId="4" borderId="1" xfId="3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166" fontId="3" fillId="3" borderId="1" xfId="2" applyNumberFormat="1" applyFont="1" applyBorder="1"/>
    <xf numFmtId="166" fontId="3" fillId="4" borderId="1" xfId="3" applyNumberFormat="1" applyFont="1" applyBorder="1"/>
    <xf numFmtId="166" fontId="0" fillId="0" borderId="0" xfId="0" applyNumberFormat="1" applyAlignment="1">
      <alignment horizontal="left"/>
    </xf>
    <xf numFmtId="166" fontId="5" fillId="0" borderId="0" xfId="0" applyNumberFormat="1" applyFont="1" applyAlignment="1">
      <alignment horizontal="left"/>
    </xf>
    <xf numFmtId="166" fontId="13" fillId="2" borderId="0" xfId="1" applyNumberFormat="1" applyFont="1" applyBorder="1" applyAlignment="1">
      <alignment horizontal="center" vertical="center"/>
    </xf>
    <xf numFmtId="0" fontId="16" fillId="5" borderId="0" xfId="4" applyFont="1"/>
    <xf numFmtId="166" fontId="16" fillId="5" borderId="0" xfId="4" applyNumberFormat="1" applyFont="1"/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164" fontId="2" fillId="4" borderId="1" xfId="3" applyNumberFormat="1" applyBorder="1"/>
    <xf numFmtId="166" fontId="0" fillId="3" borderId="1" xfId="2" applyNumberFormat="1" applyFont="1" applyBorder="1"/>
    <xf numFmtId="165" fontId="0" fillId="3" borderId="1" xfId="2" applyNumberFormat="1" applyFont="1" applyBorder="1"/>
    <xf numFmtId="11" fontId="0" fillId="4" borderId="5" xfId="3" applyNumberFormat="1" applyFont="1" applyBorder="1" applyAlignment="1">
      <alignment horizontal="center" vertical="center"/>
    </xf>
    <xf numFmtId="11" fontId="0" fillId="4" borderId="6" xfId="3" applyNumberFormat="1" applyFont="1" applyBorder="1" applyAlignment="1">
      <alignment horizontal="center" vertical="center"/>
    </xf>
    <xf numFmtId="0" fontId="13" fillId="2" borderId="5" xfId="1" applyFont="1" applyBorder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0" fillId="4" borderId="5" xfId="3" applyFont="1" applyBorder="1" applyAlignment="1">
      <alignment horizontal="center" vertical="center"/>
    </xf>
    <xf numFmtId="0" fontId="2" fillId="4" borderId="7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166" fontId="2" fillId="4" borderId="5" xfId="3" applyNumberFormat="1" applyBorder="1" applyAlignment="1">
      <alignment horizontal="center" vertical="center"/>
    </xf>
    <xf numFmtId="166" fontId="2" fillId="4" borderId="7" xfId="3" applyNumberFormat="1" applyBorder="1" applyAlignment="1">
      <alignment horizontal="center" vertical="center"/>
    </xf>
    <xf numFmtId="166" fontId="2" fillId="4" borderId="6" xfId="3" applyNumberFormat="1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166" fontId="0" fillId="4" borderId="1" xfId="3" applyNumberFormat="1" applyFont="1" applyBorder="1"/>
    <xf numFmtId="166" fontId="0" fillId="3" borderId="1" xfId="2" applyNumberFormat="1" applyFont="1" applyBorder="1" applyAlignment="1">
      <alignment horizontal="right"/>
    </xf>
    <xf numFmtId="0" fontId="0" fillId="6" borderId="1" xfId="5" applyFont="1" applyBorder="1"/>
    <xf numFmtId="0" fontId="1" fillId="6" borderId="5" xfId="5" applyBorder="1"/>
    <xf numFmtId="0" fontId="1" fillId="6" borderId="6" xfId="5" applyBorder="1"/>
    <xf numFmtId="0" fontId="1" fillId="6" borderId="1" xfId="5" applyBorder="1"/>
    <xf numFmtId="0" fontId="1" fillId="6" borderId="7" xfId="5" applyBorder="1"/>
    <xf numFmtId="6" fontId="2" fillId="4" borderId="1" xfId="3" applyNumberFormat="1" applyBorder="1"/>
    <xf numFmtId="6" fontId="0" fillId="4" borderId="1" xfId="3" applyNumberFormat="1" applyFont="1" applyBorder="1"/>
    <xf numFmtId="0" fontId="1" fillId="6" borderId="4" xfId="5" applyBorder="1" applyAlignment="1">
      <alignment horizontal="center"/>
    </xf>
    <xf numFmtId="0" fontId="0" fillId="6" borderId="10" xfId="5" applyFont="1" applyBorder="1" applyAlignment="1">
      <alignment vertical="center"/>
    </xf>
    <xf numFmtId="0" fontId="0" fillId="6" borderId="12" xfId="5" applyFont="1" applyBorder="1" applyAlignment="1">
      <alignment vertical="center"/>
    </xf>
    <xf numFmtId="0" fontId="0" fillId="6" borderId="15" xfId="5" applyFont="1" applyBorder="1" applyAlignment="1">
      <alignment vertical="center"/>
    </xf>
    <xf numFmtId="166" fontId="1" fillId="6" borderId="5" xfId="5" applyNumberFormat="1" applyBorder="1"/>
    <xf numFmtId="166" fontId="1" fillId="6" borderId="7" xfId="5" applyNumberFormat="1" applyBorder="1"/>
    <xf numFmtId="166" fontId="1" fillId="6" borderId="6" xfId="5" applyNumberFormat="1" applyBorder="1"/>
    <xf numFmtId="166" fontId="1" fillId="6" borderId="1" xfId="5" applyNumberFormat="1" applyBorder="1"/>
    <xf numFmtId="0" fontId="19" fillId="0" borderId="0" xfId="0" applyFont="1"/>
    <xf numFmtId="0" fontId="24" fillId="0" borderId="0" xfId="0" applyFont="1"/>
    <xf numFmtId="0" fontId="5" fillId="0" borderId="0" xfId="0" applyFont="1" applyAlignment="1">
      <alignment horizontal="left"/>
    </xf>
    <xf numFmtId="0" fontId="25" fillId="7" borderId="1" xfId="0" applyFont="1" applyFill="1" applyBorder="1"/>
    <xf numFmtId="0" fontId="5" fillId="0" borderId="0" xfId="0" applyFont="1"/>
    <xf numFmtId="0" fontId="26" fillId="0" borderId="0" xfId="0" applyFont="1"/>
    <xf numFmtId="4" fontId="5" fillId="0" borderId="0" xfId="0" applyNumberFormat="1" applyFont="1"/>
    <xf numFmtId="166" fontId="24" fillId="7" borderId="1" xfId="0" applyNumberFormat="1" applyFont="1" applyFill="1" applyBorder="1"/>
    <xf numFmtId="0" fontId="27" fillId="8" borderId="5" xfId="0" applyFont="1" applyFill="1" applyBorder="1" applyAlignment="1">
      <alignment horizontal="center" vertical="center"/>
    </xf>
    <xf numFmtId="167" fontId="24" fillId="0" borderId="0" xfId="0" applyNumberFormat="1" applyFont="1"/>
    <xf numFmtId="0" fontId="27" fillId="8" borderId="6" xfId="0" applyFont="1" applyFill="1" applyBorder="1" applyAlignment="1">
      <alignment horizontal="center" vertical="center"/>
    </xf>
    <xf numFmtId="2" fontId="5" fillId="0" borderId="0" xfId="0" applyNumberFormat="1" applyFont="1"/>
    <xf numFmtId="166" fontId="24" fillId="0" borderId="0" xfId="0" applyNumberFormat="1" applyFont="1"/>
    <xf numFmtId="0" fontId="0" fillId="4" borderId="5" xfId="3" applyFont="1" applyBorder="1" applyAlignment="1">
      <alignment vertical="center"/>
    </xf>
    <xf numFmtId="4" fontId="0" fillId="4" borderId="5" xfId="3" applyNumberFormat="1" applyFont="1" applyBorder="1" applyAlignment="1">
      <alignment vertical="center"/>
    </xf>
    <xf numFmtId="2" fontId="24" fillId="7" borderId="6" xfId="0" applyNumberFormat="1" applyFont="1" applyFill="1" applyBorder="1"/>
    <xf numFmtId="2" fontId="24" fillId="7" borderId="5" xfId="0" applyNumberFormat="1" applyFont="1" applyFill="1" applyBorder="1" applyAlignment="1">
      <alignment vertical="center"/>
    </xf>
    <xf numFmtId="2" fontId="2" fillId="4" borderId="1" xfId="3" applyNumberFormat="1" applyBorder="1"/>
    <xf numFmtId="2" fontId="0" fillId="4" borderId="1" xfId="3" applyNumberFormat="1" applyFont="1" applyBorder="1"/>
    <xf numFmtId="2" fontId="2" fillId="4" borderId="5" xfId="3" applyNumberFormat="1" applyBorder="1" applyAlignment="1">
      <alignment vertical="center"/>
    </xf>
    <xf numFmtId="2" fontId="2" fillId="4" borderId="1" xfId="3" applyNumberFormat="1" applyBorder="1" applyAlignment="1">
      <alignment horizontal="left"/>
    </xf>
    <xf numFmtId="2" fontId="0" fillId="0" borderId="0" xfId="0" applyNumberFormat="1"/>
    <xf numFmtId="168" fontId="0" fillId="6" borderId="1" xfId="5" applyNumberFormat="1" applyFont="1" applyBorder="1"/>
    <xf numFmtId="0" fontId="2" fillId="4" borderId="1" xfId="3" applyNumberFormat="1" applyBorder="1"/>
    <xf numFmtId="0" fontId="0" fillId="0" borderId="0" xfId="0" applyNumberFormat="1"/>
    <xf numFmtId="2" fontId="1" fillId="6" borderId="1" xfId="5" applyNumberFormat="1" applyBorder="1"/>
    <xf numFmtId="2" fontId="0" fillId="0" borderId="0" xfId="0" applyNumberFormat="1" applyBorder="1"/>
    <xf numFmtId="2" fontId="0" fillId="6" borderId="12" xfId="5" applyNumberFormat="1" applyFont="1" applyBorder="1" applyAlignment="1">
      <alignment vertical="center"/>
    </xf>
    <xf numFmtId="0" fontId="25" fillId="7" borderId="0" xfId="0" applyFont="1" applyFill="1" applyBorder="1"/>
    <xf numFmtId="2" fontId="2" fillId="4" borderId="0" xfId="3" applyNumberFormat="1" applyBorder="1"/>
    <xf numFmtId="2" fontId="0" fillId="4" borderId="0" xfId="3" applyNumberFormat="1" applyFont="1" applyBorder="1"/>
    <xf numFmtId="2" fontId="2" fillId="4" borderId="0" xfId="3" applyNumberFormat="1" applyBorder="1" applyAlignment="1">
      <alignment vertical="center"/>
    </xf>
    <xf numFmtId="2" fontId="2" fillId="4" borderId="0" xfId="3" applyNumberFormat="1" applyBorder="1" applyAlignment="1">
      <alignment horizontal="left"/>
    </xf>
    <xf numFmtId="0" fontId="0" fillId="6" borderId="0" xfId="5" applyFont="1" applyBorder="1"/>
    <xf numFmtId="168" fontId="0" fillId="6" borderId="0" xfId="5" applyNumberFormat="1" applyFont="1" applyBorder="1"/>
    <xf numFmtId="168" fontId="0" fillId="4" borderId="1" xfId="3" applyNumberFormat="1" applyFont="1" applyBorder="1"/>
    <xf numFmtId="0" fontId="2" fillId="4" borderId="5" xfId="3" applyBorder="1" applyAlignment="1">
      <alignment horizontal="center" vertical="center"/>
    </xf>
    <xf numFmtId="11" fontId="0" fillId="4" borderId="7" xfId="3" applyNumberFormat="1" applyFont="1" applyBorder="1" applyAlignment="1">
      <alignment horizontal="center" vertical="center"/>
    </xf>
    <xf numFmtId="0" fontId="0" fillId="4" borderId="0" xfId="3" applyFont="1" applyBorder="1"/>
    <xf numFmtId="0" fontId="2" fillId="4" borderId="0" xfId="3" applyBorder="1"/>
    <xf numFmtId="0" fontId="0" fillId="4" borderId="0" xfId="3" applyFont="1" applyBorder="1" applyAlignment="1">
      <alignment vertical="center"/>
    </xf>
    <xf numFmtId="0" fontId="0" fillId="0" borderId="9" xfId="0" applyBorder="1" applyAlignment="1"/>
    <xf numFmtId="0" fontId="0" fillId="0" borderId="0" xfId="0" applyAlignment="1"/>
    <xf numFmtId="0" fontId="0" fillId="3" borderId="5" xfId="2" applyFont="1" applyBorder="1" applyAlignment="1">
      <alignment vertical="center"/>
    </xf>
    <xf numFmtId="0" fontId="2" fillId="3" borderId="5" xfId="2" applyBorder="1" applyAlignment="1">
      <alignment vertical="center"/>
    </xf>
    <xf numFmtId="4" fontId="17" fillId="0" borderId="0" xfId="0" applyNumberFormat="1" applyFont="1"/>
    <xf numFmtId="0" fontId="28" fillId="9" borderId="18" xfId="10" applyFill="1"/>
    <xf numFmtId="166" fontId="28" fillId="9" borderId="18" xfId="10" applyNumberFormat="1" applyFill="1"/>
    <xf numFmtId="166" fontId="2" fillId="4" borderId="5" xfId="3" applyNumberFormat="1" applyBorder="1" applyAlignment="1">
      <alignment horizontal="center" vertical="center"/>
    </xf>
    <xf numFmtId="166" fontId="2" fillId="4" borderId="7" xfId="3" applyNumberFormat="1" applyBorder="1" applyAlignment="1">
      <alignment horizontal="center" vertical="center"/>
    </xf>
    <xf numFmtId="166" fontId="2" fillId="4" borderId="6" xfId="3" applyNumberForma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166" fontId="2" fillId="3" borderId="5" xfId="2" applyNumberFormat="1" applyBorder="1" applyAlignment="1">
      <alignment horizontal="center" vertical="center"/>
    </xf>
    <xf numFmtId="166" fontId="2" fillId="3" borderId="6" xfId="2" applyNumberFormat="1" applyBorder="1" applyAlignment="1">
      <alignment horizontal="center" vertical="center"/>
    </xf>
    <xf numFmtId="0" fontId="3" fillId="3" borderId="2" xfId="2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3" borderId="3" xfId="2" applyFont="1" applyBorder="1" applyAlignment="1">
      <alignment horizontal="center"/>
    </xf>
    <xf numFmtId="0" fontId="0" fillId="3" borderId="5" xfId="2" applyFont="1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166" fontId="2" fillId="3" borderId="7" xfId="2" applyNumberFormat="1" applyBorder="1" applyAlignment="1">
      <alignment horizontal="center" vertical="center"/>
    </xf>
    <xf numFmtId="0" fontId="0" fillId="3" borderId="6" xfId="2" applyFont="1" applyBorder="1" applyAlignment="1">
      <alignment horizontal="center" vertical="center"/>
    </xf>
    <xf numFmtId="0" fontId="3" fillId="3" borderId="1" xfId="2" applyFont="1" applyBorder="1" applyAlignment="1">
      <alignment horizontal="center"/>
    </xf>
    <xf numFmtId="0" fontId="2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4" fontId="2" fillId="4" borderId="5" xfId="3" applyNumberFormat="1" applyBorder="1" applyAlignment="1">
      <alignment horizontal="center" vertical="center"/>
    </xf>
    <xf numFmtId="4" fontId="2" fillId="4" borderId="7" xfId="3" applyNumberFormat="1" applyBorder="1" applyAlignment="1">
      <alignment horizontal="center" vertical="center"/>
    </xf>
    <xf numFmtId="4" fontId="2" fillId="4" borderId="6" xfId="3" applyNumberFormat="1" applyBorder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0" fontId="27" fillId="8" borderId="17" xfId="0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/>
    </xf>
    <xf numFmtId="0" fontId="3" fillId="4" borderId="2" xfId="3" applyFont="1" applyBorder="1" applyAlignment="1">
      <alignment horizontal="center"/>
    </xf>
    <xf numFmtId="0" fontId="3" fillId="4" borderId="4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166" fontId="3" fillId="4" borderId="5" xfId="3" applyNumberFormat="1" applyFont="1" applyBorder="1" applyAlignment="1">
      <alignment horizontal="center" vertical="center"/>
    </xf>
    <xf numFmtId="166" fontId="3" fillId="4" borderId="7" xfId="3" applyNumberFormat="1" applyFont="1" applyBorder="1" applyAlignment="1">
      <alignment horizontal="center" vertical="center"/>
    </xf>
    <xf numFmtId="166" fontId="3" fillId="4" borderId="6" xfId="3" applyNumberFormat="1" applyFont="1" applyBorder="1" applyAlignment="1">
      <alignment horizontal="center" vertical="center"/>
    </xf>
    <xf numFmtId="0" fontId="0" fillId="6" borderId="2" xfId="5" applyFont="1" applyBorder="1" applyAlignment="1">
      <alignment horizontal="center"/>
    </xf>
    <xf numFmtId="0" fontId="1" fillId="6" borderId="4" xfId="5" applyBorder="1" applyAlignment="1">
      <alignment horizontal="center"/>
    </xf>
    <xf numFmtId="0" fontId="1" fillId="6" borderId="3" xfId="5" applyBorder="1" applyAlignment="1">
      <alignment horizontal="center"/>
    </xf>
    <xf numFmtId="0" fontId="0" fillId="6" borderId="8" xfId="5" applyFont="1" applyBorder="1" applyAlignment="1">
      <alignment horizontal="center" vertical="center"/>
    </xf>
    <xf numFmtId="0" fontId="0" fillId="6" borderId="9" xfId="5" applyFont="1" applyBorder="1" applyAlignment="1">
      <alignment horizontal="center" vertical="center"/>
    </xf>
    <xf numFmtId="0" fontId="0" fillId="6" borderId="11" xfId="5" applyFont="1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0" fontId="0" fillId="6" borderId="13" xfId="5" applyFont="1" applyBorder="1" applyAlignment="1">
      <alignment horizontal="center" vertical="center"/>
    </xf>
    <xf numFmtId="0" fontId="0" fillId="6" borderId="14" xfId="5" applyFont="1" applyBorder="1" applyAlignment="1">
      <alignment horizontal="center" vertical="center"/>
    </xf>
    <xf numFmtId="0" fontId="13" fillId="2" borderId="5" xfId="1" applyFont="1" applyBorder="1" applyAlignment="1">
      <alignment horizontal="center" vertical="center"/>
    </xf>
    <xf numFmtId="0" fontId="13" fillId="2" borderId="6" xfId="1" applyFont="1" applyBorder="1" applyAlignment="1">
      <alignment horizontal="center" vertical="center"/>
    </xf>
    <xf numFmtId="0" fontId="0" fillId="4" borderId="5" xfId="3" applyFont="1" applyBorder="1" applyAlignment="1">
      <alignment horizontal="left" vertical="center"/>
    </xf>
    <xf numFmtId="0" fontId="0" fillId="4" borderId="7" xfId="3" applyFont="1" applyBorder="1" applyAlignment="1">
      <alignment horizontal="left" vertical="center"/>
    </xf>
    <xf numFmtId="0" fontId="0" fillId="4" borderId="6" xfId="3" applyFont="1" applyBorder="1" applyAlignment="1">
      <alignment horizontal="left" vertical="center"/>
    </xf>
    <xf numFmtId="4" fontId="0" fillId="4" borderId="5" xfId="3" applyNumberFormat="1" applyFont="1" applyBorder="1" applyAlignment="1">
      <alignment horizontal="center" vertical="center"/>
    </xf>
    <xf numFmtId="11" fontId="0" fillId="4" borderId="5" xfId="3" applyNumberFormat="1" applyFont="1" applyBorder="1" applyAlignment="1">
      <alignment horizontal="center" vertical="center"/>
    </xf>
    <xf numFmtId="11" fontId="0" fillId="4" borderId="7" xfId="3" applyNumberFormat="1" applyFont="1" applyBorder="1" applyAlignment="1">
      <alignment horizontal="center" vertical="center"/>
    </xf>
    <xf numFmtId="11" fontId="0" fillId="4" borderId="6" xfId="3" applyNumberFormat="1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0" fillId="4" borderId="5" xfId="3" applyFont="1" applyBorder="1" applyAlignment="1">
      <alignment horizontal="center" vertical="center"/>
    </xf>
    <xf numFmtId="0" fontId="2" fillId="4" borderId="7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29" fillId="10" borderId="0" xfId="63"/>
    <xf numFmtId="0" fontId="15" fillId="5" borderId="0" xfId="4"/>
    <xf numFmtId="0" fontId="29" fillId="10" borderId="0" xfId="63" applyAlignment="1">
      <alignment horizontal="center" vertical="center"/>
    </xf>
    <xf numFmtId="0" fontId="29" fillId="10" borderId="0" xfId="63" applyAlignment="1">
      <alignment horizontal="center" vertical="center"/>
    </xf>
    <xf numFmtId="166" fontId="29" fillId="10" borderId="0" xfId="63" applyNumberFormat="1"/>
    <xf numFmtId="166" fontId="15" fillId="5" borderId="0" xfId="4" applyNumberFormat="1"/>
    <xf numFmtId="1" fontId="0" fillId="0" borderId="0" xfId="0" applyNumberFormat="1"/>
    <xf numFmtId="0" fontId="30" fillId="0" borderId="0" xfId="0" applyFont="1"/>
  </cellXfs>
  <cellStyles count="64">
    <cellStyle name="20% - Accent1" xfId="1" builtinId="30"/>
    <cellStyle name="40% - Accent1" xfId="2" builtinId="31"/>
    <cellStyle name="40% - Accent4" xfId="5" builtinId="43"/>
    <cellStyle name="40% - Accent6" xfId="3" builtinId="51"/>
    <cellStyle name="Bad" xfId="4" builtinId="27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Good" xfId="63" builtinId="26"/>
    <cellStyle name="Heading 1" xfId="10" builtinId="16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R125"/>
  <sheetViews>
    <sheetView topLeftCell="A15" workbookViewId="0">
      <selection activeCell="C42" sqref="C42"/>
    </sheetView>
  </sheetViews>
  <sheetFormatPr baseColWidth="10" defaultColWidth="11" defaultRowHeight="16" x14ac:dyDescent="0.2"/>
  <cols>
    <col min="2" max="2" width="23.33203125" bestFit="1" customWidth="1"/>
    <col min="3" max="3" width="25.83203125" bestFit="1" customWidth="1"/>
    <col min="4" max="4" width="25.83203125" customWidth="1"/>
    <col min="5" max="6" width="29.33203125" customWidth="1"/>
    <col min="7" max="7" width="16" bestFit="1" customWidth="1"/>
    <col min="8" max="9" width="18.33203125" customWidth="1"/>
    <col min="10" max="10" width="21.6640625" customWidth="1"/>
    <col min="11" max="11" width="62.5" customWidth="1"/>
    <col min="12" max="12" width="21" bestFit="1" customWidth="1"/>
    <col min="13" max="13" width="17.5" customWidth="1"/>
    <col min="14" max="14" width="22.5" style="8" customWidth="1"/>
    <col min="15" max="15" width="23.6640625" style="8" bestFit="1" customWidth="1"/>
    <col min="16" max="16" width="23.6640625" style="8" customWidth="1"/>
    <col min="17" max="17" width="20.6640625" customWidth="1"/>
    <col min="18" max="18" width="14.83203125" customWidth="1"/>
    <col min="19" max="19" width="17.83203125" bestFit="1" customWidth="1"/>
    <col min="20" max="22" width="14.83203125" customWidth="1"/>
    <col min="23" max="23" width="18.33203125" customWidth="1"/>
    <col min="24" max="26" width="17" style="15" customWidth="1"/>
    <col min="27" max="27" width="19" style="17" customWidth="1"/>
    <col min="28" max="28" width="16" customWidth="1"/>
    <col min="29" max="29" width="20.33203125" style="15" customWidth="1"/>
    <col min="30" max="30" width="15" customWidth="1"/>
    <col min="32" max="32" width="39.5" bestFit="1" customWidth="1"/>
    <col min="33" max="33" width="26.5" customWidth="1"/>
    <col min="35" max="35" width="19.1640625" customWidth="1"/>
  </cols>
  <sheetData>
    <row r="2" spans="2:35" x14ac:dyDescent="0.2">
      <c r="E2" t="s">
        <v>46</v>
      </c>
      <c r="G2" s="7">
        <v>1.5285040000000001</v>
      </c>
    </row>
    <row r="3" spans="2:35" x14ac:dyDescent="0.2">
      <c r="O3" s="8" t="s">
        <v>82</v>
      </c>
    </row>
    <row r="4" spans="2:35" x14ac:dyDescent="0.2">
      <c r="E4" s="1"/>
      <c r="F4" s="1"/>
    </row>
    <row r="5" spans="2:35" ht="19" x14ac:dyDescent="0.25">
      <c r="B5" s="160" t="s">
        <v>0</v>
      </c>
      <c r="C5" s="187" t="s">
        <v>17</v>
      </c>
      <c r="D5" s="62"/>
      <c r="E5" s="154" t="s">
        <v>1</v>
      </c>
      <c r="F5" s="154"/>
      <c r="G5" s="154"/>
      <c r="H5" s="154"/>
      <c r="I5" s="154"/>
      <c r="J5" s="154"/>
      <c r="K5" s="163" t="s">
        <v>2</v>
      </c>
      <c r="L5" s="164"/>
      <c r="M5" s="164"/>
      <c r="N5" s="164"/>
      <c r="O5" s="164"/>
      <c r="P5" s="164"/>
      <c r="Q5" s="165"/>
      <c r="R5" s="169" t="s">
        <v>4</v>
      </c>
      <c r="S5" s="170"/>
      <c r="T5" s="170"/>
      <c r="U5" s="170"/>
      <c r="V5" s="171"/>
      <c r="W5" s="83"/>
      <c r="X5" s="147" t="s">
        <v>5</v>
      </c>
      <c r="Y5" s="148"/>
      <c r="Z5" s="148"/>
      <c r="AA5" s="149"/>
      <c r="AB5" s="23"/>
      <c r="AC5" s="16"/>
    </row>
    <row r="6" spans="2:35" x14ac:dyDescent="0.2">
      <c r="B6" s="160"/>
      <c r="C6" s="187"/>
      <c r="D6" s="62"/>
      <c r="E6" s="31" t="s">
        <v>1</v>
      </c>
      <c r="F6" s="31"/>
      <c r="G6" s="31" t="s">
        <v>28</v>
      </c>
      <c r="H6" s="31" t="s">
        <v>25</v>
      </c>
      <c r="I6" s="31"/>
      <c r="J6" s="31" t="s">
        <v>18</v>
      </c>
      <c r="K6" s="32" t="s">
        <v>2</v>
      </c>
      <c r="L6" s="32" t="s">
        <v>28</v>
      </c>
      <c r="M6" s="32" t="s">
        <v>25</v>
      </c>
      <c r="N6" s="34" t="s">
        <v>3</v>
      </c>
      <c r="O6" s="34" t="s">
        <v>110</v>
      </c>
      <c r="P6" s="34"/>
      <c r="Q6" s="47" t="s">
        <v>111</v>
      </c>
      <c r="R6" s="76" t="s">
        <v>112</v>
      </c>
      <c r="S6" s="76" t="s">
        <v>115</v>
      </c>
      <c r="T6" s="76" t="s">
        <v>114</v>
      </c>
      <c r="U6" s="76" t="s">
        <v>116</v>
      </c>
      <c r="V6" s="76" t="s">
        <v>117</v>
      </c>
      <c r="W6" s="76" t="s">
        <v>118</v>
      </c>
      <c r="X6" s="31" t="s">
        <v>62</v>
      </c>
      <c r="Y6" s="31" t="s">
        <v>63</v>
      </c>
      <c r="Z6" s="31" t="s">
        <v>64</v>
      </c>
      <c r="AA6" s="46" t="s">
        <v>18</v>
      </c>
      <c r="AB6" s="15"/>
    </row>
    <row r="7" spans="2:35" ht="21" thickBot="1" x14ac:dyDescent="0.3">
      <c r="B7" s="160" t="s">
        <v>58</v>
      </c>
      <c r="C7" s="155">
        <v>0.5</v>
      </c>
      <c r="D7" s="66"/>
      <c r="E7" s="12" t="s">
        <v>19</v>
      </c>
      <c r="F7" s="12"/>
      <c r="G7" s="12" t="s">
        <v>22</v>
      </c>
      <c r="H7" s="24" t="s">
        <v>89</v>
      </c>
      <c r="I7" s="24"/>
      <c r="J7" s="26">
        <f>7.5/G2</f>
        <v>4.9067585037396038</v>
      </c>
      <c r="K7" s="11"/>
      <c r="L7" s="11"/>
      <c r="M7" s="11"/>
      <c r="N7" s="34"/>
      <c r="O7" s="34"/>
      <c r="P7" s="34"/>
      <c r="Q7" s="47"/>
      <c r="R7" s="172" t="s">
        <v>124</v>
      </c>
      <c r="S7" s="173"/>
      <c r="T7" s="173"/>
      <c r="U7" s="173"/>
      <c r="V7" s="173"/>
      <c r="W7" s="84"/>
      <c r="X7" s="150" t="s">
        <v>59</v>
      </c>
      <c r="Y7" s="142">
        <v>1</v>
      </c>
      <c r="Z7" s="150" t="s">
        <v>67</v>
      </c>
      <c r="AA7" s="145">
        <v>35</v>
      </c>
      <c r="AB7" s="15"/>
      <c r="AC7" s="17"/>
      <c r="AF7" s="137" t="s">
        <v>161</v>
      </c>
      <c r="AG7" s="137"/>
    </row>
    <row r="8" spans="2:35" ht="22" thickTop="1" thickBot="1" x14ac:dyDescent="0.3">
      <c r="B8" s="160"/>
      <c r="C8" s="155"/>
      <c r="D8" s="66"/>
      <c r="E8" s="12" t="s">
        <v>20</v>
      </c>
      <c r="F8" s="12"/>
      <c r="G8" s="12" t="s">
        <v>21</v>
      </c>
      <c r="H8" s="12" t="s">
        <v>36</v>
      </c>
      <c r="I8" s="12"/>
      <c r="J8" s="26">
        <f>567/G2</f>
        <v>370.95094288271406</v>
      </c>
      <c r="K8" s="11"/>
      <c r="L8" s="11"/>
      <c r="M8" s="11"/>
      <c r="N8" s="34"/>
      <c r="O8" s="34"/>
      <c r="P8" s="34"/>
      <c r="Q8" s="47"/>
      <c r="R8" s="174"/>
      <c r="S8" s="175"/>
      <c r="T8" s="175"/>
      <c r="U8" s="175"/>
      <c r="V8" s="175"/>
      <c r="W8" s="85"/>
      <c r="X8" s="143"/>
      <c r="Y8" s="143"/>
      <c r="Z8" s="153"/>
      <c r="AA8" s="146"/>
      <c r="AB8" s="15"/>
      <c r="AC8" s="17"/>
      <c r="AF8" s="137" t="s">
        <v>1</v>
      </c>
      <c r="AG8" s="138">
        <f>J35</f>
        <v>151120122.0691286</v>
      </c>
      <c r="AI8">
        <f>AG8/$AG$13*100</f>
        <v>0.43375900651432481</v>
      </c>
    </row>
    <row r="9" spans="2:35" ht="22" thickTop="1" thickBot="1" x14ac:dyDescent="0.3">
      <c r="B9" s="160"/>
      <c r="C9" s="155"/>
      <c r="D9" s="66"/>
      <c r="E9" s="12" t="s">
        <v>23</v>
      </c>
      <c r="F9" s="12"/>
      <c r="G9" s="12" t="s">
        <v>24</v>
      </c>
      <c r="H9" s="27" t="s">
        <v>57</v>
      </c>
      <c r="I9" s="27"/>
      <c r="J9" s="26">
        <v>83.56</v>
      </c>
      <c r="K9" s="11"/>
      <c r="L9" s="11"/>
      <c r="M9" s="11"/>
      <c r="N9" s="34"/>
      <c r="O9" s="34"/>
      <c r="P9" s="34"/>
      <c r="Q9" s="47"/>
      <c r="R9" s="174"/>
      <c r="S9" s="175"/>
      <c r="T9" s="175"/>
      <c r="U9" s="175"/>
      <c r="V9" s="175"/>
      <c r="W9" s="85"/>
      <c r="X9" s="142" t="s">
        <v>47</v>
      </c>
      <c r="Y9" s="142">
        <v>2</v>
      </c>
      <c r="Z9" s="144" t="s">
        <v>66</v>
      </c>
      <c r="AA9" s="145">
        <v>7.21</v>
      </c>
      <c r="AB9" s="15"/>
      <c r="AC9" s="17"/>
      <c r="AF9" s="137" t="s">
        <v>2</v>
      </c>
      <c r="AG9" s="138">
        <f>Q35</f>
        <v>33986104950</v>
      </c>
      <c r="AI9">
        <f t="shared" ref="AI9:AI11" si="0">AG9/$AG$13*100</f>
        <v>97.550074183106318</v>
      </c>
    </row>
    <row r="10" spans="2:35" ht="22" thickTop="1" thickBot="1" x14ac:dyDescent="0.3">
      <c r="B10" s="160"/>
      <c r="C10" s="155"/>
      <c r="D10" s="66"/>
      <c r="E10" s="12" t="s">
        <v>26</v>
      </c>
      <c r="F10" s="12"/>
      <c r="G10" s="12" t="s">
        <v>27</v>
      </c>
      <c r="H10" s="12" t="s">
        <v>39</v>
      </c>
      <c r="I10" s="12"/>
      <c r="J10" s="26">
        <f>24/G2</f>
        <v>15.701627211966732</v>
      </c>
      <c r="K10" s="11"/>
      <c r="L10" s="11"/>
      <c r="M10" s="11"/>
      <c r="N10" s="34"/>
      <c r="O10" s="34"/>
      <c r="P10" s="34"/>
      <c r="Q10" s="47"/>
      <c r="R10" s="174"/>
      <c r="S10" s="175"/>
      <c r="T10" s="175"/>
      <c r="U10" s="175"/>
      <c r="V10" s="175"/>
      <c r="W10" s="85"/>
      <c r="X10" s="143"/>
      <c r="Y10" s="143"/>
      <c r="Z10" s="144"/>
      <c r="AA10" s="146"/>
      <c r="AB10" s="15"/>
      <c r="AC10" s="17"/>
      <c r="AF10" s="137" t="s">
        <v>4</v>
      </c>
      <c r="AG10" s="138">
        <f>W35</f>
        <v>693275134.10000014</v>
      </c>
      <c r="AI10">
        <f t="shared" si="0"/>
        <v>1.9899026634635868</v>
      </c>
    </row>
    <row r="11" spans="2:35" ht="22" thickTop="1" thickBot="1" x14ac:dyDescent="0.3">
      <c r="B11" s="13" t="s">
        <v>29</v>
      </c>
      <c r="C11" s="14">
        <v>0.33</v>
      </c>
      <c r="D11" s="66"/>
      <c r="E11" s="12" t="s">
        <v>29</v>
      </c>
      <c r="F11" s="12"/>
      <c r="G11" s="12" t="s">
        <v>48</v>
      </c>
      <c r="H11" s="12" t="s">
        <v>37</v>
      </c>
      <c r="I11" s="12"/>
      <c r="J11" s="26">
        <f>16.58*30</f>
        <v>497.4</v>
      </c>
      <c r="K11" s="11" t="s">
        <v>55</v>
      </c>
      <c r="L11" s="11">
        <v>1</v>
      </c>
      <c r="M11" s="11">
        <v>5000</v>
      </c>
      <c r="N11" s="34">
        <f>M11*0.05</f>
        <v>250</v>
      </c>
      <c r="O11" s="34">
        <f>SUM(M11:N11)</f>
        <v>5250</v>
      </c>
      <c r="P11" s="34"/>
      <c r="Q11" s="47">
        <f>O11*L11</f>
        <v>5250</v>
      </c>
      <c r="R11" s="174"/>
      <c r="S11" s="175"/>
      <c r="T11" s="175"/>
      <c r="U11" s="175"/>
      <c r="V11" s="175"/>
      <c r="W11" s="85"/>
      <c r="X11" s="35" t="s">
        <v>47</v>
      </c>
      <c r="Y11" s="35">
        <v>2</v>
      </c>
      <c r="Z11" s="38" t="s">
        <v>66</v>
      </c>
      <c r="AA11" s="36">
        <f>7.21*2*0.33</f>
        <v>4.7586000000000004</v>
      </c>
      <c r="AB11" s="15"/>
      <c r="AC11" s="17"/>
      <c r="AF11" s="137" t="s">
        <v>5</v>
      </c>
      <c r="AG11" s="138">
        <f>AA35</f>
        <v>9150337.0035999995</v>
      </c>
      <c r="AI11">
        <f t="shared" si="0"/>
        <v>2.6264146915770725E-2</v>
      </c>
    </row>
    <row r="12" spans="2:35" ht="22" thickTop="1" thickBot="1" x14ac:dyDescent="0.3">
      <c r="B12" s="13" t="s">
        <v>8</v>
      </c>
      <c r="C12" s="14">
        <v>0.75</v>
      </c>
      <c r="D12" s="66"/>
      <c r="E12" s="12" t="s">
        <v>41</v>
      </c>
      <c r="F12" s="12"/>
      <c r="G12" s="12" t="s">
        <v>42</v>
      </c>
      <c r="H12" s="12" t="s">
        <v>40</v>
      </c>
      <c r="I12" s="12"/>
      <c r="J12" s="26">
        <f>278*34</f>
        <v>9452</v>
      </c>
      <c r="K12" s="11" t="s">
        <v>54</v>
      </c>
      <c r="L12" s="11">
        <v>1</v>
      </c>
      <c r="M12" s="11">
        <v>10000</v>
      </c>
      <c r="N12" s="34">
        <f t="shared" ref="N12:N17" si="1">M12*0.05</f>
        <v>500</v>
      </c>
      <c r="O12" s="34">
        <f t="shared" ref="O12:O17" si="2">SUM(M12:N12)</f>
        <v>10500</v>
      </c>
      <c r="P12" s="34"/>
      <c r="Q12" s="47">
        <f t="shared" ref="Q12:Q17" si="3">O12*L12</f>
        <v>10500</v>
      </c>
      <c r="R12" s="174"/>
      <c r="S12" s="175"/>
      <c r="T12" s="175"/>
      <c r="U12" s="175"/>
      <c r="V12" s="175"/>
      <c r="W12" s="85">
        <v>20000</v>
      </c>
      <c r="X12" s="35" t="s">
        <v>47</v>
      </c>
      <c r="Y12" s="35">
        <v>2</v>
      </c>
      <c r="Z12" s="38" t="s">
        <v>66</v>
      </c>
      <c r="AA12" s="36">
        <f>7.21*2*0.75</f>
        <v>10.815</v>
      </c>
      <c r="AB12" s="15"/>
      <c r="AC12" s="17"/>
      <c r="AF12" s="137"/>
      <c r="AG12" s="137"/>
    </row>
    <row r="13" spans="2:35" ht="22" thickTop="1" thickBot="1" x14ac:dyDescent="0.3">
      <c r="B13" s="160" t="s">
        <v>9</v>
      </c>
      <c r="C13" s="156">
        <f>7+24</f>
        <v>31</v>
      </c>
      <c r="D13" s="67"/>
      <c r="E13" s="12" t="s">
        <v>41</v>
      </c>
      <c r="F13" s="12"/>
      <c r="G13" s="12" t="s">
        <v>45</v>
      </c>
      <c r="H13" s="12" t="s">
        <v>40</v>
      </c>
      <c r="I13" s="12"/>
      <c r="J13" s="26">
        <f>11.2*278</f>
        <v>3113.6</v>
      </c>
      <c r="K13" s="33" t="s">
        <v>88</v>
      </c>
      <c r="L13" s="11">
        <v>1</v>
      </c>
      <c r="M13" s="11">
        <v>10000</v>
      </c>
      <c r="N13" s="34">
        <f t="shared" si="1"/>
        <v>500</v>
      </c>
      <c r="O13" s="34">
        <f t="shared" si="2"/>
        <v>10500</v>
      </c>
      <c r="P13" s="34"/>
      <c r="Q13" s="47">
        <f t="shared" si="3"/>
        <v>10500</v>
      </c>
      <c r="R13" s="174"/>
      <c r="S13" s="175"/>
      <c r="T13" s="175"/>
      <c r="U13" s="175"/>
      <c r="V13" s="175"/>
      <c r="W13" s="85"/>
      <c r="X13" s="142" t="s">
        <v>47</v>
      </c>
      <c r="Y13" s="142">
        <v>1</v>
      </c>
      <c r="Z13" s="144" t="s">
        <v>66</v>
      </c>
      <c r="AA13" s="145">
        <f>7.13*7</f>
        <v>49.91</v>
      </c>
      <c r="AB13" s="15"/>
      <c r="AC13" s="17"/>
      <c r="AF13" s="137" t="s">
        <v>162</v>
      </c>
      <c r="AG13" s="138">
        <f>SUM(AG8:AG11)</f>
        <v>34839650543.172729</v>
      </c>
    </row>
    <row r="14" spans="2:35" ht="18" thickTop="1" x14ac:dyDescent="0.2">
      <c r="B14" s="160"/>
      <c r="C14" s="155"/>
      <c r="D14" s="66"/>
      <c r="E14" s="12" t="s">
        <v>30</v>
      </c>
      <c r="F14" s="12"/>
      <c r="G14" s="12" t="s">
        <v>44</v>
      </c>
      <c r="H14" s="12" t="s">
        <v>43</v>
      </c>
      <c r="I14" s="12"/>
      <c r="J14" s="26">
        <f>28.8*79.6/25</f>
        <v>91.699200000000005</v>
      </c>
      <c r="K14" s="33"/>
      <c r="L14" s="11"/>
      <c r="M14" s="11"/>
      <c r="N14" s="34"/>
      <c r="O14" s="34"/>
      <c r="P14" s="34"/>
      <c r="Q14" s="47"/>
      <c r="R14" s="174"/>
      <c r="S14" s="175"/>
      <c r="T14" s="175"/>
      <c r="U14" s="175"/>
      <c r="V14" s="175"/>
      <c r="W14" s="85"/>
      <c r="X14" s="143"/>
      <c r="Y14" s="143"/>
      <c r="Z14" s="144"/>
      <c r="AA14" s="146"/>
      <c r="AB14" s="15"/>
      <c r="AC14" s="17"/>
      <c r="AF14" s="6"/>
    </row>
    <row r="15" spans="2:35" ht="17" x14ac:dyDescent="0.2">
      <c r="B15" s="13" t="s">
        <v>31</v>
      </c>
      <c r="C15" s="14">
        <v>2</v>
      </c>
      <c r="D15" s="127"/>
      <c r="E15" s="41"/>
      <c r="F15" s="41"/>
      <c r="G15" s="41"/>
      <c r="H15" s="41"/>
      <c r="I15" s="41"/>
      <c r="J15" s="42"/>
      <c r="K15" s="11"/>
      <c r="L15" s="11"/>
      <c r="M15" s="11"/>
      <c r="N15" s="34"/>
      <c r="O15" s="34"/>
      <c r="P15" s="34"/>
      <c r="Q15" s="47"/>
      <c r="R15" s="174"/>
      <c r="S15" s="175"/>
      <c r="T15" s="175"/>
      <c r="U15" s="175"/>
      <c r="V15" s="175"/>
      <c r="W15" s="85"/>
      <c r="X15" s="35" t="s">
        <v>47</v>
      </c>
      <c r="Y15" s="35">
        <v>1</v>
      </c>
      <c r="Z15" s="38" t="s">
        <v>66</v>
      </c>
      <c r="AA15" s="36">
        <f>7.21*2</f>
        <v>14.42</v>
      </c>
      <c r="AB15" s="15"/>
      <c r="AC15" s="17"/>
      <c r="AF15" s="6"/>
    </row>
    <row r="16" spans="2:35" ht="17" x14ac:dyDescent="0.2">
      <c r="B16" s="13" t="s">
        <v>6</v>
      </c>
      <c r="C16" s="14">
        <v>2</v>
      </c>
      <c r="D16" s="66"/>
      <c r="E16" s="28"/>
      <c r="F16" s="28"/>
      <c r="G16" s="12"/>
      <c r="H16" s="12"/>
      <c r="I16" s="12"/>
      <c r="J16" s="26"/>
      <c r="K16" s="33" t="s">
        <v>102</v>
      </c>
      <c r="L16" s="11">
        <v>1</v>
      </c>
      <c r="M16" s="82">
        <v>3000</v>
      </c>
      <c r="N16" s="34">
        <f>M16*0.05</f>
        <v>150</v>
      </c>
      <c r="O16" s="34">
        <f>N16+M16</f>
        <v>3150</v>
      </c>
      <c r="P16" s="34"/>
      <c r="Q16" s="47">
        <f>O16*L16</f>
        <v>3150</v>
      </c>
      <c r="R16" s="174"/>
      <c r="S16" s="175"/>
      <c r="T16" s="175"/>
      <c r="U16" s="175"/>
      <c r="V16" s="175"/>
      <c r="W16" s="85"/>
      <c r="X16" s="35" t="s">
        <v>59</v>
      </c>
      <c r="Y16" s="35">
        <v>1</v>
      </c>
      <c r="Z16" s="35" t="s">
        <v>67</v>
      </c>
      <c r="AA16" s="36">
        <f>2*75</f>
        <v>150</v>
      </c>
      <c r="AB16" s="15"/>
      <c r="AC16" s="17"/>
      <c r="AF16" s="6"/>
    </row>
    <row r="17" spans="2:32" ht="17" x14ac:dyDescent="0.2">
      <c r="B17" s="13" t="s">
        <v>12</v>
      </c>
      <c r="C17" s="45" t="s">
        <v>96</v>
      </c>
      <c r="D17" s="67"/>
      <c r="E17" s="37" t="s">
        <v>92</v>
      </c>
      <c r="F17" s="37"/>
      <c r="G17" s="24" t="s">
        <v>103</v>
      </c>
      <c r="H17" s="56" t="s">
        <v>105</v>
      </c>
      <c r="I17" s="56"/>
      <c r="J17" s="26">
        <v>500</v>
      </c>
      <c r="K17" s="33" t="s">
        <v>60</v>
      </c>
      <c r="L17" s="11">
        <v>1</v>
      </c>
      <c r="M17" s="81">
        <v>46000</v>
      </c>
      <c r="N17" s="34">
        <f t="shared" si="1"/>
        <v>2300</v>
      </c>
      <c r="O17" s="34">
        <f t="shared" si="2"/>
        <v>48300</v>
      </c>
      <c r="P17" s="34"/>
      <c r="Q17" s="47">
        <f t="shared" si="3"/>
        <v>48300</v>
      </c>
      <c r="R17" s="174"/>
      <c r="S17" s="175"/>
      <c r="T17" s="175"/>
      <c r="U17" s="175"/>
      <c r="V17" s="175"/>
      <c r="W17" s="85"/>
      <c r="X17" s="73" t="s">
        <v>47</v>
      </c>
      <c r="Y17" s="35">
        <v>1</v>
      </c>
      <c r="Z17" s="54" t="s">
        <v>66</v>
      </c>
      <c r="AA17" s="36">
        <f>8*7.21</f>
        <v>57.68</v>
      </c>
      <c r="AB17" s="15"/>
      <c r="AC17" s="17"/>
      <c r="AF17" s="6"/>
    </row>
    <row r="18" spans="2:32" ht="17" x14ac:dyDescent="0.2">
      <c r="B18" s="13" t="s">
        <v>7</v>
      </c>
      <c r="C18" s="45" t="s">
        <v>97</v>
      </c>
      <c r="D18" s="67"/>
      <c r="E18" s="37" t="s">
        <v>92</v>
      </c>
      <c r="F18" s="37"/>
      <c r="G18" s="24" t="s">
        <v>104</v>
      </c>
      <c r="H18" s="24" t="s">
        <v>105</v>
      </c>
      <c r="I18" s="24"/>
      <c r="J18" s="26">
        <v>5000</v>
      </c>
      <c r="K18" s="33" t="s">
        <v>99</v>
      </c>
      <c r="L18" s="11">
        <v>1</v>
      </c>
      <c r="M18" s="74">
        <v>20000</v>
      </c>
      <c r="N18" s="34">
        <f>M18*0.05</f>
        <v>1000</v>
      </c>
      <c r="O18" s="34">
        <f>N18+M18</f>
        <v>21000</v>
      </c>
      <c r="P18" s="34"/>
      <c r="Q18" s="47">
        <f>O18*L18</f>
        <v>21000</v>
      </c>
      <c r="R18" s="176"/>
      <c r="S18" s="177"/>
      <c r="T18" s="177"/>
      <c r="U18" s="177"/>
      <c r="V18" s="177"/>
      <c r="W18" s="86"/>
      <c r="X18" s="35" t="s">
        <v>47</v>
      </c>
      <c r="Y18" s="35">
        <v>1</v>
      </c>
      <c r="Z18" s="54" t="s">
        <v>66</v>
      </c>
      <c r="AA18" s="36">
        <f>7.21</f>
        <v>7.21</v>
      </c>
      <c r="AB18" s="15"/>
      <c r="AC18" s="17"/>
      <c r="AF18" s="6"/>
    </row>
    <row r="19" spans="2:32" ht="17" x14ac:dyDescent="0.2">
      <c r="B19" s="13" t="s">
        <v>32</v>
      </c>
      <c r="C19" s="43" t="s">
        <v>84</v>
      </c>
      <c r="D19" s="67"/>
      <c r="E19" s="12" t="s">
        <v>50</v>
      </c>
      <c r="F19" s="12"/>
      <c r="G19" s="12" t="s">
        <v>51</v>
      </c>
      <c r="H19" s="12" t="s">
        <v>49</v>
      </c>
      <c r="I19" s="12"/>
      <c r="J19" s="26">
        <f>88.3*10*19</f>
        <v>16777</v>
      </c>
      <c r="K19" s="180" t="s">
        <v>61</v>
      </c>
      <c r="L19" s="183">
        <v>170</v>
      </c>
      <c r="M19" s="157">
        <v>13750</v>
      </c>
      <c r="N19" s="139">
        <f>M19*0.5</f>
        <v>6875</v>
      </c>
      <c r="O19" s="139">
        <f>SUM(M19:N26)</f>
        <v>20625</v>
      </c>
      <c r="P19" s="68"/>
      <c r="Q19" s="166">
        <f>L19*O19</f>
        <v>3506250</v>
      </c>
      <c r="R19" s="77"/>
      <c r="S19" s="87"/>
      <c r="T19" s="77"/>
      <c r="U19" s="77"/>
      <c r="V19" s="77"/>
      <c r="W19" s="77"/>
      <c r="X19" s="150" t="s">
        <v>47</v>
      </c>
      <c r="Y19" s="142">
        <v>30</v>
      </c>
      <c r="Z19" s="150" t="s">
        <v>65</v>
      </c>
      <c r="AA19" s="145">
        <f>30*15000</f>
        <v>450000</v>
      </c>
      <c r="AB19" s="15"/>
      <c r="AC19" s="17"/>
      <c r="AE19" s="5"/>
      <c r="AF19" s="6"/>
    </row>
    <row r="20" spans="2:32" ht="17" x14ac:dyDescent="0.2">
      <c r="B20" s="178" t="s">
        <v>70</v>
      </c>
      <c r="C20" s="189" t="s">
        <v>83</v>
      </c>
      <c r="D20" s="63"/>
      <c r="E20" s="28" t="s">
        <v>38</v>
      </c>
      <c r="F20" s="28"/>
      <c r="G20" s="39" t="s">
        <v>76</v>
      </c>
      <c r="H20" s="24" t="s">
        <v>77</v>
      </c>
      <c r="I20" s="24"/>
      <c r="J20" s="26">
        <f>1140*194.5</f>
        <v>221730</v>
      </c>
      <c r="K20" s="181"/>
      <c r="L20" s="158"/>
      <c r="M20" s="158"/>
      <c r="N20" s="140"/>
      <c r="O20" s="140"/>
      <c r="P20" s="69"/>
      <c r="Q20" s="167"/>
      <c r="R20" s="80"/>
      <c r="S20" s="88"/>
      <c r="T20" s="80"/>
      <c r="U20" s="80"/>
      <c r="V20" s="80"/>
      <c r="W20" s="80"/>
      <c r="X20" s="151"/>
      <c r="Y20" s="151"/>
      <c r="Z20" s="151"/>
      <c r="AA20" s="152"/>
      <c r="AB20" s="15"/>
      <c r="AC20" s="17"/>
      <c r="AF20" s="6"/>
    </row>
    <row r="21" spans="2:32" ht="17" x14ac:dyDescent="0.2">
      <c r="B21" s="188"/>
      <c r="C21" s="190"/>
      <c r="D21" s="64"/>
      <c r="E21" s="28" t="s">
        <v>71</v>
      </c>
      <c r="F21" s="28"/>
      <c r="G21" s="24" t="s">
        <v>72</v>
      </c>
      <c r="H21" s="24" t="s">
        <v>78</v>
      </c>
      <c r="I21" s="24"/>
      <c r="J21" s="26">
        <f>7.17*49</f>
        <v>351.33</v>
      </c>
      <c r="K21" s="181"/>
      <c r="L21" s="158"/>
      <c r="M21" s="158"/>
      <c r="N21" s="140"/>
      <c r="O21" s="140"/>
      <c r="P21" s="69"/>
      <c r="Q21" s="167"/>
      <c r="R21" s="76" t="s">
        <v>113</v>
      </c>
      <c r="S21" s="90">
        <f>8760*1*1*0.06</f>
        <v>525.6</v>
      </c>
      <c r="T21" s="76" t="s">
        <v>132</v>
      </c>
      <c r="U21" s="90">
        <f>3*25.71*1</f>
        <v>77.13</v>
      </c>
      <c r="V21" s="88">
        <f>U21+S21</f>
        <v>602.73</v>
      </c>
      <c r="W21" s="88">
        <f>V21*170</f>
        <v>102464.1</v>
      </c>
      <c r="X21" s="151"/>
      <c r="Y21" s="151"/>
      <c r="Z21" s="151"/>
      <c r="AA21" s="152"/>
      <c r="AB21" s="15"/>
      <c r="AC21" s="17"/>
      <c r="AF21" s="6"/>
    </row>
    <row r="22" spans="2:32" ht="17" x14ac:dyDescent="0.2">
      <c r="B22" s="188"/>
      <c r="C22" s="190"/>
      <c r="D22" s="64"/>
      <c r="E22" s="37" t="s">
        <v>69</v>
      </c>
      <c r="F22" s="37"/>
      <c r="G22" s="24" t="s">
        <v>75</v>
      </c>
      <c r="H22" s="24" t="s">
        <v>79</v>
      </c>
      <c r="I22" s="24"/>
      <c r="J22" s="26">
        <f>208*88.2</f>
        <v>18345.600000000002</v>
      </c>
      <c r="K22" s="181"/>
      <c r="L22" s="158"/>
      <c r="M22" s="158"/>
      <c r="N22" s="140"/>
      <c r="O22" s="140"/>
      <c r="P22" s="69"/>
      <c r="Q22" s="167"/>
      <c r="R22" s="80"/>
      <c r="S22" s="88"/>
      <c r="T22" s="80"/>
      <c r="U22" s="80"/>
      <c r="V22" s="80"/>
      <c r="W22" s="80"/>
      <c r="X22" s="151"/>
      <c r="Y22" s="151"/>
      <c r="Z22" s="151"/>
      <c r="AA22" s="152"/>
      <c r="AB22" s="15"/>
      <c r="AC22" s="17"/>
      <c r="AF22" s="6"/>
    </row>
    <row r="23" spans="2:32" x14ac:dyDescent="0.2">
      <c r="B23" s="188"/>
      <c r="C23" s="190"/>
      <c r="D23" s="64"/>
      <c r="E23" s="37" t="s">
        <v>68</v>
      </c>
      <c r="F23" s="37"/>
      <c r="G23" s="24" t="s">
        <v>73</v>
      </c>
      <c r="H23" s="24" t="s">
        <v>80</v>
      </c>
      <c r="I23" s="24"/>
      <c r="J23" s="26">
        <f>42*35.63/100</f>
        <v>14.964600000000001</v>
      </c>
      <c r="K23" s="181"/>
      <c r="L23" s="158"/>
      <c r="M23" s="158"/>
      <c r="N23" s="140"/>
      <c r="O23" s="140"/>
      <c r="P23" s="69"/>
      <c r="Q23" s="167"/>
      <c r="R23" s="80"/>
      <c r="S23" s="88"/>
      <c r="T23" s="80"/>
      <c r="U23" s="80"/>
      <c r="V23" s="80"/>
      <c r="W23" s="80"/>
      <c r="X23" s="151"/>
      <c r="Y23" s="151"/>
      <c r="Z23" s="151"/>
      <c r="AA23" s="152"/>
      <c r="AB23" s="15"/>
      <c r="AC23" s="17"/>
    </row>
    <row r="24" spans="2:32" x14ac:dyDescent="0.2">
      <c r="B24" s="179"/>
      <c r="C24" s="191"/>
      <c r="D24" s="65"/>
      <c r="E24" s="28" t="s">
        <v>34</v>
      </c>
      <c r="F24" s="28"/>
      <c r="G24" s="24" t="s">
        <v>74</v>
      </c>
      <c r="H24" s="24" t="s">
        <v>81</v>
      </c>
      <c r="I24" s="24"/>
      <c r="J24" s="26">
        <f>31*120.5</f>
        <v>3735.5</v>
      </c>
      <c r="K24" s="181"/>
      <c r="L24" s="158"/>
      <c r="M24" s="158"/>
      <c r="N24" s="140"/>
      <c r="O24" s="140"/>
      <c r="P24" s="69"/>
      <c r="Q24" s="167"/>
      <c r="R24" s="80"/>
      <c r="S24" s="88"/>
      <c r="T24" s="80"/>
      <c r="U24" s="80"/>
      <c r="V24" s="80"/>
      <c r="W24" s="80"/>
      <c r="X24" s="151"/>
      <c r="Y24" s="151"/>
      <c r="Z24" s="151"/>
      <c r="AA24" s="152"/>
      <c r="AB24" s="15"/>
      <c r="AC24" s="17"/>
    </row>
    <row r="25" spans="2:32" x14ac:dyDescent="0.2">
      <c r="B25" s="13" t="s">
        <v>10</v>
      </c>
      <c r="C25" s="43" t="s">
        <v>85</v>
      </c>
      <c r="D25" s="67"/>
      <c r="E25" s="12" t="s">
        <v>33</v>
      </c>
      <c r="F25" s="12"/>
      <c r="G25" s="12" t="s">
        <v>51</v>
      </c>
      <c r="H25" s="12" t="s">
        <v>53</v>
      </c>
      <c r="I25" s="12"/>
      <c r="J25" s="29">
        <f>19*265.06/2.5</f>
        <v>2014.4560000000001</v>
      </c>
      <c r="K25" s="181"/>
      <c r="L25" s="158"/>
      <c r="M25" s="158"/>
      <c r="N25" s="140"/>
      <c r="O25" s="140"/>
      <c r="P25" s="69"/>
      <c r="Q25" s="167"/>
      <c r="R25" s="80"/>
      <c r="S25" s="88"/>
      <c r="T25" s="80"/>
      <c r="U25" s="80"/>
      <c r="V25" s="80"/>
      <c r="W25" s="80"/>
      <c r="X25" s="151"/>
      <c r="Y25" s="151"/>
      <c r="Z25" s="151"/>
      <c r="AA25" s="152"/>
      <c r="AB25" s="15"/>
      <c r="AC25" s="18"/>
    </row>
    <row r="26" spans="2:32" x14ac:dyDescent="0.2">
      <c r="B26" s="13" t="s">
        <v>11</v>
      </c>
      <c r="C26" s="43" t="s">
        <v>86</v>
      </c>
      <c r="D26" s="67"/>
      <c r="E26" s="12" t="s">
        <v>35</v>
      </c>
      <c r="F26" s="12"/>
      <c r="G26" s="12" t="s">
        <v>51</v>
      </c>
      <c r="H26" s="12" t="s">
        <v>52</v>
      </c>
      <c r="I26" s="12"/>
      <c r="J26" s="26">
        <f>237.15*4*19</f>
        <v>18023.400000000001</v>
      </c>
      <c r="K26" s="182"/>
      <c r="L26" s="159"/>
      <c r="M26" s="159"/>
      <c r="N26" s="141"/>
      <c r="O26" s="141"/>
      <c r="P26" s="70"/>
      <c r="Q26" s="168"/>
      <c r="R26" s="78"/>
      <c r="S26" s="89"/>
      <c r="T26" s="78"/>
      <c r="U26" s="78"/>
      <c r="V26" s="78"/>
      <c r="W26" s="78"/>
      <c r="X26" s="143"/>
      <c r="Y26" s="143"/>
      <c r="Z26" s="143"/>
      <c r="AA26" s="146"/>
      <c r="AB26" s="15"/>
      <c r="AC26" s="19"/>
    </row>
    <row r="27" spans="2:32" x14ac:dyDescent="0.2">
      <c r="B27" s="178" t="s">
        <v>13</v>
      </c>
      <c r="C27" s="184">
        <v>17380000</v>
      </c>
      <c r="D27" s="58"/>
      <c r="E27" s="24" t="s">
        <v>100</v>
      </c>
      <c r="F27" s="24"/>
      <c r="G27" s="24">
        <v>120000</v>
      </c>
      <c r="H27" s="56">
        <v>6</v>
      </c>
      <c r="I27" s="56"/>
      <c r="J27" s="75">
        <f>G27*H27</f>
        <v>720000</v>
      </c>
      <c r="K27" s="11" t="s">
        <v>93</v>
      </c>
      <c r="L27" s="33">
        <f>L29/10</f>
        <v>1200</v>
      </c>
      <c r="M27" s="55">
        <v>50000</v>
      </c>
      <c r="N27" s="34">
        <f>M27*0.05*10</f>
        <v>25000</v>
      </c>
      <c r="O27" s="34">
        <f>SUM(M27:N27)</f>
        <v>75000</v>
      </c>
      <c r="P27" s="34"/>
      <c r="Q27" s="47">
        <f>O27*L27</f>
        <v>90000000</v>
      </c>
      <c r="R27" s="76" t="s">
        <v>113</v>
      </c>
      <c r="S27" s="90">
        <f>8760*10*1*0.06</f>
        <v>5256</v>
      </c>
      <c r="T27" s="76" t="s">
        <v>119</v>
      </c>
      <c r="U27" s="90">
        <f>1*25.71*10</f>
        <v>257.10000000000002</v>
      </c>
      <c r="V27" s="90">
        <f>U27+S27</f>
        <v>5513.1</v>
      </c>
      <c r="W27" s="90">
        <f>V27*L27</f>
        <v>6615720</v>
      </c>
      <c r="X27" s="44" t="s">
        <v>94</v>
      </c>
      <c r="Y27" s="44">
        <v>6</v>
      </c>
      <c r="Z27" s="35" t="s">
        <v>65</v>
      </c>
      <c r="AA27" s="36">
        <f>Y27*15000*10</f>
        <v>900000</v>
      </c>
      <c r="AB27" s="15"/>
      <c r="AC27" s="20"/>
    </row>
    <row r="28" spans="2:32" x14ac:dyDescent="0.2">
      <c r="B28" s="179"/>
      <c r="C28" s="185"/>
      <c r="D28" s="128"/>
      <c r="E28" s="24" t="s">
        <v>101</v>
      </c>
      <c r="F28" s="24"/>
      <c r="G28" s="24">
        <v>100000</v>
      </c>
      <c r="H28" s="57">
        <v>1</v>
      </c>
      <c r="I28" s="57"/>
      <c r="J28" s="75">
        <f>H28*G28</f>
        <v>100000</v>
      </c>
      <c r="K28" s="11"/>
      <c r="L28" s="11"/>
      <c r="M28" s="11"/>
      <c r="N28" s="34"/>
      <c r="O28" s="34"/>
      <c r="P28" s="34"/>
      <c r="Q28" s="47"/>
      <c r="R28" s="79"/>
      <c r="S28" s="90"/>
      <c r="T28" s="79"/>
      <c r="U28" s="79"/>
      <c r="V28" s="79"/>
      <c r="W28" s="79"/>
      <c r="X28" s="53"/>
      <c r="Y28" s="53"/>
      <c r="Z28" s="35"/>
      <c r="AA28" s="36"/>
      <c r="AB28" s="15"/>
      <c r="AC28" s="20"/>
    </row>
    <row r="29" spans="2:32" x14ac:dyDescent="0.2">
      <c r="B29" s="13" t="s">
        <v>15</v>
      </c>
      <c r="C29" s="185"/>
      <c r="D29" s="128"/>
      <c r="E29" s="24" t="s">
        <v>129</v>
      </c>
      <c r="F29" s="24"/>
      <c r="G29" s="12"/>
      <c r="H29" s="12"/>
      <c r="I29" s="12"/>
      <c r="J29" s="30"/>
      <c r="K29" s="11" t="s">
        <v>107</v>
      </c>
      <c r="L29" s="11">
        <v>12000</v>
      </c>
      <c r="M29" s="11">
        <v>10000</v>
      </c>
      <c r="N29" s="34">
        <f>M29*0.05*10</f>
        <v>5000</v>
      </c>
      <c r="O29" s="34">
        <f>SUM(M29:N29)</f>
        <v>15000</v>
      </c>
      <c r="P29" s="34"/>
      <c r="Q29" s="47">
        <f t="shared" ref="Q29:Q31" si="4">O29*L29</f>
        <v>180000000</v>
      </c>
      <c r="R29" s="76" t="s">
        <v>113</v>
      </c>
      <c r="S29" s="90">
        <f>1*0.066*8760*10</f>
        <v>5781.6</v>
      </c>
      <c r="T29" s="76" t="s">
        <v>119</v>
      </c>
      <c r="U29" s="90">
        <f>1*25.71*10</f>
        <v>257.10000000000002</v>
      </c>
      <c r="V29" s="90">
        <f>U29+S29</f>
        <v>6038.7000000000007</v>
      </c>
      <c r="W29" s="90">
        <f>V29*L29</f>
        <v>72464400.000000015</v>
      </c>
      <c r="X29" s="73" t="s">
        <v>131</v>
      </c>
      <c r="Y29" s="35">
        <v>10</v>
      </c>
      <c r="Z29" s="73" t="s">
        <v>128</v>
      </c>
      <c r="AA29" s="36">
        <f>50000*10*10</f>
        <v>5000000</v>
      </c>
      <c r="AB29" s="15"/>
      <c r="AC29" s="20"/>
    </row>
    <row r="30" spans="2:32" ht="17" x14ac:dyDescent="0.25">
      <c r="B30" s="61"/>
      <c r="C30" s="185"/>
      <c r="D30" s="128"/>
      <c r="E30" s="12"/>
      <c r="F30" s="12"/>
      <c r="G30" s="12"/>
      <c r="H30" s="12"/>
      <c r="I30" s="12"/>
      <c r="J30" s="30"/>
      <c r="K30" s="11" t="s">
        <v>108</v>
      </c>
      <c r="L30" s="11">
        <v>12000</v>
      </c>
      <c r="M30" s="11">
        <v>2565000</v>
      </c>
      <c r="N30" s="34">
        <v>135000</v>
      </c>
      <c r="O30" s="34">
        <f>SUM(M30:N30)</f>
        <v>2700000</v>
      </c>
      <c r="P30" s="34"/>
      <c r="Q30" s="47">
        <f t="shared" si="4"/>
        <v>32400000000</v>
      </c>
      <c r="R30" s="76" t="s">
        <v>130</v>
      </c>
      <c r="S30" s="90">
        <f>4.5*0.066*8760*10</f>
        <v>26017.200000000004</v>
      </c>
      <c r="T30" s="76">
        <v>20</v>
      </c>
      <c r="U30" s="90">
        <f>20*25.71*10</f>
        <v>5142</v>
      </c>
      <c r="V30" s="90">
        <f>U30+S30</f>
        <v>31159.200000000004</v>
      </c>
      <c r="W30" s="90">
        <f>V30*L30</f>
        <v>373910400.00000006</v>
      </c>
      <c r="X30" s="35"/>
      <c r="Y30" s="35"/>
      <c r="Z30" s="35"/>
      <c r="AA30" s="36"/>
      <c r="AB30" s="15"/>
      <c r="AC30" s="20"/>
    </row>
    <row r="31" spans="2:32" ht="17" x14ac:dyDescent="0.25">
      <c r="B31" s="13" t="s">
        <v>14</v>
      </c>
      <c r="C31" s="185"/>
      <c r="D31" s="128"/>
      <c r="E31" s="24" t="s">
        <v>129</v>
      </c>
      <c r="F31" s="24"/>
      <c r="G31" s="12"/>
      <c r="H31" s="12"/>
      <c r="I31" s="12"/>
      <c r="J31" s="26"/>
      <c r="K31" s="11" t="s">
        <v>109</v>
      </c>
      <c r="L31" s="11">
        <v>125000</v>
      </c>
      <c r="M31" s="25">
        <v>7000</v>
      </c>
      <c r="N31" s="34">
        <f>M31*0.05*10</f>
        <v>3500</v>
      </c>
      <c r="O31" s="34">
        <f t="shared" ref="O29:O31" si="5">SUM(M31:N31)</f>
        <v>10500</v>
      </c>
      <c r="P31" s="34"/>
      <c r="Q31" s="47">
        <f t="shared" si="4"/>
        <v>1312500000</v>
      </c>
      <c r="R31" s="76" t="s">
        <v>125</v>
      </c>
      <c r="S31" s="90">
        <f>0.3*0.066*8760*10</f>
        <v>1734.48</v>
      </c>
      <c r="T31" s="76">
        <f>500/L31</f>
        <v>4.0000000000000001E-3</v>
      </c>
      <c r="U31" s="90">
        <f>T31*25.71*10</f>
        <v>1.0284</v>
      </c>
      <c r="V31" s="90">
        <f>U31+S31</f>
        <v>1735.5083999999999</v>
      </c>
      <c r="W31" s="90">
        <f>V31*L31</f>
        <v>216938550</v>
      </c>
      <c r="X31" s="73" t="s">
        <v>127</v>
      </c>
      <c r="Y31" s="35">
        <v>5</v>
      </c>
      <c r="Z31" s="73" t="s">
        <v>128</v>
      </c>
      <c r="AA31" s="36">
        <f>50000*5*10</f>
        <v>2500000</v>
      </c>
      <c r="AB31" s="15"/>
      <c r="AC31" s="21"/>
    </row>
    <row r="32" spans="2:32" ht="17" x14ac:dyDescent="0.25">
      <c r="B32" s="13" t="s">
        <v>16</v>
      </c>
      <c r="C32" s="186"/>
      <c r="D32" s="59"/>
      <c r="E32" s="12" t="s">
        <v>106</v>
      </c>
      <c r="F32" s="12"/>
      <c r="G32" s="12">
        <v>1500000</v>
      </c>
      <c r="H32" s="12">
        <v>100</v>
      </c>
      <c r="I32" s="12"/>
      <c r="J32" s="26">
        <f>G32*H32</f>
        <v>150000000</v>
      </c>
      <c r="K32" s="11"/>
      <c r="L32" s="11"/>
      <c r="M32" s="11"/>
      <c r="N32" s="34"/>
      <c r="O32" s="34"/>
      <c r="P32" s="34"/>
      <c r="Q32" s="47"/>
      <c r="R32" s="76" t="s">
        <v>126</v>
      </c>
      <c r="S32" s="90">
        <f>0.0025*0.066*8760*10</f>
        <v>14.454000000000001</v>
      </c>
      <c r="T32" s="76">
        <f>T31</f>
        <v>4.0000000000000001E-3</v>
      </c>
      <c r="U32" s="90">
        <f>T32*25.71*10</f>
        <v>1.0284</v>
      </c>
      <c r="V32" s="90">
        <f>S32+U32</f>
        <v>15.4824</v>
      </c>
      <c r="W32" s="90">
        <f>V32*G32</f>
        <v>23223600</v>
      </c>
      <c r="X32" s="73" t="s">
        <v>94</v>
      </c>
      <c r="Y32" s="35">
        <v>2</v>
      </c>
      <c r="Z32" s="35" t="s">
        <v>65</v>
      </c>
      <c r="AA32" s="36">
        <f>15000*2*10</f>
        <v>300000</v>
      </c>
      <c r="AB32" s="15"/>
      <c r="AC32" s="21"/>
    </row>
    <row r="33" spans="2:29" x14ac:dyDescent="0.2">
      <c r="B33" s="10"/>
      <c r="J33" s="8"/>
      <c r="K33" s="3"/>
      <c r="L33" s="3"/>
      <c r="M33" s="3"/>
      <c r="N33" s="48"/>
      <c r="S33" s="8"/>
      <c r="X33" s="17"/>
      <c r="Y33" s="17"/>
      <c r="Z33" s="17"/>
      <c r="AC33" s="17"/>
    </row>
    <row r="34" spans="2:29" x14ac:dyDescent="0.2">
      <c r="J34" s="9"/>
      <c r="K34" s="2"/>
      <c r="L34" s="2"/>
      <c r="M34" s="2"/>
      <c r="N34" s="49"/>
      <c r="S34" s="8"/>
      <c r="X34" s="21"/>
      <c r="Y34" s="21"/>
      <c r="Z34" s="21"/>
      <c r="AA34" s="21"/>
      <c r="AC34" s="21"/>
    </row>
    <row r="35" spans="2:29" x14ac:dyDescent="0.2">
      <c r="B35" s="22" t="s">
        <v>56</v>
      </c>
      <c r="C35" s="22">
        <f>SUM(C7:C32)</f>
        <v>17380036.579999998</v>
      </c>
      <c r="D35" s="22"/>
      <c r="J35" s="50">
        <f>SUM(J7:J32)</f>
        <v>151120122.0691286</v>
      </c>
      <c r="K35" s="2"/>
      <c r="L35" s="2"/>
      <c r="M35" s="2"/>
      <c r="N35" s="50"/>
      <c r="O35" s="50"/>
      <c r="P35" s="50"/>
      <c r="Q35" s="50">
        <f>SUM(Q7:Q32)</f>
        <v>33986104950</v>
      </c>
      <c r="R35" s="22"/>
      <c r="S35" s="22"/>
      <c r="T35" s="22"/>
      <c r="U35" s="22"/>
      <c r="V35" s="22"/>
      <c r="W35" s="50">
        <f>SUM(W7:W32)</f>
        <v>693275134.10000014</v>
      </c>
      <c r="X35" s="19"/>
      <c r="Y35" s="19"/>
      <c r="Z35" s="19"/>
      <c r="AA35" s="50">
        <f>SUM(AA7:AA32)</f>
        <v>9150337.0035999995</v>
      </c>
      <c r="AC35" s="19"/>
    </row>
    <row r="36" spans="2:29" ht="17" x14ac:dyDescent="0.25">
      <c r="J36" s="8"/>
      <c r="W36" s="136">
        <v>693275428.89999998</v>
      </c>
    </row>
    <row r="37" spans="2:29" x14ac:dyDescent="0.2">
      <c r="J37" s="8"/>
    </row>
    <row r="38" spans="2:29" x14ac:dyDescent="0.2">
      <c r="B38" t="s">
        <v>87</v>
      </c>
      <c r="E38">
        <f>1700/(0.25*0.35*0.05)</f>
        <v>388571.42857142864</v>
      </c>
      <c r="G38" t="s">
        <v>91</v>
      </c>
      <c r="J38" s="9"/>
      <c r="K38" s="2"/>
      <c r="L38" s="2"/>
      <c r="M38" s="2"/>
      <c r="N38" s="49"/>
      <c r="S38" t="s">
        <v>123</v>
      </c>
      <c r="T38" t="s">
        <v>122</v>
      </c>
      <c r="X38" s="19"/>
      <c r="Y38" s="19"/>
      <c r="Z38" s="19"/>
      <c r="AA38" s="21"/>
      <c r="AC38" s="19"/>
    </row>
    <row r="39" spans="2:29" x14ac:dyDescent="0.2">
      <c r="B39" t="s">
        <v>95</v>
      </c>
      <c r="J39" s="9"/>
      <c r="K39" s="2"/>
      <c r="L39" s="2"/>
      <c r="M39" s="2"/>
      <c r="N39" s="49">
        <f>SUM(J27:J28)+SUM(Q27)+SUM(W27)+SUM(AA27)</f>
        <v>98335720</v>
      </c>
      <c r="Q39" s="8"/>
      <c r="S39" t="s">
        <v>120</v>
      </c>
      <c r="T39" s="91" t="s">
        <v>121</v>
      </c>
      <c r="X39" s="19"/>
      <c r="Y39" s="19"/>
      <c r="Z39" s="19"/>
      <c r="AA39" s="21"/>
      <c r="AC39" s="19"/>
    </row>
    <row r="40" spans="2:29" x14ac:dyDescent="0.2">
      <c r="B40" t="s">
        <v>98</v>
      </c>
      <c r="J40" s="5"/>
      <c r="N40" s="49">
        <f>SUM(J29)+SUM(Q29)+SUM(W28)+SUM(AA28)</f>
        <v>180000000</v>
      </c>
      <c r="O40" s="8">
        <f>SUM(Q29:Q30)</f>
        <v>32580000000</v>
      </c>
    </row>
    <row r="41" spans="2:29" x14ac:dyDescent="0.2">
      <c r="M41">
        <f>M30*0.95</f>
        <v>2436750</v>
      </c>
    </row>
    <row r="42" spans="2:29" ht="24" x14ac:dyDescent="0.3">
      <c r="B42" s="51" t="s">
        <v>90</v>
      </c>
      <c r="C42" s="52">
        <f>J35+Q35+W35+AA35</f>
        <v>34839650543.172729</v>
      </c>
      <c r="D42" s="52"/>
      <c r="K42" s="11">
        <v>2700000</v>
      </c>
      <c r="L42">
        <f>K42*0.95</f>
        <v>2565000</v>
      </c>
      <c r="M42">
        <f>K42*0.05</f>
        <v>135000</v>
      </c>
      <c r="S42" s="8"/>
      <c r="W42" s="8">
        <f>SUM(W29:W30)</f>
        <v>446374800.00000006</v>
      </c>
    </row>
    <row r="43" spans="2:29" x14ac:dyDescent="0.2">
      <c r="S43" s="8">
        <f>SUM(Q29:Q30)+SUM(W29:W30)+AA29</f>
        <v>33031374800</v>
      </c>
    </row>
    <row r="44" spans="2:29" x14ac:dyDescent="0.2">
      <c r="S44" s="8">
        <f>SUM(Q31)+SUM(W31)+AA31</f>
        <v>1531938550</v>
      </c>
    </row>
    <row r="45" spans="2:29" x14ac:dyDescent="0.2">
      <c r="S45" s="8">
        <f>SUM(Q32)+SUM(W32)+AA3+J32</f>
        <v>173223600</v>
      </c>
    </row>
    <row r="46" spans="2:29" ht="23" x14ac:dyDescent="0.25">
      <c r="B46" s="40"/>
    </row>
    <row r="47" spans="2:29" ht="17" x14ac:dyDescent="0.25">
      <c r="B47" t="s">
        <v>140</v>
      </c>
      <c r="J47" s="4"/>
    </row>
    <row r="49" spans="2:44" ht="17" x14ac:dyDescent="0.25">
      <c r="B49" s="92" t="s">
        <v>0</v>
      </c>
      <c r="C49" s="93" t="s">
        <v>133</v>
      </c>
      <c r="D49" s="93"/>
      <c r="E49" s="94" t="s">
        <v>2</v>
      </c>
      <c r="F49" s="119"/>
      <c r="G49" s="95" t="s">
        <v>133</v>
      </c>
      <c r="H49" s="96"/>
      <c r="I49" s="96"/>
      <c r="J49" s="94" t="s">
        <v>28</v>
      </c>
      <c r="K49" s="95"/>
      <c r="L49" s="95" t="s">
        <v>133</v>
      </c>
      <c r="M49" s="96" t="s">
        <v>134</v>
      </c>
      <c r="N49" s="92" t="s">
        <v>135</v>
      </c>
      <c r="O49" s="94" t="s">
        <v>25</v>
      </c>
      <c r="P49" s="119"/>
      <c r="Q49" s="97"/>
      <c r="R49" s="92" t="s">
        <v>136</v>
      </c>
      <c r="S49" s="92"/>
      <c r="T49" s="92"/>
      <c r="U49" s="92"/>
      <c r="V49" s="95" t="s">
        <v>133</v>
      </c>
      <c r="W49" s="96" t="s">
        <v>134</v>
      </c>
      <c r="X49" s="92"/>
      <c r="Y49" s="98" t="s">
        <v>3</v>
      </c>
      <c r="Z49" s="92" t="s">
        <v>136</v>
      </c>
      <c r="AA49" s="95" t="s">
        <v>133</v>
      </c>
      <c r="AB49" s="96" t="s">
        <v>134</v>
      </c>
      <c r="AC49" s="92"/>
      <c r="AD49" s="98" t="s">
        <v>110</v>
      </c>
      <c r="AE49" s="92" t="s">
        <v>136</v>
      </c>
      <c r="AF49" s="95" t="s">
        <v>133</v>
      </c>
      <c r="AG49" s="96" t="s">
        <v>134</v>
      </c>
      <c r="AH49" s="92"/>
      <c r="AI49" s="98" t="s">
        <v>111</v>
      </c>
      <c r="AJ49" s="92" t="s">
        <v>136</v>
      </c>
      <c r="AK49" s="92" t="s">
        <v>137</v>
      </c>
      <c r="AL49" s="100" t="s">
        <v>138</v>
      </c>
      <c r="AM49" s="92"/>
      <c r="AN49" s="92"/>
      <c r="AO49" s="92"/>
      <c r="AP49" s="92"/>
      <c r="AQ49" s="92"/>
      <c r="AR49" s="92"/>
    </row>
    <row r="50" spans="2:44" ht="17" x14ac:dyDescent="0.25">
      <c r="B50" s="99" t="s">
        <v>58</v>
      </c>
      <c r="C50" s="93" t="s">
        <v>133</v>
      </c>
      <c r="D50" s="93"/>
      <c r="E50" s="33" t="s">
        <v>129</v>
      </c>
      <c r="F50" s="129"/>
      <c r="G50" s="95" t="s">
        <v>133</v>
      </c>
      <c r="H50" s="96" t="s">
        <v>134</v>
      </c>
      <c r="I50" s="96"/>
      <c r="J50" s="11"/>
      <c r="K50" s="95" t="s">
        <v>136</v>
      </c>
      <c r="L50" s="95" t="s">
        <v>133</v>
      </c>
      <c r="M50" s="96" t="s">
        <v>134</v>
      </c>
      <c r="N50" s="92"/>
      <c r="O50" s="108"/>
      <c r="P50" s="120"/>
      <c r="Q50" s="97"/>
      <c r="R50" s="92" t="s">
        <v>136</v>
      </c>
      <c r="S50" s="92"/>
      <c r="T50" s="92"/>
      <c r="U50" s="92"/>
      <c r="V50" s="95" t="s">
        <v>133</v>
      </c>
      <c r="W50" s="96" t="s">
        <v>134</v>
      </c>
      <c r="X50" s="92"/>
      <c r="Y50" s="106"/>
      <c r="Z50" s="92" t="s">
        <v>136</v>
      </c>
      <c r="AA50" s="95" t="s">
        <v>133</v>
      </c>
      <c r="AB50" s="96" t="s">
        <v>134</v>
      </c>
      <c r="AC50" s="92"/>
      <c r="AD50" s="97"/>
      <c r="AE50" s="92" t="s">
        <v>136</v>
      </c>
      <c r="AF50" s="95" t="s">
        <v>133</v>
      </c>
      <c r="AG50" s="96" t="s">
        <v>134</v>
      </c>
      <c r="AH50" s="92"/>
      <c r="AI50" s="97"/>
      <c r="AJ50" s="92" t="s">
        <v>136</v>
      </c>
      <c r="AK50" s="92" t="s">
        <v>137</v>
      </c>
      <c r="AL50" s="100" t="s">
        <v>138</v>
      </c>
      <c r="AM50" s="92"/>
      <c r="AN50" s="92"/>
      <c r="AO50" s="92"/>
      <c r="AP50" s="92"/>
    </row>
    <row r="51" spans="2:44" ht="17" x14ac:dyDescent="0.25">
      <c r="B51" s="101" t="s">
        <v>29</v>
      </c>
      <c r="C51" s="93" t="s">
        <v>133</v>
      </c>
      <c r="D51" s="93"/>
      <c r="E51" s="11" t="s">
        <v>55</v>
      </c>
      <c r="F51" s="130"/>
      <c r="G51" s="95" t="s">
        <v>133</v>
      </c>
      <c r="H51" s="96" t="s">
        <v>134</v>
      </c>
      <c r="I51" s="96"/>
      <c r="J51" s="11">
        <v>1</v>
      </c>
      <c r="K51" s="95" t="s">
        <v>136</v>
      </c>
      <c r="L51" s="95" t="s">
        <v>133</v>
      </c>
      <c r="M51" s="96" t="s">
        <v>134</v>
      </c>
      <c r="N51" s="92" t="s">
        <v>135</v>
      </c>
      <c r="O51" s="108">
        <v>5000</v>
      </c>
      <c r="P51" s="120"/>
      <c r="Q51" s="97"/>
      <c r="R51" s="92" t="s">
        <v>136</v>
      </c>
      <c r="S51" s="92"/>
      <c r="T51" s="92"/>
      <c r="U51" s="92"/>
      <c r="V51" s="95" t="s">
        <v>133</v>
      </c>
      <c r="W51" s="96" t="s">
        <v>134</v>
      </c>
      <c r="X51" s="92" t="s">
        <v>135</v>
      </c>
      <c r="Y51" s="106">
        <v>250</v>
      </c>
      <c r="Z51" s="92" t="s">
        <v>136</v>
      </c>
      <c r="AA51" s="95" t="s">
        <v>133</v>
      </c>
      <c r="AB51" s="96" t="s">
        <v>134</v>
      </c>
      <c r="AC51" s="92" t="s">
        <v>135</v>
      </c>
      <c r="AD51" s="97">
        <v>5250</v>
      </c>
      <c r="AE51" s="92" t="s">
        <v>136</v>
      </c>
      <c r="AF51" s="95" t="s">
        <v>133</v>
      </c>
      <c r="AG51" s="96" t="s">
        <v>134</v>
      </c>
      <c r="AH51" s="92" t="s">
        <v>135</v>
      </c>
      <c r="AI51" s="97">
        <v>5250</v>
      </c>
      <c r="AJ51" s="92" t="s">
        <v>136</v>
      </c>
      <c r="AK51" s="92" t="s">
        <v>137</v>
      </c>
      <c r="AL51" s="100" t="s">
        <v>138</v>
      </c>
      <c r="AM51" s="92"/>
      <c r="AN51" s="92"/>
      <c r="AO51" s="92"/>
      <c r="AP51" s="92"/>
    </row>
    <row r="52" spans="2:44" ht="17" x14ac:dyDescent="0.25">
      <c r="B52" s="101" t="s">
        <v>8</v>
      </c>
      <c r="C52" s="93" t="s">
        <v>133</v>
      </c>
      <c r="D52" s="93"/>
      <c r="E52" s="11" t="s">
        <v>54</v>
      </c>
      <c r="F52" s="130"/>
      <c r="G52" s="95" t="s">
        <v>133</v>
      </c>
      <c r="H52" s="96" t="s">
        <v>134</v>
      </c>
      <c r="I52" s="96"/>
      <c r="J52" s="11">
        <v>1</v>
      </c>
      <c r="K52" s="95" t="s">
        <v>136</v>
      </c>
      <c r="L52" s="95" t="s">
        <v>133</v>
      </c>
      <c r="M52" s="96" t="s">
        <v>134</v>
      </c>
      <c r="N52" s="92" t="s">
        <v>135</v>
      </c>
      <c r="O52" s="108">
        <v>10000</v>
      </c>
      <c r="P52" s="120"/>
      <c r="Q52" s="97"/>
      <c r="R52" s="92" t="s">
        <v>136</v>
      </c>
      <c r="S52" s="92"/>
      <c r="T52" s="92"/>
      <c r="U52" s="92"/>
      <c r="V52" s="95" t="s">
        <v>133</v>
      </c>
      <c r="W52" s="96" t="s">
        <v>134</v>
      </c>
      <c r="X52" s="92" t="s">
        <v>135</v>
      </c>
      <c r="Y52" s="106">
        <v>500</v>
      </c>
      <c r="Z52" s="92" t="s">
        <v>136</v>
      </c>
      <c r="AA52" s="95" t="s">
        <v>133</v>
      </c>
      <c r="AB52" s="96" t="s">
        <v>134</v>
      </c>
      <c r="AC52" s="92" t="s">
        <v>135</v>
      </c>
      <c r="AD52" s="97">
        <v>10500</v>
      </c>
      <c r="AE52" s="92" t="s">
        <v>136</v>
      </c>
      <c r="AF52" s="95" t="s">
        <v>133</v>
      </c>
      <c r="AG52" s="96" t="s">
        <v>134</v>
      </c>
      <c r="AH52" s="92" t="s">
        <v>135</v>
      </c>
      <c r="AI52" s="97">
        <v>10500</v>
      </c>
      <c r="AJ52" s="92" t="s">
        <v>136</v>
      </c>
      <c r="AK52" s="92" t="s">
        <v>137</v>
      </c>
      <c r="AL52" s="100" t="s">
        <v>138</v>
      </c>
      <c r="AM52" s="92"/>
      <c r="AN52" s="92"/>
      <c r="AO52" s="92"/>
      <c r="AP52" s="92"/>
    </row>
    <row r="53" spans="2:44" ht="17" x14ac:dyDescent="0.25">
      <c r="B53" s="99" t="s">
        <v>9</v>
      </c>
      <c r="C53" s="93" t="s">
        <v>133</v>
      </c>
      <c r="D53" s="93"/>
      <c r="E53" s="33" t="s">
        <v>88</v>
      </c>
      <c r="F53" s="129"/>
      <c r="G53" s="95" t="s">
        <v>133</v>
      </c>
      <c r="H53" s="96" t="s">
        <v>134</v>
      </c>
      <c r="I53" s="96"/>
      <c r="J53" s="11">
        <v>1</v>
      </c>
      <c r="K53" s="95" t="s">
        <v>136</v>
      </c>
      <c r="L53" s="95" t="s">
        <v>133</v>
      </c>
      <c r="M53" s="96" t="s">
        <v>134</v>
      </c>
      <c r="N53" s="92" t="s">
        <v>135</v>
      </c>
      <c r="O53" s="108">
        <v>10000</v>
      </c>
      <c r="P53" s="120"/>
      <c r="Q53" s="97"/>
      <c r="R53" s="92" t="s">
        <v>136</v>
      </c>
      <c r="S53" s="92"/>
      <c r="T53" s="92"/>
      <c r="U53" s="92"/>
      <c r="V53" s="95" t="s">
        <v>133</v>
      </c>
      <c r="W53" s="96" t="s">
        <v>134</v>
      </c>
      <c r="X53" s="92" t="s">
        <v>135</v>
      </c>
      <c r="Y53" s="106">
        <v>500</v>
      </c>
      <c r="Z53" s="92" t="s">
        <v>136</v>
      </c>
      <c r="AA53" s="95" t="s">
        <v>133</v>
      </c>
      <c r="AB53" s="96" t="s">
        <v>134</v>
      </c>
      <c r="AC53" s="92" t="s">
        <v>135</v>
      </c>
      <c r="AD53" s="97">
        <v>10500</v>
      </c>
      <c r="AE53" s="92" t="s">
        <v>136</v>
      </c>
      <c r="AF53" s="95" t="s">
        <v>133</v>
      </c>
      <c r="AG53" s="96" t="s">
        <v>134</v>
      </c>
      <c r="AH53" s="92" t="s">
        <v>135</v>
      </c>
      <c r="AI53" s="97">
        <v>10500</v>
      </c>
      <c r="AJ53" s="92" t="s">
        <v>136</v>
      </c>
      <c r="AK53" s="92" t="s">
        <v>137</v>
      </c>
      <c r="AL53" s="100" t="s">
        <v>138</v>
      </c>
      <c r="AM53" s="92"/>
      <c r="AN53" s="92"/>
      <c r="AO53" s="92"/>
      <c r="AP53" s="92"/>
    </row>
    <row r="54" spans="2:44" ht="17" x14ac:dyDescent="0.25">
      <c r="B54" s="101" t="s">
        <v>31</v>
      </c>
      <c r="C54" s="93" t="s">
        <v>133</v>
      </c>
      <c r="D54" s="93"/>
      <c r="E54" s="33" t="s">
        <v>129</v>
      </c>
      <c r="F54" s="129"/>
      <c r="G54" s="95" t="s">
        <v>133</v>
      </c>
      <c r="H54" s="96" t="s">
        <v>134</v>
      </c>
      <c r="I54" s="96"/>
      <c r="J54" s="11"/>
      <c r="K54" s="95" t="s">
        <v>136</v>
      </c>
      <c r="L54" s="95" t="s">
        <v>133</v>
      </c>
      <c r="M54" s="96" t="s">
        <v>134</v>
      </c>
      <c r="N54" s="92"/>
      <c r="O54" s="108"/>
      <c r="P54" s="120"/>
      <c r="Q54" s="97"/>
      <c r="R54" s="92" t="s">
        <v>136</v>
      </c>
      <c r="S54" s="92"/>
      <c r="T54" s="92"/>
      <c r="U54" s="92"/>
      <c r="V54" s="95" t="s">
        <v>133</v>
      </c>
      <c r="W54" s="96" t="s">
        <v>134</v>
      </c>
      <c r="X54" s="92"/>
      <c r="Y54" s="106"/>
      <c r="Z54" s="92" t="s">
        <v>136</v>
      </c>
      <c r="AA54" s="95" t="s">
        <v>133</v>
      </c>
      <c r="AB54" s="96" t="s">
        <v>134</v>
      </c>
      <c r="AC54" s="92"/>
      <c r="AD54" s="97"/>
      <c r="AE54" s="92" t="s">
        <v>136</v>
      </c>
      <c r="AF54" s="95" t="s">
        <v>133</v>
      </c>
      <c r="AG54" s="96" t="s">
        <v>134</v>
      </c>
      <c r="AH54" s="92"/>
      <c r="AI54" s="97"/>
      <c r="AJ54" s="92" t="s">
        <v>136</v>
      </c>
      <c r="AK54" s="92" t="s">
        <v>137</v>
      </c>
      <c r="AL54" s="100" t="s">
        <v>138</v>
      </c>
      <c r="AM54" s="92"/>
      <c r="AN54" s="92"/>
      <c r="AO54" s="92"/>
      <c r="AP54" s="92"/>
    </row>
    <row r="55" spans="2:44" ht="17" x14ac:dyDescent="0.25">
      <c r="B55" s="101" t="s">
        <v>6</v>
      </c>
      <c r="C55" s="93" t="s">
        <v>133</v>
      </c>
      <c r="D55" s="93"/>
      <c r="E55" s="33" t="s">
        <v>102</v>
      </c>
      <c r="F55" s="129"/>
      <c r="G55" s="95" t="s">
        <v>133</v>
      </c>
      <c r="H55" s="96" t="s">
        <v>134</v>
      </c>
      <c r="I55" s="96"/>
      <c r="J55" s="11">
        <v>1</v>
      </c>
      <c r="K55" s="95" t="s">
        <v>136</v>
      </c>
      <c r="L55" s="95" t="s">
        <v>133</v>
      </c>
      <c r="M55" s="96" t="s">
        <v>134</v>
      </c>
      <c r="N55" s="92" t="s">
        <v>135</v>
      </c>
      <c r="O55" s="109">
        <v>3000</v>
      </c>
      <c r="P55" s="121"/>
      <c r="Q55" s="97"/>
      <c r="R55" s="92" t="s">
        <v>136</v>
      </c>
      <c r="S55" s="92"/>
      <c r="T55" s="92"/>
      <c r="U55" s="92"/>
      <c r="V55" s="95" t="s">
        <v>133</v>
      </c>
      <c r="W55" s="96" t="s">
        <v>134</v>
      </c>
      <c r="X55" s="92" t="s">
        <v>135</v>
      </c>
      <c r="Y55" s="106">
        <v>150</v>
      </c>
      <c r="Z55" s="92" t="s">
        <v>136</v>
      </c>
      <c r="AA55" s="95" t="s">
        <v>133</v>
      </c>
      <c r="AB55" s="96" t="s">
        <v>134</v>
      </c>
      <c r="AC55" s="92" t="s">
        <v>135</v>
      </c>
      <c r="AD55" s="97">
        <v>3150</v>
      </c>
      <c r="AE55" s="92" t="s">
        <v>136</v>
      </c>
      <c r="AF55" s="95" t="s">
        <v>133</v>
      </c>
      <c r="AG55" s="96" t="s">
        <v>134</v>
      </c>
      <c r="AH55" s="92" t="s">
        <v>135</v>
      </c>
      <c r="AI55" s="97">
        <v>3150</v>
      </c>
      <c r="AJ55" s="92" t="s">
        <v>136</v>
      </c>
      <c r="AK55" s="92" t="s">
        <v>137</v>
      </c>
      <c r="AL55" s="100" t="s">
        <v>138</v>
      </c>
      <c r="AM55" s="92"/>
      <c r="AN55" s="92"/>
      <c r="AO55" s="92"/>
      <c r="AP55" s="92"/>
    </row>
    <row r="56" spans="2:44" ht="17" x14ac:dyDescent="0.25">
      <c r="B56" s="101" t="s">
        <v>12</v>
      </c>
      <c r="C56" s="93" t="s">
        <v>133</v>
      </c>
      <c r="D56" s="93"/>
      <c r="E56" s="33" t="s">
        <v>60</v>
      </c>
      <c r="F56" s="129"/>
      <c r="G56" s="95" t="s">
        <v>133</v>
      </c>
      <c r="H56" s="96" t="s">
        <v>134</v>
      </c>
      <c r="I56" s="96"/>
      <c r="J56" s="11">
        <v>1</v>
      </c>
      <c r="K56" s="95" t="s">
        <v>136</v>
      </c>
      <c r="L56" s="95" t="s">
        <v>133</v>
      </c>
      <c r="M56" s="96" t="s">
        <v>134</v>
      </c>
      <c r="N56" s="92" t="s">
        <v>135</v>
      </c>
      <c r="O56" s="108">
        <v>46000</v>
      </c>
      <c r="P56" s="120"/>
      <c r="Q56" s="97"/>
      <c r="R56" s="92" t="s">
        <v>136</v>
      </c>
      <c r="S56" s="92"/>
      <c r="T56" s="92"/>
      <c r="U56" s="92"/>
      <c r="V56" s="95" t="s">
        <v>133</v>
      </c>
      <c r="W56" s="96" t="s">
        <v>134</v>
      </c>
      <c r="X56" s="92" t="s">
        <v>135</v>
      </c>
      <c r="Y56" s="106">
        <v>2300</v>
      </c>
      <c r="Z56" s="92" t="s">
        <v>136</v>
      </c>
      <c r="AA56" s="95" t="s">
        <v>133</v>
      </c>
      <c r="AB56" s="96" t="s">
        <v>134</v>
      </c>
      <c r="AC56" s="92" t="s">
        <v>135</v>
      </c>
      <c r="AD56" s="97">
        <v>48300</v>
      </c>
      <c r="AE56" s="92" t="s">
        <v>136</v>
      </c>
      <c r="AF56" s="95" t="s">
        <v>133</v>
      </c>
      <c r="AG56" s="96" t="s">
        <v>134</v>
      </c>
      <c r="AH56" s="92" t="s">
        <v>135</v>
      </c>
      <c r="AI56" s="97">
        <v>48300</v>
      </c>
      <c r="AJ56" s="92" t="s">
        <v>136</v>
      </c>
      <c r="AK56" s="92" t="s">
        <v>137</v>
      </c>
      <c r="AL56" s="100" t="s">
        <v>138</v>
      </c>
      <c r="AM56" s="92"/>
      <c r="AN56" s="92"/>
      <c r="AO56" s="92"/>
      <c r="AP56" s="92"/>
    </row>
    <row r="57" spans="2:44" ht="17" x14ac:dyDescent="0.25">
      <c r="B57" s="101" t="s">
        <v>7</v>
      </c>
      <c r="C57" s="93" t="s">
        <v>133</v>
      </c>
      <c r="D57" s="93"/>
      <c r="E57" s="33" t="s">
        <v>99</v>
      </c>
      <c r="F57" s="129"/>
      <c r="G57" s="95" t="s">
        <v>133</v>
      </c>
      <c r="H57" s="96" t="s">
        <v>134</v>
      </c>
      <c r="I57" s="96"/>
      <c r="J57" s="11">
        <v>1</v>
      </c>
      <c r="K57" s="95" t="s">
        <v>136</v>
      </c>
      <c r="L57" s="95" t="s">
        <v>133</v>
      </c>
      <c r="M57" s="96" t="s">
        <v>134</v>
      </c>
      <c r="N57" s="92" t="s">
        <v>135</v>
      </c>
      <c r="O57" s="109">
        <v>20000</v>
      </c>
      <c r="P57" s="121"/>
      <c r="Q57" s="97"/>
      <c r="R57" s="92" t="s">
        <v>136</v>
      </c>
      <c r="S57" s="92"/>
      <c r="T57" s="92"/>
      <c r="U57" s="92"/>
      <c r="V57" s="95" t="s">
        <v>133</v>
      </c>
      <c r="W57" s="96" t="s">
        <v>134</v>
      </c>
      <c r="X57" s="92" t="s">
        <v>135</v>
      </c>
      <c r="Y57" s="106">
        <v>1000</v>
      </c>
      <c r="Z57" s="92" t="s">
        <v>136</v>
      </c>
      <c r="AA57" s="95" t="s">
        <v>133</v>
      </c>
      <c r="AB57" s="96" t="s">
        <v>134</v>
      </c>
      <c r="AC57" s="92" t="s">
        <v>135</v>
      </c>
      <c r="AD57" s="97">
        <v>21000</v>
      </c>
      <c r="AE57" s="92" t="s">
        <v>136</v>
      </c>
      <c r="AF57" s="95" t="s">
        <v>133</v>
      </c>
      <c r="AG57" s="96" t="s">
        <v>134</v>
      </c>
      <c r="AH57" s="92" t="s">
        <v>135</v>
      </c>
      <c r="AI57" s="97">
        <v>21000</v>
      </c>
      <c r="AJ57" s="92" t="s">
        <v>136</v>
      </c>
      <c r="AK57" s="92" t="s">
        <v>137</v>
      </c>
      <c r="AL57" s="100" t="s">
        <v>138</v>
      </c>
      <c r="AM57" s="92"/>
      <c r="AN57" s="92"/>
      <c r="AO57" s="92"/>
      <c r="AP57" s="92"/>
    </row>
    <row r="58" spans="2:44" ht="17" x14ac:dyDescent="0.25">
      <c r="B58" s="101" t="s">
        <v>139</v>
      </c>
      <c r="C58" s="93" t="s">
        <v>133</v>
      </c>
      <c r="D58" s="93"/>
      <c r="E58" s="104" t="s">
        <v>61</v>
      </c>
      <c r="F58" s="131"/>
      <c r="G58" s="95" t="s">
        <v>133</v>
      </c>
      <c r="H58" s="96" t="s">
        <v>134</v>
      </c>
      <c r="I58" s="96"/>
      <c r="J58" s="105">
        <v>170</v>
      </c>
      <c r="K58" s="95" t="s">
        <v>136</v>
      </c>
      <c r="L58" s="95" t="s">
        <v>133</v>
      </c>
      <c r="M58" s="96" t="s">
        <v>134</v>
      </c>
      <c r="N58" s="92" t="s">
        <v>135</v>
      </c>
      <c r="O58" s="110">
        <v>13750</v>
      </c>
      <c r="P58" s="122"/>
      <c r="Q58" s="97"/>
      <c r="R58" s="92" t="s">
        <v>136</v>
      </c>
      <c r="S58" s="92"/>
      <c r="T58" s="92"/>
      <c r="U58" s="92"/>
      <c r="V58" s="95" t="s">
        <v>133</v>
      </c>
      <c r="W58" s="96" t="s">
        <v>134</v>
      </c>
      <c r="X58" s="92" t="s">
        <v>135</v>
      </c>
      <c r="Y58" s="107">
        <v>6875</v>
      </c>
      <c r="Z58" s="92" t="s">
        <v>136</v>
      </c>
      <c r="AA58" s="95" t="s">
        <v>133</v>
      </c>
      <c r="AB58" s="96" t="s">
        <v>134</v>
      </c>
      <c r="AC58" s="92" t="s">
        <v>135</v>
      </c>
      <c r="AD58" s="97">
        <v>20625</v>
      </c>
      <c r="AE58" s="92" t="s">
        <v>136</v>
      </c>
      <c r="AF58" s="95" t="s">
        <v>133</v>
      </c>
      <c r="AG58" s="96" t="s">
        <v>134</v>
      </c>
      <c r="AH58" s="92" t="s">
        <v>135</v>
      </c>
      <c r="AI58" s="97">
        <v>3506250</v>
      </c>
      <c r="AJ58" s="92" t="s">
        <v>136</v>
      </c>
      <c r="AK58" s="92" t="s">
        <v>137</v>
      </c>
      <c r="AL58" s="100" t="s">
        <v>138</v>
      </c>
      <c r="AM58" s="92"/>
      <c r="AN58" s="92"/>
      <c r="AO58" s="92"/>
      <c r="AP58" s="92"/>
    </row>
    <row r="59" spans="2:44" ht="17" x14ac:dyDescent="0.25">
      <c r="B59" s="99" t="s">
        <v>13</v>
      </c>
      <c r="C59" s="93" t="s">
        <v>133</v>
      </c>
      <c r="D59" s="93"/>
      <c r="E59" s="11" t="s">
        <v>93</v>
      </c>
      <c r="F59" s="130"/>
      <c r="G59" s="95" t="s">
        <v>133</v>
      </c>
      <c r="H59" s="96" t="s">
        <v>134</v>
      </c>
      <c r="I59" s="96"/>
      <c r="J59" s="33">
        <f>J60/10</f>
        <v>1200</v>
      </c>
      <c r="K59" s="95" t="s">
        <v>136</v>
      </c>
      <c r="L59" s="95" t="s">
        <v>133</v>
      </c>
      <c r="M59" s="96" t="s">
        <v>134</v>
      </c>
      <c r="N59" s="92" t="s">
        <v>135</v>
      </c>
      <c r="O59" s="108">
        <v>50000</v>
      </c>
      <c r="P59" s="120"/>
      <c r="Q59" s="97"/>
      <c r="R59" s="92" t="s">
        <v>136</v>
      </c>
      <c r="S59" s="92"/>
      <c r="T59" s="92"/>
      <c r="U59" s="92"/>
      <c r="V59" s="95" t="s">
        <v>133</v>
      </c>
      <c r="W59" s="96" t="s">
        <v>134</v>
      </c>
      <c r="X59" s="92" t="s">
        <v>135</v>
      </c>
      <c r="Y59" s="106">
        <v>2500</v>
      </c>
      <c r="Z59" s="92" t="s">
        <v>136</v>
      </c>
      <c r="AA59" s="95" t="s">
        <v>133</v>
      </c>
      <c r="AB59" s="96" t="s">
        <v>134</v>
      </c>
      <c r="AC59" s="92" t="s">
        <v>135</v>
      </c>
      <c r="AD59" s="97">
        <v>52500</v>
      </c>
      <c r="AE59" s="92" t="s">
        <v>136</v>
      </c>
      <c r="AF59" s="95" t="s">
        <v>133</v>
      </c>
      <c r="AG59" s="96" t="s">
        <v>134</v>
      </c>
      <c r="AH59" s="92" t="s">
        <v>135</v>
      </c>
      <c r="AI59" s="97">
        <v>63000000</v>
      </c>
      <c r="AJ59" s="92" t="s">
        <v>136</v>
      </c>
      <c r="AK59" s="92" t="s">
        <v>137</v>
      </c>
      <c r="AL59" s="100" t="s">
        <v>138</v>
      </c>
      <c r="AM59" s="92"/>
      <c r="AN59" s="92"/>
      <c r="AO59" s="92"/>
      <c r="AP59" s="92"/>
    </row>
    <row r="60" spans="2:44" ht="17" x14ac:dyDescent="0.25">
      <c r="B60" s="161" t="s">
        <v>15</v>
      </c>
      <c r="C60" s="93" t="s">
        <v>133</v>
      </c>
      <c r="D60" s="93"/>
      <c r="E60" s="11" t="s">
        <v>107</v>
      </c>
      <c r="F60" s="130"/>
      <c r="G60" s="95" t="s">
        <v>133</v>
      </c>
      <c r="H60" s="96" t="s">
        <v>134</v>
      </c>
      <c r="I60" s="96"/>
      <c r="J60" s="11">
        <v>12000</v>
      </c>
      <c r="K60" s="95" t="s">
        <v>136</v>
      </c>
      <c r="L60" s="95" t="s">
        <v>133</v>
      </c>
      <c r="M60" s="96" t="s">
        <v>134</v>
      </c>
      <c r="N60" s="92" t="s">
        <v>135</v>
      </c>
      <c r="O60" s="108">
        <v>10000</v>
      </c>
      <c r="P60" s="120"/>
      <c r="Q60" s="97"/>
      <c r="R60" s="92" t="s">
        <v>136</v>
      </c>
      <c r="S60" s="92"/>
      <c r="T60" s="92"/>
      <c r="U60" s="92"/>
      <c r="V60" s="95" t="s">
        <v>133</v>
      </c>
      <c r="W60" s="96" t="s">
        <v>134</v>
      </c>
      <c r="X60" s="92" t="s">
        <v>135</v>
      </c>
      <c r="Y60" s="106">
        <v>500</v>
      </c>
      <c r="Z60" s="92" t="s">
        <v>136</v>
      </c>
      <c r="AA60" s="95" t="s">
        <v>133</v>
      </c>
      <c r="AB60" s="96" t="s">
        <v>134</v>
      </c>
      <c r="AC60" s="92" t="s">
        <v>135</v>
      </c>
      <c r="AD60" s="97">
        <v>10500</v>
      </c>
      <c r="AE60" s="92" t="s">
        <v>136</v>
      </c>
      <c r="AF60" s="95" t="s">
        <v>133</v>
      </c>
      <c r="AG60" s="96" t="s">
        <v>134</v>
      </c>
      <c r="AH60" s="92" t="s">
        <v>135</v>
      </c>
      <c r="AI60" s="97">
        <v>126000000</v>
      </c>
      <c r="AJ60" s="92" t="s">
        <v>136</v>
      </c>
      <c r="AK60" s="92" t="s">
        <v>137</v>
      </c>
      <c r="AL60" s="100" t="s">
        <v>138</v>
      </c>
      <c r="AM60" s="92"/>
      <c r="AN60" s="92"/>
      <c r="AO60" s="92"/>
      <c r="AP60" s="92"/>
    </row>
    <row r="61" spans="2:44" ht="17" x14ac:dyDescent="0.25">
      <c r="B61" s="162"/>
      <c r="C61" s="93" t="s">
        <v>133</v>
      </c>
      <c r="D61" s="93"/>
      <c r="E61" s="11" t="s">
        <v>108</v>
      </c>
      <c r="F61" s="130"/>
      <c r="G61" s="95" t="s">
        <v>133</v>
      </c>
      <c r="H61" s="96" t="s">
        <v>134</v>
      </c>
      <c r="I61" s="96"/>
      <c r="J61" s="11">
        <v>12000</v>
      </c>
      <c r="K61" s="95" t="s">
        <v>136</v>
      </c>
      <c r="L61" s="95" t="s">
        <v>133</v>
      </c>
      <c r="M61" s="96" t="s">
        <v>134</v>
      </c>
      <c r="N61" s="92" t="s">
        <v>135</v>
      </c>
      <c r="O61" s="108">
        <v>2700000</v>
      </c>
      <c r="P61" s="120"/>
      <c r="Q61" s="97"/>
      <c r="R61" s="92" t="s">
        <v>136</v>
      </c>
      <c r="S61" s="92"/>
      <c r="T61" s="92"/>
      <c r="U61" s="92"/>
      <c r="V61" s="95" t="s">
        <v>133</v>
      </c>
      <c r="W61" s="96" t="s">
        <v>134</v>
      </c>
      <c r="X61" s="92" t="s">
        <v>135</v>
      </c>
      <c r="Y61" s="106">
        <v>135000</v>
      </c>
      <c r="Z61" s="92" t="s">
        <v>136</v>
      </c>
      <c r="AA61" s="95" t="s">
        <v>133</v>
      </c>
      <c r="AB61" s="96" t="s">
        <v>134</v>
      </c>
      <c r="AC61" s="92" t="s">
        <v>135</v>
      </c>
      <c r="AD61" s="97">
        <v>2835000</v>
      </c>
      <c r="AE61" s="92" t="s">
        <v>136</v>
      </c>
      <c r="AF61" s="95" t="s">
        <v>133</v>
      </c>
      <c r="AG61" s="96" t="s">
        <v>134</v>
      </c>
      <c r="AH61" s="92" t="s">
        <v>135</v>
      </c>
      <c r="AI61" s="97">
        <v>34020000000</v>
      </c>
      <c r="AJ61" s="92" t="s">
        <v>136</v>
      </c>
      <c r="AK61" s="92" t="s">
        <v>137</v>
      </c>
      <c r="AL61" s="100" t="s">
        <v>138</v>
      </c>
      <c r="AM61" s="92"/>
      <c r="AN61" s="92"/>
      <c r="AO61" s="92"/>
      <c r="AP61" s="92"/>
    </row>
    <row r="62" spans="2:44" ht="17" x14ac:dyDescent="0.25">
      <c r="B62" s="101" t="s">
        <v>14</v>
      </c>
      <c r="C62" s="93" t="s">
        <v>133</v>
      </c>
      <c r="D62" s="93"/>
      <c r="E62" s="11" t="s">
        <v>109</v>
      </c>
      <c r="F62" s="130"/>
      <c r="G62" s="95" t="s">
        <v>133</v>
      </c>
      <c r="H62" s="96" t="s">
        <v>134</v>
      </c>
      <c r="I62" s="96"/>
      <c r="J62" s="11">
        <v>125000</v>
      </c>
      <c r="K62" s="95" t="s">
        <v>136</v>
      </c>
      <c r="L62" s="95" t="s">
        <v>133</v>
      </c>
      <c r="M62" s="96" t="s">
        <v>134</v>
      </c>
      <c r="N62" s="92" t="s">
        <v>135</v>
      </c>
      <c r="O62" s="111">
        <v>7000</v>
      </c>
      <c r="P62" s="123"/>
      <c r="Q62" s="97"/>
      <c r="R62" s="92" t="s">
        <v>136</v>
      </c>
      <c r="S62" s="92"/>
      <c r="T62" s="92"/>
      <c r="U62" s="92"/>
      <c r="V62" s="95" t="s">
        <v>133</v>
      </c>
      <c r="W62" s="96" t="s">
        <v>134</v>
      </c>
      <c r="X62" s="92" t="s">
        <v>135</v>
      </c>
      <c r="Y62" s="106">
        <v>350</v>
      </c>
      <c r="Z62" s="92" t="s">
        <v>136</v>
      </c>
      <c r="AA62" s="95" t="s">
        <v>133</v>
      </c>
      <c r="AB62" s="96" t="s">
        <v>134</v>
      </c>
      <c r="AC62" s="92" t="s">
        <v>135</v>
      </c>
      <c r="AD62" s="97">
        <v>7350</v>
      </c>
      <c r="AE62" s="92" t="s">
        <v>136</v>
      </c>
      <c r="AF62" s="95" t="s">
        <v>133</v>
      </c>
      <c r="AG62" s="96" t="s">
        <v>134</v>
      </c>
      <c r="AH62" s="92" t="s">
        <v>135</v>
      </c>
      <c r="AI62" s="97">
        <v>918750000</v>
      </c>
      <c r="AJ62" s="92" t="s">
        <v>136</v>
      </c>
      <c r="AK62" s="92" t="s">
        <v>137</v>
      </c>
      <c r="AL62" s="100" t="s">
        <v>138</v>
      </c>
      <c r="AM62" s="92"/>
      <c r="AN62" s="92"/>
      <c r="AO62" s="92"/>
      <c r="AP62" s="92"/>
    </row>
    <row r="63" spans="2:44" ht="17" x14ac:dyDescent="0.25">
      <c r="B63" s="101" t="s">
        <v>16</v>
      </c>
      <c r="C63" s="93" t="s">
        <v>133</v>
      </c>
      <c r="D63" s="93"/>
      <c r="E63" s="11"/>
      <c r="F63" s="130"/>
      <c r="G63" s="95" t="s">
        <v>133</v>
      </c>
      <c r="H63" s="96" t="s">
        <v>134</v>
      </c>
      <c r="I63" s="96"/>
      <c r="J63" s="11"/>
      <c r="K63" s="95" t="s">
        <v>136</v>
      </c>
      <c r="L63" s="95" t="s">
        <v>133</v>
      </c>
      <c r="M63" s="96" t="s">
        <v>134</v>
      </c>
      <c r="N63" s="92"/>
      <c r="O63" s="108"/>
      <c r="P63" s="120"/>
      <c r="Q63" s="97"/>
      <c r="R63" s="92" t="s">
        <v>136</v>
      </c>
      <c r="S63" s="92"/>
      <c r="T63" s="92"/>
      <c r="U63" s="92"/>
      <c r="V63" s="95" t="s">
        <v>133</v>
      </c>
      <c r="W63" s="96" t="s">
        <v>134</v>
      </c>
      <c r="X63" s="92"/>
      <c r="Y63" s="106"/>
      <c r="Z63" s="92" t="s">
        <v>136</v>
      </c>
      <c r="AA63" s="95" t="s">
        <v>133</v>
      </c>
      <c r="AB63" s="96" t="s">
        <v>134</v>
      </c>
      <c r="AC63" s="92"/>
      <c r="AD63" s="97"/>
      <c r="AE63" s="92" t="s">
        <v>136</v>
      </c>
      <c r="AF63" s="95" t="s">
        <v>133</v>
      </c>
      <c r="AG63" s="96" t="s">
        <v>134</v>
      </c>
      <c r="AH63" s="92"/>
      <c r="AI63" s="97"/>
      <c r="AJ63" s="92" t="s">
        <v>136</v>
      </c>
      <c r="AK63" s="92" t="s">
        <v>137</v>
      </c>
      <c r="AL63" s="100" t="s">
        <v>138</v>
      </c>
      <c r="AM63" s="92"/>
      <c r="AN63" s="92"/>
      <c r="AO63" s="92"/>
      <c r="AP63" s="92"/>
    </row>
    <row r="64" spans="2:44" x14ac:dyDescent="0.2">
      <c r="B64" s="92"/>
      <c r="C64" s="92"/>
      <c r="D64" s="92"/>
      <c r="E64" s="92"/>
      <c r="F64" s="92"/>
      <c r="G64" s="95"/>
      <c r="H64" s="95"/>
      <c r="I64" s="95"/>
      <c r="J64" s="95"/>
      <c r="K64" s="92"/>
      <c r="L64" s="102"/>
      <c r="M64" s="95"/>
      <c r="N64" s="92"/>
      <c r="O64" s="102"/>
      <c r="P64" s="102"/>
      <c r="Q64" s="97"/>
      <c r="R64" s="92"/>
      <c r="S64" s="92"/>
      <c r="T64" s="92"/>
      <c r="U64" s="92"/>
      <c r="V64" s="100"/>
      <c r="W64" s="92"/>
      <c r="X64" s="92"/>
      <c r="Y64" s="103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00"/>
      <c r="AM64" s="92"/>
      <c r="AN64" s="92"/>
      <c r="AO64" s="92"/>
      <c r="AP64" s="92"/>
    </row>
    <row r="65" spans="2:38" x14ac:dyDescent="0.2">
      <c r="O65" s="112"/>
      <c r="P65" s="112"/>
    </row>
    <row r="67" spans="2:38" x14ac:dyDescent="0.2">
      <c r="B67" t="s">
        <v>4</v>
      </c>
    </row>
    <row r="69" spans="2:38" ht="17" x14ac:dyDescent="0.25">
      <c r="B69" s="92" t="s">
        <v>0</v>
      </c>
      <c r="C69" s="93" t="s">
        <v>133</v>
      </c>
      <c r="D69" s="93"/>
      <c r="E69" s="76" t="s">
        <v>143</v>
      </c>
      <c r="F69" s="124"/>
      <c r="G69" s="95" t="s">
        <v>133</v>
      </c>
      <c r="H69" s="96"/>
      <c r="I69" s="96"/>
      <c r="J69" s="76" t="s">
        <v>115</v>
      </c>
      <c r="K69" s="95"/>
      <c r="L69" s="95" t="s">
        <v>133</v>
      </c>
      <c r="M69" s="96"/>
      <c r="N69" s="92"/>
      <c r="O69" s="76" t="s">
        <v>114</v>
      </c>
      <c r="P69" s="124"/>
      <c r="Q69" s="97"/>
      <c r="R69" s="92"/>
      <c r="S69" s="92"/>
      <c r="T69" s="92"/>
      <c r="U69" s="92"/>
      <c r="V69" s="95" t="s">
        <v>133</v>
      </c>
      <c r="W69" s="96"/>
      <c r="X69" s="92"/>
      <c r="Y69" s="76" t="s">
        <v>18</v>
      </c>
      <c r="Z69" s="92"/>
      <c r="AA69" s="95" t="s">
        <v>133</v>
      </c>
      <c r="AB69" s="96"/>
      <c r="AC69" s="92"/>
      <c r="AD69" s="76" t="s">
        <v>117</v>
      </c>
      <c r="AE69" s="92"/>
      <c r="AF69" s="95" t="s">
        <v>133</v>
      </c>
      <c r="AG69" s="96"/>
      <c r="AH69" s="92"/>
      <c r="AI69" s="76" t="s">
        <v>118</v>
      </c>
      <c r="AJ69" s="92"/>
      <c r="AK69" s="92" t="s">
        <v>137</v>
      </c>
      <c r="AL69" s="100" t="s">
        <v>138</v>
      </c>
    </row>
    <row r="70" spans="2:38" ht="17" x14ac:dyDescent="0.25">
      <c r="B70" s="60" t="s">
        <v>141</v>
      </c>
      <c r="C70" s="93" t="s">
        <v>133</v>
      </c>
      <c r="D70" s="96"/>
      <c r="E70" s="33" t="s">
        <v>142</v>
      </c>
      <c r="F70" s="129"/>
      <c r="G70" s="95" t="s">
        <v>133</v>
      </c>
      <c r="H70" s="96" t="s">
        <v>134</v>
      </c>
      <c r="I70" s="92"/>
      <c r="J70" s="114"/>
      <c r="K70" s="95" t="s">
        <v>136</v>
      </c>
      <c r="L70" s="95" t="s">
        <v>133</v>
      </c>
      <c r="M70" s="96" t="s">
        <v>134</v>
      </c>
      <c r="N70" s="92"/>
      <c r="O70" s="108"/>
      <c r="P70" s="120"/>
      <c r="Q70" s="97"/>
      <c r="R70" s="92" t="s">
        <v>136</v>
      </c>
      <c r="S70" s="92"/>
      <c r="T70" s="92"/>
      <c r="U70" s="92"/>
      <c r="V70" s="95" t="s">
        <v>133</v>
      </c>
      <c r="W70" s="96" t="s">
        <v>134</v>
      </c>
      <c r="X70" s="92"/>
      <c r="Y70" s="106"/>
      <c r="Z70" s="92" t="s">
        <v>136</v>
      </c>
      <c r="AA70" s="95" t="s">
        <v>133</v>
      </c>
      <c r="AB70" s="96" t="s">
        <v>134</v>
      </c>
      <c r="AC70" s="92"/>
      <c r="AD70" s="97"/>
      <c r="AE70" s="92" t="s">
        <v>136</v>
      </c>
      <c r="AF70" s="95" t="s">
        <v>133</v>
      </c>
      <c r="AG70" s="96" t="s">
        <v>134</v>
      </c>
      <c r="AH70" s="92" t="s">
        <v>135</v>
      </c>
      <c r="AI70" s="118">
        <v>20000</v>
      </c>
      <c r="AJ70" s="92" t="s">
        <v>136</v>
      </c>
      <c r="AK70" s="92" t="s">
        <v>137</v>
      </c>
      <c r="AL70" s="100" t="s">
        <v>138</v>
      </c>
    </row>
    <row r="71" spans="2:38" ht="17" x14ac:dyDescent="0.25">
      <c r="B71" s="101" t="s">
        <v>139</v>
      </c>
      <c r="C71" s="93" t="s">
        <v>133</v>
      </c>
      <c r="D71" s="96" t="s">
        <v>134</v>
      </c>
      <c r="E71" s="76" t="s">
        <v>144</v>
      </c>
      <c r="F71" s="124" t="s">
        <v>136</v>
      </c>
      <c r="G71" s="95" t="s">
        <v>133</v>
      </c>
      <c r="H71" s="96" t="s">
        <v>134</v>
      </c>
      <c r="I71" s="92" t="s">
        <v>135</v>
      </c>
      <c r="J71" s="116">
        <f>8760*1*1*0.06</f>
        <v>525.6</v>
      </c>
      <c r="K71" s="95" t="s">
        <v>136</v>
      </c>
      <c r="L71" s="95" t="s">
        <v>133</v>
      </c>
      <c r="M71" s="96" t="s">
        <v>134</v>
      </c>
      <c r="N71" s="113" t="s">
        <v>150</v>
      </c>
      <c r="O71" s="92" t="s">
        <v>148</v>
      </c>
      <c r="P71" s="125" t="s">
        <v>149</v>
      </c>
      <c r="Q71" s="92" t="s">
        <v>148</v>
      </c>
      <c r="R71" s="92" t="s">
        <v>136</v>
      </c>
      <c r="S71" s="92"/>
      <c r="T71" s="92"/>
      <c r="U71" s="92"/>
      <c r="V71" s="95" t="s">
        <v>133</v>
      </c>
      <c r="W71" s="96" t="s">
        <v>134</v>
      </c>
      <c r="X71" s="92" t="s">
        <v>135</v>
      </c>
      <c r="Y71" s="117">
        <v>77.13</v>
      </c>
      <c r="Z71" s="92" t="s">
        <v>136</v>
      </c>
      <c r="AA71" s="95" t="s">
        <v>133</v>
      </c>
      <c r="AB71" s="96" t="s">
        <v>134</v>
      </c>
      <c r="AC71" s="92" t="s">
        <v>135</v>
      </c>
      <c r="AD71" s="112">
        <v>602.73</v>
      </c>
      <c r="AE71" s="92" t="s">
        <v>136</v>
      </c>
      <c r="AF71" s="95" t="s">
        <v>133</v>
      </c>
      <c r="AG71" s="96" t="s">
        <v>134</v>
      </c>
      <c r="AH71" s="92" t="s">
        <v>135</v>
      </c>
      <c r="AI71" s="112">
        <v>102464.1</v>
      </c>
      <c r="AJ71" s="92" t="s">
        <v>136</v>
      </c>
      <c r="AK71" s="92" t="s">
        <v>137</v>
      </c>
      <c r="AL71" s="100" t="s">
        <v>138</v>
      </c>
    </row>
    <row r="72" spans="2:38" ht="17" x14ac:dyDescent="0.25">
      <c r="B72" s="60" t="s">
        <v>13</v>
      </c>
      <c r="C72" s="93" t="s">
        <v>133</v>
      </c>
      <c r="D72" s="96" t="s">
        <v>134</v>
      </c>
      <c r="E72" s="76" t="s">
        <v>144</v>
      </c>
      <c r="F72" s="124" t="s">
        <v>136</v>
      </c>
      <c r="G72" s="95" t="s">
        <v>133</v>
      </c>
      <c r="H72" s="96" t="s">
        <v>134</v>
      </c>
      <c r="I72" s="92" t="s">
        <v>135</v>
      </c>
      <c r="J72" s="116">
        <f>8760*10*1*0.06</f>
        <v>5256</v>
      </c>
      <c r="K72" s="95" t="s">
        <v>136</v>
      </c>
      <c r="L72" s="95" t="s">
        <v>133</v>
      </c>
      <c r="M72" s="96" t="s">
        <v>134</v>
      </c>
      <c r="N72" s="113" t="s">
        <v>151</v>
      </c>
      <c r="O72" s="92" t="s">
        <v>148</v>
      </c>
      <c r="P72" s="125" t="s">
        <v>149</v>
      </c>
      <c r="Q72" s="92" t="s">
        <v>148</v>
      </c>
      <c r="R72" s="92" t="s">
        <v>136</v>
      </c>
      <c r="S72" s="92"/>
      <c r="T72" s="92"/>
      <c r="U72" s="92"/>
      <c r="V72" s="95" t="s">
        <v>133</v>
      </c>
      <c r="W72" s="96" t="s">
        <v>134</v>
      </c>
      <c r="X72" s="92" t="s">
        <v>135</v>
      </c>
      <c r="Y72" s="117">
        <v>257.10000000000002</v>
      </c>
      <c r="Z72" s="92" t="s">
        <v>136</v>
      </c>
      <c r="AA72" s="95" t="s">
        <v>133</v>
      </c>
      <c r="AB72" s="96" t="s">
        <v>134</v>
      </c>
      <c r="AC72" s="92" t="s">
        <v>135</v>
      </c>
      <c r="AD72" s="112">
        <v>5513.1</v>
      </c>
      <c r="AE72" s="92" t="s">
        <v>136</v>
      </c>
      <c r="AF72" s="95" t="s">
        <v>133</v>
      </c>
      <c r="AG72" s="96" t="s">
        <v>134</v>
      </c>
      <c r="AH72" s="92" t="s">
        <v>135</v>
      </c>
      <c r="AI72" s="112">
        <v>6615720</v>
      </c>
      <c r="AJ72" s="92" t="s">
        <v>136</v>
      </c>
      <c r="AK72" s="92" t="s">
        <v>137</v>
      </c>
      <c r="AL72" s="100" t="s">
        <v>138</v>
      </c>
    </row>
    <row r="73" spans="2:38" ht="17" x14ac:dyDescent="0.25">
      <c r="B73" s="61" t="s">
        <v>15</v>
      </c>
      <c r="C73" s="93" t="s">
        <v>133</v>
      </c>
      <c r="D73" s="96" t="s">
        <v>134</v>
      </c>
      <c r="E73" s="76" t="s">
        <v>144</v>
      </c>
      <c r="F73" s="124" t="s">
        <v>136</v>
      </c>
      <c r="G73" s="95" t="s">
        <v>133</v>
      </c>
      <c r="H73" s="96" t="s">
        <v>134</v>
      </c>
      <c r="I73" s="92" t="s">
        <v>135</v>
      </c>
      <c r="J73" s="116">
        <f>1*0.066*8760*10</f>
        <v>5781.6</v>
      </c>
      <c r="K73" s="95" t="s">
        <v>136</v>
      </c>
      <c r="L73" s="95" t="s">
        <v>133</v>
      </c>
      <c r="M73" s="96" t="s">
        <v>134</v>
      </c>
      <c r="N73" s="113" t="s">
        <v>151</v>
      </c>
      <c r="O73" s="92" t="s">
        <v>148</v>
      </c>
      <c r="P73" s="125" t="s">
        <v>149</v>
      </c>
      <c r="Q73" s="92" t="s">
        <v>148</v>
      </c>
      <c r="R73" s="92" t="s">
        <v>136</v>
      </c>
      <c r="S73" s="92"/>
      <c r="T73" s="92"/>
      <c r="U73" s="92"/>
      <c r="V73" s="95" t="s">
        <v>133</v>
      </c>
      <c r="W73" s="96" t="s">
        <v>134</v>
      </c>
      <c r="X73" s="92" t="s">
        <v>135</v>
      </c>
      <c r="Y73" s="117">
        <v>257.10000000000002</v>
      </c>
      <c r="Z73" s="92" t="s">
        <v>136</v>
      </c>
      <c r="AA73" s="95" t="s">
        <v>133</v>
      </c>
      <c r="AB73" s="96" t="s">
        <v>134</v>
      </c>
      <c r="AC73" s="92" t="s">
        <v>135</v>
      </c>
      <c r="AD73" s="112">
        <v>6038.7000000000007</v>
      </c>
      <c r="AE73" s="92" t="s">
        <v>136</v>
      </c>
      <c r="AF73" s="95" t="s">
        <v>133</v>
      </c>
      <c r="AG73" s="96" t="s">
        <v>134</v>
      </c>
      <c r="AH73" s="92" t="s">
        <v>135</v>
      </c>
      <c r="AI73" s="112">
        <v>72464400.000000015</v>
      </c>
      <c r="AJ73" s="92" t="s">
        <v>136</v>
      </c>
      <c r="AK73" s="92" t="s">
        <v>137</v>
      </c>
      <c r="AL73" s="100" t="s">
        <v>138</v>
      </c>
    </row>
    <row r="74" spans="2:38" ht="17" x14ac:dyDescent="0.25">
      <c r="B74" s="61"/>
      <c r="C74" s="93" t="s">
        <v>133</v>
      </c>
      <c r="D74" s="96" t="s">
        <v>134</v>
      </c>
      <c r="E74" s="76" t="s">
        <v>145</v>
      </c>
      <c r="F74" s="124" t="s">
        <v>136</v>
      </c>
      <c r="G74" s="95" t="s">
        <v>133</v>
      </c>
      <c r="H74" s="96" t="s">
        <v>134</v>
      </c>
      <c r="I74" s="92" t="s">
        <v>135</v>
      </c>
      <c r="J74" s="116">
        <f>4.5*0.066*8760*10</f>
        <v>26017.200000000004</v>
      </c>
      <c r="K74" s="95" t="s">
        <v>136</v>
      </c>
      <c r="L74" s="95" t="s">
        <v>133</v>
      </c>
      <c r="M74" s="96" t="s">
        <v>134</v>
      </c>
      <c r="N74" s="113" t="s">
        <v>152</v>
      </c>
      <c r="O74" s="92" t="s">
        <v>148</v>
      </c>
      <c r="P74" s="125" t="s">
        <v>149</v>
      </c>
      <c r="Q74" s="92" t="s">
        <v>148</v>
      </c>
      <c r="R74" s="92" t="s">
        <v>136</v>
      </c>
      <c r="S74" s="92"/>
      <c r="T74" s="92"/>
      <c r="U74" s="92"/>
      <c r="V74" s="95" t="s">
        <v>133</v>
      </c>
      <c r="W74" s="96" t="s">
        <v>134</v>
      </c>
      <c r="X74" s="92" t="s">
        <v>135</v>
      </c>
      <c r="Y74" s="117">
        <v>5142</v>
      </c>
      <c r="Z74" s="92" t="s">
        <v>136</v>
      </c>
      <c r="AA74" s="95" t="s">
        <v>133</v>
      </c>
      <c r="AB74" s="96" t="s">
        <v>134</v>
      </c>
      <c r="AC74" s="92" t="s">
        <v>135</v>
      </c>
      <c r="AD74" s="112">
        <v>31159.200000000004</v>
      </c>
      <c r="AE74" s="92" t="s">
        <v>136</v>
      </c>
      <c r="AF74" s="95" t="s">
        <v>133</v>
      </c>
      <c r="AG74" s="96" t="s">
        <v>134</v>
      </c>
      <c r="AH74" s="92" t="s">
        <v>135</v>
      </c>
      <c r="AI74" s="112">
        <v>373910400.00000006</v>
      </c>
      <c r="AJ74" s="92" t="s">
        <v>136</v>
      </c>
      <c r="AK74" s="92" t="s">
        <v>137</v>
      </c>
      <c r="AL74" s="100" t="s">
        <v>138</v>
      </c>
    </row>
    <row r="75" spans="2:38" ht="17" x14ac:dyDescent="0.25">
      <c r="B75" s="61" t="s">
        <v>14</v>
      </c>
      <c r="C75" s="93" t="s">
        <v>133</v>
      </c>
      <c r="D75" s="96" t="s">
        <v>134</v>
      </c>
      <c r="E75" s="76" t="s">
        <v>146</v>
      </c>
      <c r="F75" s="124" t="s">
        <v>136</v>
      </c>
      <c r="G75" s="95" t="s">
        <v>133</v>
      </c>
      <c r="H75" s="96" t="s">
        <v>134</v>
      </c>
      <c r="I75" s="92" t="s">
        <v>135</v>
      </c>
      <c r="J75" s="116">
        <f>0.3*0.066*8760*10</f>
        <v>1734.48</v>
      </c>
      <c r="K75" s="95" t="s">
        <v>136</v>
      </c>
      <c r="L75" s="95" t="s">
        <v>133</v>
      </c>
      <c r="M75" s="96" t="s">
        <v>134</v>
      </c>
      <c r="N75" s="126" t="s">
        <v>153</v>
      </c>
      <c r="O75" s="92" t="s">
        <v>148</v>
      </c>
      <c r="P75" s="125" t="s">
        <v>149</v>
      </c>
      <c r="Q75" s="92" t="s">
        <v>148</v>
      </c>
      <c r="R75" s="92" t="s">
        <v>136</v>
      </c>
      <c r="S75" s="92"/>
      <c r="T75" s="92"/>
      <c r="U75" s="92"/>
      <c r="V75" s="95" t="s">
        <v>133</v>
      </c>
      <c r="W75" s="96" t="s">
        <v>134</v>
      </c>
      <c r="X75" s="92" t="s">
        <v>135</v>
      </c>
      <c r="Y75" s="117">
        <v>1.0284</v>
      </c>
      <c r="Z75" s="92" t="s">
        <v>136</v>
      </c>
      <c r="AA75" s="95" t="s">
        <v>133</v>
      </c>
      <c r="AB75" s="96" t="s">
        <v>134</v>
      </c>
      <c r="AC75" s="92" t="s">
        <v>135</v>
      </c>
      <c r="AD75" s="112">
        <v>1735.5083999999999</v>
      </c>
      <c r="AE75" s="92" t="s">
        <v>136</v>
      </c>
      <c r="AF75" s="95" t="s">
        <v>133</v>
      </c>
      <c r="AG75" s="96" t="s">
        <v>134</v>
      </c>
      <c r="AH75" s="92" t="s">
        <v>135</v>
      </c>
      <c r="AI75" s="112">
        <v>216938550</v>
      </c>
      <c r="AJ75" s="92" t="s">
        <v>136</v>
      </c>
      <c r="AK75" s="92" t="s">
        <v>137</v>
      </c>
      <c r="AL75" s="100" t="s">
        <v>138</v>
      </c>
    </row>
    <row r="76" spans="2:38" ht="17" x14ac:dyDescent="0.25">
      <c r="B76" s="61" t="s">
        <v>16</v>
      </c>
      <c r="C76" s="93" t="s">
        <v>133</v>
      </c>
      <c r="D76" s="96" t="s">
        <v>134</v>
      </c>
      <c r="E76" s="76" t="s">
        <v>147</v>
      </c>
      <c r="F76" s="124" t="s">
        <v>136</v>
      </c>
      <c r="G76" s="95" t="s">
        <v>133</v>
      </c>
      <c r="H76" s="96" t="s">
        <v>134</v>
      </c>
      <c r="I76" s="92" t="s">
        <v>135</v>
      </c>
      <c r="J76" s="116">
        <f>0.0025*0.066*8760*10</f>
        <v>14.454000000000001</v>
      </c>
      <c r="K76" s="95" t="s">
        <v>136</v>
      </c>
      <c r="L76" s="95" t="s">
        <v>133</v>
      </c>
      <c r="M76" s="96" t="s">
        <v>134</v>
      </c>
      <c r="N76" s="126" t="s">
        <v>153</v>
      </c>
      <c r="O76" s="92" t="s">
        <v>148</v>
      </c>
      <c r="P76" s="125" t="s">
        <v>149</v>
      </c>
      <c r="Q76" s="92" t="s">
        <v>148</v>
      </c>
      <c r="R76" s="92" t="s">
        <v>136</v>
      </c>
      <c r="S76" s="92"/>
      <c r="T76" s="92"/>
      <c r="U76" s="92"/>
      <c r="V76" s="95" t="s">
        <v>133</v>
      </c>
      <c r="W76" s="96" t="s">
        <v>134</v>
      </c>
      <c r="X76" s="92" t="s">
        <v>135</v>
      </c>
      <c r="Y76" s="117">
        <v>1.0284</v>
      </c>
      <c r="Z76" s="92" t="s">
        <v>136</v>
      </c>
      <c r="AA76" s="95" t="s">
        <v>133</v>
      </c>
      <c r="AB76" s="96" t="s">
        <v>134</v>
      </c>
      <c r="AC76" s="92" t="s">
        <v>135</v>
      </c>
      <c r="AD76" s="112">
        <v>15.4824</v>
      </c>
      <c r="AE76" s="92" t="s">
        <v>136</v>
      </c>
      <c r="AF76" s="95" t="s">
        <v>133</v>
      </c>
      <c r="AG76" s="96" t="s">
        <v>134</v>
      </c>
      <c r="AH76" s="92" t="s">
        <v>135</v>
      </c>
      <c r="AI76" s="112">
        <v>23223600</v>
      </c>
      <c r="AJ76" s="92" t="s">
        <v>136</v>
      </c>
      <c r="AK76" s="92" t="s">
        <v>137</v>
      </c>
      <c r="AL76" s="100" t="s">
        <v>138</v>
      </c>
    </row>
    <row r="77" spans="2:38" x14ac:dyDescent="0.2">
      <c r="B77" s="132"/>
      <c r="I77" s="92"/>
      <c r="J77" s="115"/>
    </row>
    <row r="78" spans="2:38" x14ac:dyDescent="0.2">
      <c r="B78" s="22" t="s">
        <v>154</v>
      </c>
      <c r="I78" s="92"/>
      <c r="J78" s="115"/>
    </row>
    <row r="79" spans="2:38" x14ac:dyDescent="0.2">
      <c r="B79" s="133"/>
    </row>
    <row r="80" spans="2:38" ht="17" x14ac:dyDescent="0.25">
      <c r="B80" s="92" t="s">
        <v>0</v>
      </c>
      <c r="C80" s="93" t="s">
        <v>133</v>
      </c>
      <c r="D80" s="93"/>
      <c r="E80" s="31" t="s">
        <v>62</v>
      </c>
      <c r="F80" s="124"/>
      <c r="G80" s="95" t="s">
        <v>133</v>
      </c>
      <c r="H80" s="96"/>
      <c r="I80" s="96"/>
      <c r="J80" s="31" t="s">
        <v>63</v>
      </c>
      <c r="K80" s="95"/>
      <c r="L80" s="95" t="s">
        <v>133</v>
      </c>
      <c r="M80" s="96"/>
      <c r="N80" s="92"/>
      <c r="O80" s="31" t="s">
        <v>64</v>
      </c>
      <c r="P80" s="124"/>
      <c r="Q80" s="97"/>
      <c r="R80" s="92"/>
      <c r="S80" s="92"/>
      <c r="T80" s="92"/>
      <c r="U80" s="92"/>
      <c r="V80" s="95" t="s">
        <v>133</v>
      </c>
      <c r="W80" s="96"/>
      <c r="X80" s="92"/>
      <c r="Y80" s="76" t="s">
        <v>160</v>
      </c>
      <c r="Z80" s="92"/>
      <c r="AA80" s="92" t="s">
        <v>137</v>
      </c>
      <c r="AB80" s="100" t="s">
        <v>138</v>
      </c>
      <c r="AC80" s="92"/>
      <c r="AD80" s="76"/>
      <c r="AE80" s="92"/>
      <c r="AF80" s="95"/>
      <c r="AG80" s="96"/>
      <c r="AH80" s="92"/>
      <c r="AI80" s="76"/>
      <c r="AJ80" s="92"/>
    </row>
    <row r="81" spans="2:36" ht="17" x14ac:dyDescent="0.25">
      <c r="B81" s="160" t="s">
        <v>58</v>
      </c>
      <c r="C81" s="93" t="s">
        <v>133</v>
      </c>
      <c r="D81" s="96"/>
      <c r="E81" s="134" t="s">
        <v>59</v>
      </c>
      <c r="F81" s="124"/>
      <c r="G81" s="95" t="s">
        <v>133</v>
      </c>
      <c r="H81" s="96" t="s">
        <v>134</v>
      </c>
      <c r="I81" s="92"/>
      <c r="J81" s="72">
        <v>1</v>
      </c>
      <c r="K81" s="95" t="s">
        <v>136</v>
      </c>
      <c r="L81" s="95" t="s">
        <v>133</v>
      </c>
      <c r="M81" s="96" t="s">
        <v>134</v>
      </c>
      <c r="N81" s="92" t="s">
        <v>135</v>
      </c>
      <c r="O81" s="108">
        <v>75</v>
      </c>
      <c r="P81" s="121" t="s">
        <v>155</v>
      </c>
      <c r="Q81" s="97"/>
      <c r="R81" s="92" t="s">
        <v>136</v>
      </c>
      <c r="S81" s="92"/>
      <c r="T81" s="92"/>
      <c r="U81" s="92"/>
      <c r="V81" s="95" t="s">
        <v>133</v>
      </c>
      <c r="W81" s="96" t="s">
        <v>134</v>
      </c>
      <c r="X81" s="92" t="s">
        <v>135</v>
      </c>
      <c r="Y81" s="106">
        <v>35</v>
      </c>
      <c r="Z81" s="92" t="s">
        <v>136</v>
      </c>
      <c r="AA81" s="92" t="s">
        <v>137</v>
      </c>
      <c r="AB81" s="100" t="s">
        <v>138</v>
      </c>
      <c r="AC81" s="92"/>
      <c r="AD81" s="97"/>
      <c r="AE81" s="92"/>
      <c r="AF81" s="95"/>
      <c r="AG81" s="96"/>
      <c r="AH81" s="92"/>
      <c r="AI81" s="118"/>
      <c r="AJ81" s="92"/>
    </row>
    <row r="82" spans="2:36" ht="17" x14ac:dyDescent="0.25">
      <c r="B82" s="160"/>
      <c r="C82" s="93" t="s">
        <v>133</v>
      </c>
      <c r="D82" s="96"/>
      <c r="E82" s="135" t="s">
        <v>47</v>
      </c>
      <c r="F82" s="124"/>
      <c r="G82" s="95" t="s">
        <v>133</v>
      </c>
      <c r="H82" s="96" t="s">
        <v>134</v>
      </c>
      <c r="I82" s="92"/>
      <c r="J82" s="72">
        <v>2</v>
      </c>
      <c r="K82" s="95" t="s">
        <v>136</v>
      </c>
      <c r="L82" s="95" t="s">
        <v>133</v>
      </c>
      <c r="M82" s="96" t="s">
        <v>134</v>
      </c>
      <c r="N82" s="92" t="s">
        <v>135</v>
      </c>
      <c r="O82" s="134" t="s">
        <v>156</v>
      </c>
      <c r="Q82" s="92"/>
      <c r="R82" s="92" t="s">
        <v>136</v>
      </c>
      <c r="S82" s="92"/>
      <c r="T82" s="92"/>
      <c r="U82" s="92"/>
      <c r="V82" s="95" t="s">
        <v>133</v>
      </c>
      <c r="W82" s="96" t="s">
        <v>134</v>
      </c>
      <c r="X82" s="92" t="s">
        <v>135</v>
      </c>
      <c r="Y82" s="117">
        <v>7.21</v>
      </c>
      <c r="Z82" s="92" t="s">
        <v>136</v>
      </c>
      <c r="AA82" s="92" t="s">
        <v>137</v>
      </c>
      <c r="AB82" s="100" t="s">
        <v>138</v>
      </c>
      <c r="AC82" s="92"/>
      <c r="AD82" s="112"/>
      <c r="AE82" s="92"/>
      <c r="AF82" s="95"/>
      <c r="AG82" s="96"/>
      <c r="AH82" s="92"/>
      <c r="AI82" s="112"/>
      <c r="AJ82" s="92"/>
    </row>
    <row r="83" spans="2:36" ht="17" x14ac:dyDescent="0.25">
      <c r="B83" s="61" t="s">
        <v>29</v>
      </c>
      <c r="C83" s="93" t="s">
        <v>133</v>
      </c>
      <c r="D83" s="96"/>
      <c r="E83" s="35" t="s">
        <v>47</v>
      </c>
      <c r="F83" s="124"/>
      <c r="G83" s="95" t="s">
        <v>133</v>
      </c>
      <c r="H83" s="96" t="s">
        <v>134</v>
      </c>
      <c r="I83" s="92"/>
      <c r="J83" s="35">
        <v>2</v>
      </c>
      <c r="K83" s="95" t="s">
        <v>136</v>
      </c>
      <c r="L83" s="95" t="s">
        <v>133</v>
      </c>
      <c r="M83" s="96" t="s">
        <v>134</v>
      </c>
      <c r="N83" s="92" t="s">
        <v>135</v>
      </c>
      <c r="O83" s="134" t="s">
        <v>156</v>
      </c>
      <c r="P83" s="125"/>
      <c r="Q83" s="92"/>
      <c r="R83" s="92" t="s">
        <v>136</v>
      </c>
      <c r="S83" s="92"/>
      <c r="T83" s="92"/>
      <c r="U83" s="92"/>
      <c r="V83" s="95" t="s">
        <v>133</v>
      </c>
      <c r="W83" s="96" t="s">
        <v>134</v>
      </c>
      <c r="X83" s="92" t="s">
        <v>135</v>
      </c>
      <c r="Y83" s="117">
        <v>4.76</v>
      </c>
      <c r="Z83" s="92" t="s">
        <v>136</v>
      </c>
      <c r="AA83" s="92" t="s">
        <v>137</v>
      </c>
      <c r="AB83" s="100" t="s">
        <v>138</v>
      </c>
      <c r="AC83" s="92"/>
      <c r="AD83" s="112"/>
      <c r="AE83" s="92"/>
      <c r="AF83" s="95"/>
      <c r="AG83" s="96"/>
      <c r="AH83" s="92"/>
      <c r="AI83" s="112"/>
      <c r="AJ83" s="92"/>
    </row>
    <row r="84" spans="2:36" ht="17" x14ac:dyDescent="0.25">
      <c r="B84" s="61" t="s">
        <v>8</v>
      </c>
      <c r="C84" s="93" t="s">
        <v>133</v>
      </c>
      <c r="D84" s="96"/>
      <c r="E84" s="35" t="s">
        <v>47</v>
      </c>
      <c r="F84" s="124"/>
      <c r="G84" s="95" t="s">
        <v>133</v>
      </c>
      <c r="H84" s="96" t="s">
        <v>134</v>
      </c>
      <c r="I84" s="92"/>
      <c r="J84" s="35">
        <v>2</v>
      </c>
      <c r="K84" s="95" t="s">
        <v>136</v>
      </c>
      <c r="L84" s="95" t="s">
        <v>133</v>
      </c>
      <c r="M84" s="96" t="s">
        <v>134</v>
      </c>
      <c r="N84" s="92" t="s">
        <v>135</v>
      </c>
      <c r="O84" s="134" t="s">
        <v>156</v>
      </c>
      <c r="P84" s="125"/>
      <c r="Q84" s="92"/>
      <c r="R84" s="92" t="s">
        <v>136</v>
      </c>
      <c r="S84" s="92"/>
      <c r="T84" s="92"/>
      <c r="U84" s="92"/>
      <c r="V84" s="95" t="s">
        <v>133</v>
      </c>
      <c r="W84" s="96" t="s">
        <v>134</v>
      </c>
      <c r="X84" s="92" t="s">
        <v>135</v>
      </c>
      <c r="Y84" s="117">
        <v>10.82</v>
      </c>
      <c r="Z84" s="92" t="s">
        <v>136</v>
      </c>
      <c r="AA84" s="92" t="s">
        <v>137</v>
      </c>
      <c r="AB84" s="100" t="s">
        <v>138</v>
      </c>
      <c r="AC84" s="92"/>
      <c r="AD84" s="112"/>
      <c r="AE84" s="92"/>
      <c r="AF84" s="95"/>
      <c r="AG84" s="96"/>
      <c r="AH84" s="92"/>
      <c r="AI84" s="112"/>
      <c r="AJ84" s="92"/>
    </row>
    <row r="85" spans="2:36" ht="17" x14ac:dyDescent="0.25">
      <c r="B85" s="61" t="s">
        <v>9</v>
      </c>
      <c r="C85" s="93" t="s">
        <v>133</v>
      </c>
      <c r="D85" s="96"/>
      <c r="E85" s="72" t="s">
        <v>47</v>
      </c>
      <c r="F85" s="124"/>
      <c r="G85" s="95" t="s">
        <v>133</v>
      </c>
      <c r="H85" s="96" t="s">
        <v>134</v>
      </c>
      <c r="I85" s="92"/>
      <c r="J85" s="72">
        <v>1</v>
      </c>
      <c r="K85" s="95" t="s">
        <v>136</v>
      </c>
      <c r="L85" s="95" t="s">
        <v>133</v>
      </c>
      <c r="M85" s="96" t="s">
        <v>134</v>
      </c>
      <c r="N85" s="92" t="s">
        <v>135</v>
      </c>
      <c r="O85" s="134" t="s">
        <v>156</v>
      </c>
      <c r="P85" s="125"/>
      <c r="Q85" s="92"/>
      <c r="R85" s="92" t="s">
        <v>136</v>
      </c>
      <c r="S85" s="92"/>
      <c r="T85" s="92"/>
      <c r="U85" s="92"/>
      <c r="V85" s="95" t="s">
        <v>133</v>
      </c>
      <c r="W85" s="96" t="s">
        <v>134</v>
      </c>
      <c r="X85" s="92" t="s">
        <v>135</v>
      </c>
      <c r="Y85" s="117">
        <v>49.91</v>
      </c>
      <c r="Z85" s="92" t="s">
        <v>136</v>
      </c>
      <c r="AA85" s="92" t="s">
        <v>137</v>
      </c>
      <c r="AB85" s="100" t="s">
        <v>138</v>
      </c>
      <c r="AC85" s="92"/>
      <c r="AD85" s="112"/>
      <c r="AE85" s="92"/>
      <c r="AF85" s="95"/>
      <c r="AG85" s="96"/>
      <c r="AH85" s="92"/>
      <c r="AI85" s="112"/>
      <c r="AJ85" s="92"/>
    </row>
    <row r="86" spans="2:36" ht="17" x14ac:dyDescent="0.25">
      <c r="B86" s="61" t="s">
        <v>31</v>
      </c>
      <c r="C86" s="93" t="s">
        <v>133</v>
      </c>
      <c r="D86" s="96"/>
      <c r="E86" s="35" t="s">
        <v>47</v>
      </c>
      <c r="F86" s="124"/>
      <c r="G86" s="95" t="s">
        <v>133</v>
      </c>
      <c r="H86" s="96" t="s">
        <v>134</v>
      </c>
      <c r="I86" s="92"/>
      <c r="J86" s="35">
        <v>1</v>
      </c>
      <c r="K86" s="95" t="s">
        <v>136</v>
      </c>
      <c r="L86" s="95" t="s">
        <v>133</v>
      </c>
      <c r="M86" s="96" t="s">
        <v>134</v>
      </c>
      <c r="N86" s="92" t="s">
        <v>135</v>
      </c>
      <c r="O86" s="134" t="s">
        <v>156</v>
      </c>
      <c r="P86" s="125"/>
      <c r="Q86" s="92"/>
      <c r="R86" s="92" t="s">
        <v>136</v>
      </c>
      <c r="S86" s="92"/>
      <c r="T86" s="92"/>
      <c r="U86" s="92"/>
      <c r="V86" s="95" t="s">
        <v>133</v>
      </c>
      <c r="W86" s="96" t="s">
        <v>134</v>
      </c>
      <c r="X86" s="92" t="s">
        <v>135</v>
      </c>
      <c r="Y86" s="117">
        <v>14.42</v>
      </c>
      <c r="Z86" s="92" t="s">
        <v>136</v>
      </c>
      <c r="AA86" s="92" t="s">
        <v>137</v>
      </c>
      <c r="AB86" s="100" t="s">
        <v>138</v>
      </c>
      <c r="AC86" s="92"/>
      <c r="AD86" s="112"/>
      <c r="AE86" s="92"/>
      <c r="AF86" s="95"/>
      <c r="AG86" s="96"/>
      <c r="AH86" s="92"/>
      <c r="AI86" s="112"/>
      <c r="AJ86" s="92"/>
    </row>
    <row r="87" spans="2:36" ht="17" x14ac:dyDescent="0.25">
      <c r="B87" s="61" t="s">
        <v>6</v>
      </c>
      <c r="C87" s="93" t="s">
        <v>133</v>
      </c>
      <c r="D87" s="96"/>
      <c r="E87" s="35" t="s">
        <v>59</v>
      </c>
      <c r="F87" s="124"/>
      <c r="G87" s="95" t="s">
        <v>133</v>
      </c>
      <c r="H87" s="96" t="s">
        <v>134</v>
      </c>
      <c r="I87" s="92"/>
      <c r="J87" s="35">
        <v>1</v>
      </c>
      <c r="K87" s="95" t="s">
        <v>136</v>
      </c>
      <c r="L87" s="95" t="s">
        <v>133</v>
      </c>
      <c r="M87" s="96" t="s">
        <v>134</v>
      </c>
      <c r="N87" s="92" t="s">
        <v>135</v>
      </c>
      <c r="O87" s="134" t="s">
        <v>157</v>
      </c>
      <c r="P87" s="125"/>
      <c r="Q87" s="92"/>
      <c r="R87" s="92" t="s">
        <v>136</v>
      </c>
      <c r="S87" s="92"/>
      <c r="T87" s="92"/>
      <c r="U87" s="92"/>
      <c r="V87" s="95" t="s">
        <v>133</v>
      </c>
      <c r="W87" s="96" t="s">
        <v>134</v>
      </c>
      <c r="X87" s="92" t="s">
        <v>135</v>
      </c>
      <c r="Y87" s="117">
        <v>150</v>
      </c>
      <c r="Z87" s="92" t="s">
        <v>136</v>
      </c>
      <c r="AA87" s="92" t="s">
        <v>137</v>
      </c>
      <c r="AB87" s="100" t="s">
        <v>138</v>
      </c>
      <c r="AC87" s="92"/>
      <c r="AD87" s="112"/>
      <c r="AE87" s="92"/>
      <c r="AF87" s="95"/>
      <c r="AG87" s="96"/>
      <c r="AH87" s="92"/>
      <c r="AI87" s="112"/>
      <c r="AJ87" s="92"/>
    </row>
    <row r="88" spans="2:36" ht="17" x14ac:dyDescent="0.25">
      <c r="B88" s="61" t="s">
        <v>12</v>
      </c>
      <c r="C88" s="93" t="s">
        <v>133</v>
      </c>
      <c r="D88" s="96"/>
      <c r="E88" s="35" t="s">
        <v>47</v>
      </c>
      <c r="F88" s="124"/>
      <c r="G88" s="95" t="s">
        <v>133</v>
      </c>
      <c r="H88" s="96" t="s">
        <v>134</v>
      </c>
      <c r="I88" s="92"/>
      <c r="J88" s="35">
        <v>1</v>
      </c>
      <c r="K88" s="95" t="s">
        <v>136</v>
      </c>
      <c r="L88" s="95" t="s">
        <v>133</v>
      </c>
      <c r="M88" s="96" t="s">
        <v>134</v>
      </c>
      <c r="N88" s="92" t="s">
        <v>135</v>
      </c>
      <c r="O88" s="134" t="s">
        <v>156</v>
      </c>
      <c r="P88" s="125"/>
      <c r="Q88" s="92"/>
      <c r="R88" s="92" t="s">
        <v>136</v>
      </c>
      <c r="S88" s="92"/>
      <c r="T88" s="92"/>
      <c r="U88" s="92"/>
      <c r="V88" s="95" t="s">
        <v>133</v>
      </c>
      <c r="W88" s="96" t="s">
        <v>134</v>
      </c>
      <c r="X88" s="92" t="s">
        <v>135</v>
      </c>
      <c r="Y88" s="117">
        <v>57.68</v>
      </c>
      <c r="Z88" s="92" t="s">
        <v>136</v>
      </c>
      <c r="AA88" s="92" t="s">
        <v>137</v>
      </c>
      <c r="AB88" s="100" t="s">
        <v>138</v>
      </c>
      <c r="AC88" s="92"/>
      <c r="AD88" s="112"/>
      <c r="AE88" s="92"/>
      <c r="AF88" s="95"/>
      <c r="AG88" s="96"/>
      <c r="AH88" s="92"/>
      <c r="AI88" s="112"/>
      <c r="AJ88" s="92"/>
    </row>
    <row r="89" spans="2:36" ht="17" x14ac:dyDescent="0.25">
      <c r="B89" s="61" t="s">
        <v>7</v>
      </c>
      <c r="C89" s="93" t="s">
        <v>133</v>
      </c>
      <c r="D89" s="96"/>
      <c r="E89" s="35" t="s">
        <v>47</v>
      </c>
      <c r="F89" s="124"/>
      <c r="G89" s="95" t="s">
        <v>133</v>
      </c>
      <c r="H89" s="96" t="s">
        <v>134</v>
      </c>
      <c r="I89" s="92"/>
      <c r="J89" s="35">
        <v>1</v>
      </c>
      <c r="K89" s="95" t="s">
        <v>136</v>
      </c>
      <c r="L89" s="95" t="s">
        <v>133</v>
      </c>
      <c r="M89" s="96" t="s">
        <v>134</v>
      </c>
      <c r="N89" s="92" t="s">
        <v>135</v>
      </c>
      <c r="O89" s="134" t="s">
        <v>156</v>
      </c>
      <c r="P89" s="125"/>
      <c r="Q89" s="92"/>
      <c r="R89" s="92" t="s">
        <v>136</v>
      </c>
      <c r="S89" s="92"/>
      <c r="T89" s="92"/>
      <c r="U89" s="92"/>
      <c r="V89" s="95" t="s">
        <v>133</v>
      </c>
      <c r="W89" s="96" t="s">
        <v>134</v>
      </c>
      <c r="X89" s="92" t="s">
        <v>135</v>
      </c>
      <c r="Y89" s="117">
        <v>7.21</v>
      </c>
      <c r="Z89" s="92" t="s">
        <v>136</v>
      </c>
      <c r="AA89" s="92" t="s">
        <v>137</v>
      </c>
      <c r="AB89" s="100" t="s">
        <v>138</v>
      </c>
      <c r="AC89" s="92"/>
      <c r="AD89" s="112"/>
      <c r="AE89" s="92"/>
      <c r="AF89" s="95"/>
      <c r="AG89" s="96"/>
      <c r="AH89" s="92"/>
      <c r="AI89" s="112"/>
      <c r="AJ89" s="92"/>
    </row>
    <row r="90" spans="2:36" ht="17" x14ac:dyDescent="0.25">
      <c r="B90" s="101" t="s">
        <v>139</v>
      </c>
      <c r="C90" s="93" t="s">
        <v>133</v>
      </c>
      <c r="D90" s="96"/>
      <c r="E90" s="35" t="s">
        <v>47</v>
      </c>
      <c r="F90" s="124"/>
      <c r="G90" s="95" t="s">
        <v>133</v>
      </c>
      <c r="H90" s="96" t="s">
        <v>134</v>
      </c>
      <c r="I90" s="92"/>
      <c r="J90" s="71">
        <v>30</v>
      </c>
      <c r="K90" s="95" t="s">
        <v>136</v>
      </c>
      <c r="L90" s="95" t="s">
        <v>133</v>
      </c>
      <c r="M90" s="96" t="s">
        <v>134</v>
      </c>
      <c r="N90" s="92" t="s">
        <v>135</v>
      </c>
      <c r="O90" s="92" t="s">
        <v>158</v>
      </c>
      <c r="P90" s="125"/>
      <c r="Q90" s="92"/>
      <c r="R90" s="92" t="s">
        <v>136</v>
      </c>
      <c r="S90" s="92"/>
      <c r="T90" s="92"/>
      <c r="U90" s="92"/>
      <c r="V90" s="95" t="s">
        <v>133</v>
      </c>
      <c r="W90" s="96" t="s">
        <v>134</v>
      </c>
      <c r="X90" s="92" t="s">
        <v>135</v>
      </c>
      <c r="Y90" s="117">
        <v>450000</v>
      </c>
      <c r="Z90" s="92" t="s">
        <v>136</v>
      </c>
      <c r="AA90" s="92" t="s">
        <v>137</v>
      </c>
      <c r="AB90" s="100" t="s">
        <v>138</v>
      </c>
      <c r="AC90" s="92"/>
      <c r="AD90" s="112"/>
      <c r="AE90" s="92"/>
      <c r="AF90" s="95"/>
      <c r="AG90" s="96"/>
      <c r="AH90" s="92"/>
      <c r="AI90" s="112"/>
      <c r="AJ90" s="92"/>
    </row>
    <row r="91" spans="2:36" ht="17" x14ac:dyDescent="0.25">
      <c r="B91" s="60" t="s">
        <v>13</v>
      </c>
      <c r="C91" s="93" t="s">
        <v>133</v>
      </c>
      <c r="D91" s="96"/>
      <c r="E91" s="35" t="s">
        <v>47</v>
      </c>
      <c r="F91" s="124"/>
      <c r="G91" s="95" t="s">
        <v>133</v>
      </c>
      <c r="H91" s="96" t="s">
        <v>134</v>
      </c>
      <c r="I91" s="92"/>
      <c r="J91" s="73">
        <v>6</v>
      </c>
      <c r="K91" s="95" t="s">
        <v>136</v>
      </c>
      <c r="L91" s="95" t="s">
        <v>133</v>
      </c>
      <c r="M91" s="96" t="s">
        <v>134</v>
      </c>
      <c r="N91" s="92" t="s">
        <v>135</v>
      </c>
      <c r="O91" s="92" t="s">
        <v>158</v>
      </c>
      <c r="P91" s="125"/>
      <c r="Q91" s="92"/>
      <c r="R91" s="92" t="s">
        <v>136</v>
      </c>
      <c r="S91" s="92"/>
      <c r="T91" s="92"/>
      <c r="U91" s="92"/>
      <c r="V91" s="95" t="s">
        <v>133</v>
      </c>
      <c r="W91" s="96" t="s">
        <v>134</v>
      </c>
      <c r="X91" s="92" t="s">
        <v>135</v>
      </c>
      <c r="Y91" s="117">
        <v>900000</v>
      </c>
      <c r="Z91" s="92" t="s">
        <v>136</v>
      </c>
      <c r="AA91" s="92" t="s">
        <v>137</v>
      </c>
      <c r="AB91" s="100" t="s">
        <v>138</v>
      </c>
      <c r="AC91" s="92"/>
      <c r="AD91" s="112"/>
      <c r="AE91" s="92"/>
      <c r="AF91" s="95"/>
      <c r="AG91" s="96"/>
      <c r="AH91" s="92"/>
      <c r="AI91" s="112"/>
      <c r="AJ91" s="92"/>
    </row>
    <row r="92" spans="2:36" ht="17" x14ac:dyDescent="0.25">
      <c r="B92" s="61" t="s">
        <v>15</v>
      </c>
      <c r="C92" s="93" t="s">
        <v>133</v>
      </c>
      <c r="D92" s="96"/>
      <c r="E92" s="73" t="s">
        <v>131</v>
      </c>
      <c r="F92" s="124"/>
      <c r="G92" s="95" t="s">
        <v>133</v>
      </c>
      <c r="H92" s="96" t="s">
        <v>134</v>
      </c>
      <c r="I92" s="92"/>
      <c r="J92" s="35">
        <v>10</v>
      </c>
      <c r="K92" s="95" t="s">
        <v>136</v>
      </c>
      <c r="L92" s="95" t="s">
        <v>133</v>
      </c>
      <c r="M92" s="96" t="s">
        <v>134</v>
      </c>
      <c r="N92" s="92" t="s">
        <v>135</v>
      </c>
      <c r="O92" s="73" t="s">
        <v>159</v>
      </c>
      <c r="P92" s="125"/>
      <c r="Q92" s="92"/>
      <c r="R92" s="92" t="s">
        <v>136</v>
      </c>
      <c r="S92" s="92"/>
      <c r="T92" s="92"/>
      <c r="U92" s="92"/>
      <c r="V92" s="95" t="s">
        <v>133</v>
      </c>
      <c r="W92" s="96" t="s">
        <v>134</v>
      </c>
      <c r="X92" s="92" t="s">
        <v>135</v>
      </c>
      <c r="Y92" s="117">
        <v>5000000</v>
      </c>
      <c r="Z92" s="92" t="s">
        <v>136</v>
      </c>
      <c r="AA92" s="92" t="s">
        <v>137</v>
      </c>
      <c r="AB92" s="100" t="s">
        <v>138</v>
      </c>
      <c r="AC92" s="92"/>
      <c r="AD92" s="112"/>
      <c r="AE92" s="92"/>
      <c r="AF92" s="95"/>
      <c r="AG92" s="96"/>
      <c r="AH92" s="92"/>
      <c r="AI92" s="112"/>
      <c r="AJ92" s="92"/>
    </row>
    <row r="93" spans="2:36" ht="17" x14ac:dyDescent="0.25">
      <c r="B93" s="61" t="s">
        <v>14</v>
      </c>
      <c r="C93" s="93" t="s">
        <v>133</v>
      </c>
      <c r="D93" s="96"/>
      <c r="E93" s="73" t="s">
        <v>127</v>
      </c>
      <c r="F93" s="124"/>
      <c r="G93" s="95" t="s">
        <v>133</v>
      </c>
      <c r="H93" s="96" t="s">
        <v>134</v>
      </c>
      <c r="I93" s="92"/>
      <c r="J93" s="35">
        <v>5</v>
      </c>
      <c r="K93" s="95" t="s">
        <v>136</v>
      </c>
      <c r="L93" s="95" t="s">
        <v>133</v>
      </c>
      <c r="M93" s="96" t="s">
        <v>134</v>
      </c>
      <c r="N93" s="92" t="s">
        <v>135</v>
      </c>
      <c r="O93" s="73" t="s">
        <v>159</v>
      </c>
      <c r="P93" s="125"/>
      <c r="Q93" s="92"/>
      <c r="R93" s="92" t="s">
        <v>136</v>
      </c>
      <c r="S93" s="92"/>
      <c r="T93" s="92"/>
      <c r="U93" s="92"/>
      <c r="V93" s="95" t="s">
        <v>133</v>
      </c>
      <c r="W93" s="96" t="s">
        <v>134</v>
      </c>
      <c r="X93" s="92" t="s">
        <v>135</v>
      </c>
      <c r="Y93" s="117">
        <v>2500000</v>
      </c>
      <c r="Z93" s="92" t="s">
        <v>136</v>
      </c>
      <c r="AA93" s="92" t="s">
        <v>137</v>
      </c>
      <c r="AB93" s="100" t="s">
        <v>138</v>
      </c>
      <c r="AC93" s="92"/>
      <c r="AD93" s="112"/>
      <c r="AE93" s="92"/>
      <c r="AF93" s="95"/>
      <c r="AG93" s="96"/>
      <c r="AH93" s="92"/>
      <c r="AI93" s="112"/>
      <c r="AJ93" s="92"/>
    </row>
    <row r="94" spans="2:36" ht="17" x14ac:dyDescent="0.25">
      <c r="B94" s="61" t="s">
        <v>16</v>
      </c>
      <c r="C94" s="93" t="s">
        <v>133</v>
      </c>
      <c r="D94" s="96"/>
      <c r="E94" s="73" t="s">
        <v>94</v>
      </c>
      <c r="F94" s="124"/>
      <c r="G94" s="95" t="s">
        <v>133</v>
      </c>
      <c r="H94" s="96" t="s">
        <v>134</v>
      </c>
      <c r="I94" s="92"/>
      <c r="J94" s="35">
        <v>2</v>
      </c>
      <c r="K94" s="95" t="s">
        <v>136</v>
      </c>
      <c r="L94" s="95" t="s">
        <v>133</v>
      </c>
      <c r="M94" s="96" t="s">
        <v>134</v>
      </c>
      <c r="N94" s="92" t="s">
        <v>135</v>
      </c>
      <c r="O94" s="92" t="s">
        <v>158</v>
      </c>
      <c r="P94" s="125"/>
      <c r="Q94" s="92"/>
      <c r="R94" s="92" t="s">
        <v>136</v>
      </c>
      <c r="S94" s="92"/>
      <c r="T94" s="92"/>
      <c r="U94" s="92"/>
      <c r="V94" s="95" t="s">
        <v>133</v>
      </c>
      <c r="W94" s="96" t="s">
        <v>134</v>
      </c>
      <c r="X94" s="92" t="s">
        <v>135</v>
      </c>
      <c r="Y94" s="117">
        <v>300000</v>
      </c>
      <c r="Z94" s="92" t="s">
        <v>136</v>
      </c>
      <c r="AA94" s="92" t="s">
        <v>137</v>
      </c>
      <c r="AB94" s="100" t="s">
        <v>138</v>
      </c>
      <c r="AC94" s="92"/>
      <c r="AD94" s="112"/>
      <c r="AE94" s="92"/>
      <c r="AF94" s="95"/>
      <c r="AG94" s="96"/>
      <c r="AH94" s="92"/>
      <c r="AI94" s="112"/>
      <c r="AJ94" s="92"/>
    </row>
    <row r="95" spans="2:36" x14ac:dyDescent="0.2">
      <c r="P95" s="125"/>
      <c r="AA95"/>
      <c r="AI95" s="90"/>
    </row>
    <row r="96" spans="2:36" x14ac:dyDescent="0.2">
      <c r="AA96"/>
    </row>
    <row r="97" spans="6:27" x14ac:dyDescent="0.2">
      <c r="AA97"/>
    </row>
    <row r="98" spans="6:27" x14ac:dyDescent="0.2">
      <c r="V98" s="145">
        <v>35</v>
      </c>
    </row>
    <row r="99" spans="6:27" x14ac:dyDescent="0.2">
      <c r="F99" s="142"/>
      <c r="V99" s="146"/>
    </row>
    <row r="100" spans="6:27" x14ac:dyDescent="0.2">
      <c r="F100" s="143"/>
      <c r="N100" s="150" t="s">
        <v>67</v>
      </c>
      <c r="V100" s="145">
        <v>7.21</v>
      </c>
    </row>
    <row r="101" spans="6:27" x14ac:dyDescent="0.2">
      <c r="F101" s="142"/>
      <c r="N101" s="153"/>
      <c r="V101" s="146"/>
    </row>
    <row r="102" spans="6:27" x14ac:dyDescent="0.2">
      <c r="F102" s="143"/>
      <c r="N102" s="144" t="s">
        <v>66</v>
      </c>
      <c r="V102" s="36">
        <f>7.21*2*0.33</f>
        <v>4.7586000000000004</v>
      </c>
    </row>
    <row r="103" spans="6:27" x14ac:dyDescent="0.2">
      <c r="F103" s="35"/>
      <c r="N103" s="144"/>
      <c r="V103" s="36">
        <f>7.21*2*0.75</f>
        <v>10.815</v>
      </c>
      <c r="Y103" s="36">
        <f>W103*15000*10</f>
        <v>0</v>
      </c>
    </row>
    <row r="104" spans="6:27" x14ac:dyDescent="0.2">
      <c r="F104" s="35"/>
      <c r="N104" s="73" t="s">
        <v>66</v>
      </c>
      <c r="V104" s="145">
        <f>7.13*7</f>
        <v>49.91</v>
      </c>
    </row>
    <row r="105" spans="6:27" x14ac:dyDescent="0.2">
      <c r="F105" s="142"/>
      <c r="N105" s="73" t="s">
        <v>66</v>
      </c>
      <c r="V105" s="146"/>
    </row>
    <row r="106" spans="6:27" x14ac:dyDescent="0.2">
      <c r="F106" s="143"/>
      <c r="N106" s="144" t="s">
        <v>66</v>
      </c>
      <c r="V106" s="36">
        <f>7.21*2</f>
        <v>14.42</v>
      </c>
    </row>
    <row r="107" spans="6:27" x14ac:dyDescent="0.2">
      <c r="F107" s="35"/>
      <c r="N107" s="144"/>
      <c r="V107" s="36">
        <f>2*75</f>
        <v>150</v>
      </c>
    </row>
    <row r="108" spans="6:27" x14ac:dyDescent="0.2">
      <c r="F108" s="35"/>
      <c r="N108" s="73" t="s">
        <v>66</v>
      </c>
      <c r="V108" s="36">
        <f>8*7.21</f>
        <v>57.68</v>
      </c>
    </row>
    <row r="109" spans="6:27" x14ac:dyDescent="0.2">
      <c r="F109" s="35"/>
      <c r="N109" s="35" t="s">
        <v>67</v>
      </c>
      <c r="V109" s="36">
        <f>7.21</f>
        <v>7.21</v>
      </c>
    </row>
    <row r="110" spans="6:27" x14ac:dyDescent="0.2">
      <c r="F110" s="35"/>
      <c r="N110" s="73" t="s">
        <v>66</v>
      </c>
      <c r="V110" s="145">
        <f>30*15000</f>
        <v>450000</v>
      </c>
    </row>
    <row r="111" spans="6:27" x14ac:dyDescent="0.2">
      <c r="F111" s="142"/>
      <c r="N111" s="73" t="s">
        <v>66</v>
      </c>
      <c r="V111" s="152"/>
    </row>
    <row r="112" spans="6:27" x14ac:dyDescent="0.2">
      <c r="F112" s="151"/>
      <c r="N112" s="150" t="s">
        <v>65</v>
      </c>
      <c r="V112" s="152"/>
    </row>
    <row r="113" spans="6:22" x14ac:dyDescent="0.2">
      <c r="F113" s="151"/>
      <c r="N113" s="151"/>
      <c r="V113" s="152"/>
    </row>
    <row r="114" spans="6:22" x14ac:dyDescent="0.2">
      <c r="F114" s="151"/>
      <c r="N114" s="151"/>
      <c r="V114" s="152"/>
    </row>
    <row r="115" spans="6:22" x14ac:dyDescent="0.2">
      <c r="F115" s="151"/>
      <c r="N115" s="151"/>
      <c r="V115" s="152"/>
    </row>
    <row r="116" spans="6:22" x14ac:dyDescent="0.2">
      <c r="F116" s="151"/>
      <c r="N116" s="151"/>
      <c r="V116" s="152"/>
    </row>
    <row r="117" spans="6:22" x14ac:dyDescent="0.2">
      <c r="F117" s="151"/>
      <c r="N117" s="151"/>
      <c r="V117" s="146"/>
    </row>
    <row r="118" spans="6:22" x14ac:dyDescent="0.2">
      <c r="F118" s="143"/>
      <c r="N118" s="151"/>
      <c r="V118" s="36">
        <f>T118*15000*10</f>
        <v>0</v>
      </c>
    </row>
    <row r="119" spans="6:22" x14ac:dyDescent="0.2">
      <c r="F119" s="73"/>
      <c r="N119" s="143"/>
      <c r="V119" s="36"/>
    </row>
    <row r="120" spans="6:22" x14ac:dyDescent="0.2">
      <c r="F120" s="73"/>
      <c r="N120" s="35" t="s">
        <v>65</v>
      </c>
      <c r="V120" s="36">
        <f>50000*10*10</f>
        <v>5000000</v>
      </c>
    </row>
    <row r="121" spans="6:22" x14ac:dyDescent="0.2">
      <c r="F121" s="35"/>
      <c r="N121" s="35"/>
      <c r="V121" s="36"/>
    </row>
    <row r="122" spans="6:22" x14ac:dyDescent="0.2">
      <c r="F122" s="35"/>
      <c r="N122" s="73" t="s">
        <v>128</v>
      </c>
      <c r="V122" s="36">
        <f>50000*5*10</f>
        <v>2500000</v>
      </c>
    </row>
    <row r="123" spans="6:22" x14ac:dyDescent="0.2">
      <c r="F123" s="35"/>
      <c r="N123" s="35"/>
      <c r="V123" s="36">
        <f>15000*2*10</f>
        <v>300000</v>
      </c>
    </row>
    <row r="124" spans="6:22" x14ac:dyDescent="0.2">
      <c r="N124" s="73" t="s">
        <v>128</v>
      </c>
    </row>
    <row r="125" spans="6:22" x14ac:dyDescent="0.2">
      <c r="N125" s="35" t="s">
        <v>65</v>
      </c>
    </row>
  </sheetData>
  <mergeCells count="51">
    <mergeCell ref="V98:V99"/>
    <mergeCell ref="V100:V101"/>
    <mergeCell ref="V104:V105"/>
    <mergeCell ref="V110:V117"/>
    <mergeCell ref="F101:F102"/>
    <mergeCell ref="F105:F106"/>
    <mergeCell ref="F111:F118"/>
    <mergeCell ref="N100:N101"/>
    <mergeCell ref="N102:N103"/>
    <mergeCell ref="N106:N107"/>
    <mergeCell ref="N112:N119"/>
    <mergeCell ref="F99:F100"/>
    <mergeCell ref="B81:B82"/>
    <mergeCell ref="B60:B61"/>
    <mergeCell ref="K5:Q5"/>
    <mergeCell ref="Q19:Q26"/>
    <mergeCell ref="R5:V5"/>
    <mergeCell ref="R7:V18"/>
    <mergeCell ref="B27:B28"/>
    <mergeCell ref="K19:K26"/>
    <mergeCell ref="L19:L26"/>
    <mergeCell ref="B7:B10"/>
    <mergeCell ref="B13:B14"/>
    <mergeCell ref="C27:C32"/>
    <mergeCell ref="C5:C6"/>
    <mergeCell ref="B5:B6"/>
    <mergeCell ref="B20:B24"/>
    <mergeCell ref="C20:C24"/>
    <mergeCell ref="E5:J5"/>
    <mergeCell ref="C7:C10"/>
    <mergeCell ref="C13:C14"/>
    <mergeCell ref="M19:M26"/>
    <mergeCell ref="N19:N26"/>
    <mergeCell ref="X5:AA5"/>
    <mergeCell ref="X19:X26"/>
    <mergeCell ref="Y19:Y26"/>
    <mergeCell ref="Z19:Z26"/>
    <mergeCell ref="AA19:AA26"/>
    <mergeCell ref="X7:X8"/>
    <mergeCell ref="Y7:Y8"/>
    <mergeCell ref="Z7:Z8"/>
    <mergeCell ref="X13:X14"/>
    <mergeCell ref="Y13:Y14"/>
    <mergeCell ref="Z13:Z14"/>
    <mergeCell ref="AA13:AA14"/>
    <mergeCell ref="O19:O26"/>
    <mergeCell ref="X9:X10"/>
    <mergeCell ref="Y9:Y10"/>
    <mergeCell ref="Z9:Z10"/>
    <mergeCell ref="AA7:AA8"/>
    <mergeCell ref="AA9:AA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5"/>
  <sheetViews>
    <sheetView tabSelected="1" topLeftCell="Q1" workbookViewId="0">
      <selection activeCell="AC25" sqref="AC25"/>
    </sheetView>
  </sheetViews>
  <sheetFormatPr baseColWidth="10" defaultRowHeight="16" x14ac:dyDescent="0.2"/>
  <cols>
    <col min="1" max="1" width="16.33203125" bestFit="1" customWidth="1"/>
    <col min="3" max="3" width="26" customWidth="1"/>
    <col min="4" max="4" width="5.1640625" customWidth="1"/>
    <col min="5" max="30" width="17.83203125" bestFit="1" customWidth="1"/>
  </cols>
  <sheetData>
    <row r="2" spans="1:30" x14ac:dyDescent="0.2">
      <c r="E2" t="s">
        <v>163</v>
      </c>
      <c r="J2" t="s">
        <v>169</v>
      </c>
    </row>
    <row r="3" spans="1:30" x14ac:dyDescent="0.2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</row>
    <row r="5" spans="1:30" x14ac:dyDescent="0.2">
      <c r="B5" t="s">
        <v>174</v>
      </c>
      <c r="C5" s="192" t="s">
        <v>173</v>
      </c>
      <c r="J5">
        <v>1</v>
      </c>
      <c r="T5">
        <v>1</v>
      </c>
      <c r="Z5">
        <v>2</v>
      </c>
      <c r="AD5">
        <v>4</v>
      </c>
    </row>
    <row r="6" spans="1:30" s="8" customFormat="1" x14ac:dyDescent="0.2">
      <c r="C6" s="196" t="s">
        <v>175</v>
      </c>
      <c r="J6" s="8">
        <v>5000000000</v>
      </c>
      <c r="T6" s="8">
        <v>4000000000</v>
      </c>
      <c r="Z6" s="8">
        <v>3000000000</v>
      </c>
      <c r="AD6" s="8">
        <v>3000000000</v>
      </c>
    </row>
    <row r="7" spans="1:30" x14ac:dyDescent="0.2">
      <c r="A7" t="s">
        <v>182</v>
      </c>
      <c r="C7" s="193" t="s">
        <v>176</v>
      </c>
      <c r="J7" s="8">
        <f>151120122.069129+693275134.1+9150337.0036</f>
        <v>853545593.17272902</v>
      </c>
      <c r="T7" s="8">
        <f>(151120122.069129+693275134.1+9150337.0036)*0.75</f>
        <v>640159194.87954676</v>
      </c>
      <c r="Z7" s="8">
        <f>(151120122.069129+693275134.1+9150337.0036)*0.75*0.75</f>
        <v>480119396.1596601</v>
      </c>
      <c r="AD7" s="8">
        <f>(151120122.069129+693275134.1+9150337.0036)*0.75*0.75</f>
        <v>480119396.1596601</v>
      </c>
    </row>
    <row r="8" spans="1:30" x14ac:dyDescent="0.2">
      <c r="C8" s="192" t="s">
        <v>177</v>
      </c>
      <c r="F8">
        <v>180</v>
      </c>
      <c r="G8" s="198">
        <f>F8*1.01</f>
        <v>181.8</v>
      </c>
      <c r="H8" s="198">
        <f t="shared" ref="H8:AD8" si="0">G8*1.01</f>
        <v>183.61800000000002</v>
      </c>
      <c r="I8" s="198">
        <f t="shared" si="0"/>
        <v>185.45418000000004</v>
      </c>
      <c r="J8" s="198">
        <f t="shared" si="0"/>
        <v>187.30872180000003</v>
      </c>
      <c r="K8" s="198">
        <f t="shared" si="0"/>
        <v>189.18180901800002</v>
      </c>
      <c r="L8" s="198">
        <f t="shared" si="0"/>
        <v>191.07362710818003</v>
      </c>
      <c r="M8" s="198">
        <f t="shared" si="0"/>
        <v>192.98436337926182</v>
      </c>
      <c r="N8" s="198">
        <f t="shared" si="0"/>
        <v>194.91420701305444</v>
      </c>
      <c r="O8" s="198">
        <f t="shared" si="0"/>
        <v>196.86334908318497</v>
      </c>
      <c r="P8" s="198">
        <f t="shared" si="0"/>
        <v>198.83198257401682</v>
      </c>
      <c r="Q8" s="198">
        <f t="shared" si="0"/>
        <v>200.820302399757</v>
      </c>
      <c r="R8" s="198">
        <f t="shared" si="0"/>
        <v>202.82850542375456</v>
      </c>
      <c r="S8" s="198">
        <f t="shared" si="0"/>
        <v>204.85679047799212</v>
      </c>
      <c r="T8" s="198">
        <f t="shared" si="0"/>
        <v>206.90535838277205</v>
      </c>
      <c r="U8" s="198">
        <f t="shared" si="0"/>
        <v>208.97441196659977</v>
      </c>
      <c r="V8" s="198">
        <f t="shared" si="0"/>
        <v>211.06415608626577</v>
      </c>
      <c r="W8" s="198">
        <f t="shared" si="0"/>
        <v>213.17479764712843</v>
      </c>
      <c r="X8" s="198">
        <f t="shared" si="0"/>
        <v>215.3065456235997</v>
      </c>
      <c r="Y8" s="198">
        <f t="shared" si="0"/>
        <v>217.4596110798357</v>
      </c>
      <c r="Z8" s="198">
        <f t="shared" si="0"/>
        <v>219.63420719063404</v>
      </c>
      <c r="AA8" s="198">
        <f t="shared" si="0"/>
        <v>221.83054926254039</v>
      </c>
      <c r="AB8" s="198">
        <v>60</v>
      </c>
      <c r="AC8" s="198">
        <f t="shared" si="0"/>
        <v>60.6</v>
      </c>
      <c r="AD8" s="198">
        <f t="shared" si="0"/>
        <v>61.206000000000003</v>
      </c>
    </row>
    <row r="9" spans="1:30" x14ac:dyDescent="0.2">
      <c r="C9" s="192" t="s">
        <v>179</v>
      </c>
      <c r="F9" s="8">
        <v>150000</v>
      </c>
      <c r="G9" s="8">
        <v>150000</v>
      </c>
      <c r="H9" s="8">
        <v>150000</v>
      </c>
      <c r="I9" s="8">
        <v>150000</v>
      </c>
      <c r="J9" s="8">
        <v>150000</v>
      </c>
      <c r="K9" s="8">
        <v>150000</v>
      </c>
      <c r="L9" s="8">
        <v>150000</v>
      </c>
      <c r="M9" s="8">
        <v>150000</v>
      </c>
      <c r="N9" s="8">
        <v>150000</v>
      </c>
      <c r="O9" s="8">
        <v>150000</v>
      </c>
      <c r="P9" s="8">
        <v>150000</v>
      </c>
      <c r="Q9" s="8">
        <v>150000</v>
      </c>
      <c r="R9" s="8">
        <v>150000</v>
      </c>
      <c r="S9" s="8">
        <v>150000</v>
      </c>
      <c r="T9" s="8">
        <v>150000</v>
      </c>
      <c r="U9" s="8">
        <v>150000</v>
      </c>
      <c r="V9" s="8">
        <v>150000</v>
      </c>
      <c r="W9" s="8">
        <v>150000</v>
      </c>
      <c r="X9" s="8">
        <v>150000</v>
      </c>
      <c r="Y9" s="8">
        <v>150000</v>
      </c>
      <c r="Z9" s="8">
        <v>150000</v>
      </c>
      <c r="AA9" s="8">
        <v>150000</v>
      </c>
      <c r="AB9" s="8">
        <v>150000</v>
      </c>
      <c r="AC9" s="8">
        <v>150000</v>
      </c>
      <c r="AD9" s="8">
        <v>150000</v>
      </c>
    </row>
    <row r="10" spans="1:30" x14ac:dyDescent="0.2">
      <c r="C10" s="193" t="s">
        <v>178</v>
      </c>
      <c r="F10" s="8">
        <v>60000</v>
      </c>
      <c r="G10" s="8">
        <v>60000</v>
      </c>
      <c r="H10" s="8">
        <v>60000</v>
      </c>
      <c r="I10" s="8">
        <v>60000</v>
      </c>
      <c r="J10" s="8">
        <v>60000</v>
      </c>
      <c r="K10" s="8">
        <v>60000</v>
      </c>
      <c r="L10" s="8">
        <v>60000</v>
      </c>
      <c r="M10" s="8">
        <v>60000</v>
      </c>
      <c r="N10" s="8">
        <v>60000</v>
      </c>
      <c r="O10" s="8">
        <v>60000</v>
      </c>
      <c r="P10" s="8">
        <f t="shared" ref="P10:Z10" si="1">60000*0.75</f>
        <v>45000</v>
      </c>
      <c r="Q10" s="8">
        <f t="shared" si="1"/>
        <v>45000</v>
      </c>
      <c r="R10" s="8">
        <f t="shared" si="1"/>
        <v>45000</v>
      </c>
      <c r="S10" s="8">
        <f t="shared" si="1"/>
        <v>45000</v>
      </c>
      <c r="T10" s="8">
        <f t="shared" si="1"/>
        <v>45000</v>
      </c>
      <c r="U10" s="8">
        <f t="shared" si="1"/>
        <v>45000</v>
      </c>
      <c r="V10" s="8">
        <f t="shared" si="1"/>
        <v>45000</v>
      </c>
      <c r="W10" s="8">
        <f t="shared" si="1"/>
        <v>45000</v>
      </c>
      <c r="X10" s="8">
        <f t="shared" si="1"/>
        <v>45000</v>
      </c>
      <c r="Y10" s="8">
        <f t="shared" si="1"/>
        <v>45000</v>
      </c>
      <c r="Z10" s="8">
        <f>60000*0.75*0.75</f>
        <v>33750</v>
      </c>
      <c r="AA10" s="8">
        <f t="shared" ref="AA10:AD10" si="2">60000*0.75*0.75</f>
        <v>33750</v>
      </c>
      <c r="AB10" s="8">
        <f t="shared" si="2"/>
        <v>33750</v>
      </c>
      <c r="AC10" s="8">
        <f t="shared" si="2"/>
        <v>33750</v>
      </c>
      <c r="AD10" s="8">
        <f t="shared" si="2"/>
        <v>33750</v>
      </c>
    </row>
    <row r="12" spans="1:30" ht="15" customHeight="1" x14ac:dyDescent="0.2"/>
    <row r="13" spans="1:30" x14ac:dyDescent="0.2">
      <c r="B13" t="s">
        <v>171</v>
      </c>
      <c r="F13" s="8">
        <f>E28</f>
        <v>-8839650543.1727295</v>
      </c>
      <c r="G13" s="8">
        <f t="shared" ref="G13:AD13" si="3">F28</f>
        <v>-9031450543.1727295</v>
      </c>
      <c r="H13" s="8">
        <f t="shared" si="3"/>
        <v>-9223088543.1727295</v>
      </c>
      <c r="I13" s="8">
        <f t="shared" si="3"/>
        <v>-9414562923.1727295</v>
      </c>
      <c r="J13" s="8">
        <f t="shared" si="3"/>
        <v>-9605872046.9727287</v>
      </c>
      <c r="K13" s="8">
        <f t="shared" si="3"/>
        <v>-4650559855.1834574</v>
      </c>
      <c r="L13" s="8">
        <f t="shared" si="3"/>
        <v>-4841533492.3718376</v>
      </c>
      <c r="M13" s="8">
        <f t="shared" si="3"/>
        <v>-5032336865.9321012</v>
      </c>
      <c r="N13" s="8">
        <f t="shared" si="3"/>
        <v>-5222968273.2279673</v>
      </c>
      <c r="O13" s="8">
        <f t="shared" si="3"/>
        <v>-5413425994.5967922</v>
      </c>
      <c r="P13" s="8">
        <f t="shared" si="3"/>
        <v>-5603708293.179306</v>
      </c>
      <c r="Q13" s="8">
        <f t="shared" si="3"/>
        <v>-5790830935.0090342</v>
      </c>
      <c r="R13" s="8">
        <f t="shared" si="3"/>
        <v>-5977744803.2570601</v>
      </c>
      <c r="S13" s="8">
        <f t="shared" si="3"/>
        <v>-6164447810.1875658</v>
      </c>
      <c r="T13" s="8">
        <f t="shared" si="3"/>
        <v>-6350937847.187376</v>
      </c>
      <c r="U13" s="8">
        <f t="shared" si="3"/>
        <v>-3177371979.4367318</v>
      </c>
      <c r="V13" s="8">
        <f t="shared" si="3"/>
        <v>-3363429666.1802387</v>
      </c>
      <c r="W13" s="8">
        <f t="shared" si="3"/>
        <v>-3549267929.7911806</v>
      </c>
      <c r="X13" s="8">
        <f>W28</f>
        <v>-3734884576.0382318</v>
      </c>
      <c r="Y13" s="8">
        <f t="shared" si="3"/>
        <v>-3920277388.7477536</v>
      </c>
      <c r="Z13" s="8">
        <f t="shared" si="3"/>
        <v>-4105444129.5843706</v>
      </c>
      <c r="AA13" s="8">
        <f t="shared" si="3"/>
        <v>959849554.68222046</v>
      </c>
      <c r="AB13" s="8">
        <f t="shared" si="3"/>
        <v>985637356.03399074</v>
      </c>
      <c r="AC13" s="8">
        <f t="shared" si="3"/>
        <v>992612356.03399074</v>
      </c>
      <c r="AD13" s="8">
        <f t="shared" si="3"/>
        <v>999657106.03399074</v>
      </c>
    </row>
    <row r="15" spans="1:30" x14ac:dyDescent="0.2">
      <c r="B15" s="194" t="s">
        <v>166</v>
      </c>
      <c r="C15" s="192" t="s">
        <v>173</v>
      </c>
      <c r="D15" s="192"/>
      <c r="E15" s="196"/>
      <c r="F15" s="196">
        <f>F6*F5</f>
        <v>0</v>
      </c>
      <c r="G15" s="196">
        <f>G6*G5</f>
        <v>0</v>
      </c>
      <c r="H15" s="196">
        <f>H6*H5</f>
        <v>0</v>
      </c>
      <c r="I15" s="196">
        <f>I6*I5</f>
        <v>0</v>
      </c>
      <c r="J15" s="196">
        <f>J6*J5</f>
        <v>5000000000</v>
      </c>
      <c r="K15" s="196">
        <f>K6*K5</f>
        <v>0</v>
      </c>
      <c r="L15" s="196">
        <f>L6*L5</f>
        <v>0</v>
      </c>
      <c r="M15" s="196">
        <f>M6*M5</f>
        <v>0</v>
      </c>
      <c r="N15" s="196">
        <f>N6*N5</f>
        <v>0</v>
      </c>
      <c r="O15" s="196">
        <f>O6*O5</f>
        <v>0</v>
      </c>
      <c r="P15" s="196">
        <f>P6*P5</f>
        <v>0</v>
      </c>
      <c r="Q15" s="196">
        <f>Q6*Q5</f>
        <v>0</v>
      </c>
      <c r="R15" s="196">
        <f>R6*R5</f>
        <v>0</v>
      </c>
      <c r="S15" s="196">
        <f>S6*S5</f>
        <v>0</v>
      </c>
      <c r="T15" s="196">
        <f>T6*T5</f>
        <v>4000000000</v>
      </c>
      <c r="U15" s="196">
        <f>U6*U5</f>
        <v>0</v>
      </c>
      <c r="V15" s="196">
        <f>V6*V5</f>
        <v>0</v>
      </c>
      <c r="W15" s="196">
        <f>W6*W5</f>
        <v>0</v>
      </c>
      <c r="X15" s="196">
        <f>X6*X5</f>
        <v>0</v>
      </c>
      <c r="Y15" s="196">
        <f>Y6*Y5</f>
        <v>0</v>
      </c>
      <c r="Z15" s="196">
        <f>Z6*Z5</f>
        <v>6000000000</v>
      </c>
      <c r="AA15" s="196">
        <f>AA6*AA5</f>
        <v>0</v>
      </c>
      <c r="AB15" s="196">
        <f>AB6*AB5</f>
        <v>0</v>
      </c>
      <c r="AC15" s="196">
        <f>AC6*AC5</f>
        <v>0</v>
      </c>
      <c r="AD15" s="196">
        <f>AD6*AD5</f>
        <v>12000000000</v>
      </c>
    </row>
    <row r="16" spans="1:30" x14ac:dyDescent="0.2">
      <c r="B16" s="194"/>
      <c r="C16" s="192" t="s">
        <v>172</v>
      </c>
      <c r="D16" s="192"/>
      <c r="E16" s="196"/>
      <c r="F16" s="196">
        <f>F8*F9</f>
        <v>27000000</v>
      </c>
      <c r="G16" s="196">
        <f t="shared" ref="G16:AD16" si="4">G8*G9</f>
        <v>27270000</v>
      </c>
      <c r="H16" s="196">
        <f t="shared" si="4"/>
        <v>27542700.000000004</v>
      </c>
      <c r="I16" s="196">
        <f t="shared" si="4"/>
        <v>27818127.000000004</v>
      </c>
      <c r="J16" s="196">
        <f t="shared" si="4"/>
        <v>28096308.270000003</v>
      </c>
      <c r="K16" s="196">
        <f t="shared" si="4"/>
        <v>28377271.352700002</v>
      </c>
      <c r="L16" s="196">
        <f t="shared" si="4"/>
        <v>28661044.066227004</v>
      </c>
      <c r="M16" s="196">
        <f t="shared" si="4"/>
        <v>28947654.506889272</v>
      </c>
      <c r="N16" s="196">
        <f t="shared" si="4"/>
        <v>29237131.051958166</v>
      </c>
      <c r="O16" s="196">
        <f t="shared" si="4"/>
        <v>29529502.362477746</v>
      </c>
      <c r="P16" s="196">
        <f t="shared" si="4"/>
        <v>29824797.386102524</v>
      </c>
      <c r="Q16" s="196">
        <f t="shared" si="4"/>
        <v>30123045.359963551</v>
      </c>
      <c r="R16" s="196">
        <f t="shared" si="4"/>
        <v>30424275.813563183</v>
      </c>
      <c r="S16" s="196">
        <f t="shared" si="4"/>
        <v>30728518.571698818</v>
      </c>
      <c r="T16" s="196">
        <f t="shared" si="4"/>
        <v>31035803.757415809</v>
      </c>
      <c r="U16" s="196">
        <f t="shared" si="4"/>
        <v>31346161.794989966</v>
      </c>
      <c r="V16" s="196">
        <f t="shared" si="4"/>
        <v>31659623.412939865</v>
      </c>
      <c r="W16" s="196">
        <f t="shared" si="4"/>
        <v>31976219.647069264</v>
      </c>
      <c r="X16" s="196">
        <f t="shared" si="4"/>
        <v>32295981.843539957</v>
      </c>
      <c r="Y16" s="196">
        <f t="shared" si="4"/>
        <v>32618941.661975354</v>
      </c>
      <c r="Z16" s="196">
        <f t="shared" si="4"/>
        <v>32945131.078595106</v>
      </c>
      <c r="AA16" s="196">
        <f t="shared" si="4"/>
        <v>33274582.389381059</v>
      </c>
      <c r="AB16" s="196">
        <f t="shared" si="4"/>
        <v>9000000</v>
      </c>
      <c r="AC16" s="196">
        <f t="shared" si="4"/>
        <v>9090000</v>
      </c>
      <c r="AD16" s="196">
        <f t="shared" si="4"/>
        <v>9180900</v>
      </c>
    </row>
    <row r="17" spans="1:30" x14ac:dyDescent="0.2">
      <c r="B17" s="195"/>
      <c r="C17" s="192" t="s">
        <v>167</v>
      </c>
      <c r="D17" s="192"/>
      <c r="E17" s="196">
        <v>4000000000</v>
      </c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</row>
    <row r="18" spans="1:30" x14ac:dyDescent="0.2">
      <c r="B18" s="195"/>
      <c r="C18" s="192" t="s">
        <v>168</v>
      </c>
      <c r="D18" s="192"/>
      <c r="E18" s="196">
        <v>2000000000</v>
      </c>
      <c r="F18" s="196"/>
      <c r="G18" s="196"/>
      <c r="H18" s="196"/>
      <c r="I18" s="196"/>
      <c r="J18" s="196">
        <v>1000000000</v>
      </c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</row>
    <row r="19" spans="1:30" x14ac:dyDescent="0.2">
      <c r="B19" s="195"/>
      <c r="C19" s="192" t="s">
        <v>183</v>
      </c>
      <c r="D19" s="192"/>
      <c r="E19" s="196">
        <v>20000000000</v>
      </c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</row>
    <row r="20" spans="1:30" x14ac:dyDescent="0.2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">
      <c r="B21" s="193" t="s">
        <v>164</v>
      </c>
      <c r="C21" s="193" t="s">
        <v>165</v>
      </c>
      <c r="D21" s="193"/>
      <c r="E21" s="197">
        <v>34839650543.172729</v>
      </c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</row>
    <row r="22" spans="1:30" x14ac:dyDescent="0.2">
      <c r="B22" s="193"/>
      <c r="C22" s="193" t="s">
        <v>181</v>
      </c>
      <c r="D22" s="193"/>
      <c r="E22" s="197"/>
      <c r="F22" s="197">
        <f>(F7*F5)+(F8*F10)</f>
        <v>10800000</v>
      </c>
      <c r="G22" s="197">
        <f>(G7*G5)+(G8*G10)</f>
        <v>10908000</v>
      </c>
      <c r="H22" s="197">
        <f>(H7*H5)+(H8*H10)</f>
        <v>11017080.000000002</v>
      </c>
      <c r="I22" s="197">
        <f>(I7*I5)+(I8*I10)</f>
        <v>11127250.800000003</v>
      </c>
      <c r="J22" s="197">
        <f>(J7*J5)+(J8*J10)</f>
        <v>864784116.48072898</v>
      </c>
      <c r="K22" s="197">
        <f>(K7*K5)+(K8*K10)</f>
        <v>11350908.541080002</v>
      </c>
      <c r="L22" s="197">
        <f>(L7*L5)+(L8*L10)</f>
        <v>11464417.626490802</v>
      </c>
      <c r="M22" s="197">
        <f>(M7*M5)+(M8*M10)</f>
        <v>11579061.80275571</v>
      </c>
      <c r="N22" s="197">
        <f>(N7*N5)+(N8*N10)</f>
        <v>11694852.420783266</v>
      </c>
      <c r="O22" s="197">
        <f>(O7*O5)+(O8*O10)</f>
        <v>11811800.944991099</v>
      </c>
      <c r="P22" s="197">
        <f>(P7*P5)+(P8*P10)</f>
        <v>8947439.2158307564</v>
      </c>
      <c r="Q22" s="197">
        <f>(Q7*Q5)+(Q8*Q10)</f>
        <v>9036913.6079890653</v>
      </c>
      <c r="R22" s="197">
        <f>(R7*R5)+(R8*R10)</f>
        <v>9127282.744068956</v>
      </c>
      <c r="S22" s="197">
        <f>(S7*S5)+(S8*S10)</f>
        <v>9218555.5715096463</v>
      </c>
      <c r="T22" s="197">
        <f>(T7*T5)+(T8*T10)</f>
        <v>649469936.00677145</v>
      </c>
      <c r="U22" s="197">
        <f>(U7*U5)+(U8*U10)</f>
        <v>9403848.5384969898</v>
      </c>
      <c r="V22" s="197">
        <f>(V7*V5)+(V8*V10)</f>
        <v>9497887.0238819588</v>
      </c>
      <c r="W22" s="197">
        <f>(W7*W5)+(W8*W10)</f>
        <v>9592865.8941207789</v>
      </c>
      <c r="X22" s="197">
        <f>(X7*X5)+(X8*X10)</f>
        <v>9688794.5530619863</v>
      </c>
      <c r="Y22" s="197">
        <f>(Y7*Y5)+(Y8*Y10)</f>
        <v>9785682.4985926058</v>
      </c>
      <c r="Z22" s="197">
        <f>(Z7*Z5)+(Z8*Z10)</f>
        <v>967651446.81200409</v>
      </c>
      <c r="AA22" s="197">
        <f>(AA7*AA5)+(AA8*AA10)</f>
        <v>7486781.0376107376</v>
      </c>
      <c r="AB22" s="197">
        <f>(AB7*AB5)+(AB8*AB10)</f>
        <v>2025000</v>
      </c>
      <c r="AC22" s="197">
        <f>(AC7*AC5)+(AC8*AC10)</f>
        <v>2045250</v>
      </c>
      <c r="AD22" s="197">
        <f>(AD7*AD5)+(AD8*AD10)</f>
        <v>1922543287.1386404</v>
      </c>
    </row>
    <row r="23" spans="1:30" x14ac:dyDescent="0.2">
      <c r="A23" s="8" t="s">
        <v>184</v>
      </c>
      <c r="B23" s="193"/>
      <c r="C23" s="193" t="s">
        <v>180</v>
      </c>
      <c r="D23" s="193"/>
      <c r="E23" s="197"/>
      <c r="F23" s="197">
        <f>($E$17/20)*1.04</f>
        <v>208000000</v>
      </c>
      <c r="G23" s="197">
        <f t="shared" ref="G23:AD23" si="5">($E$17/20)*1.04</f>
        <v>208000000</v>
      </c>
      <c r="H23" s="197">
        <f t="shared" si="5"/>
        <v>208000000</v>
      </c>
      <c r="I23" s="197">
        <f t="shared" si="5"/>
        <v>208000000</v>
      </c>
      <c r="J23" s="197">
        <f t="shared" si="5"/>
        <v>208000000</v>
      </c>
      <c r="K23" s="197">
        <f t="shared" si="5"/>
        <v>208000000</v>
      </c>
      <c r="L23" s="197">
        <f t="shared" si="5"/>
        <v>208000000</v>
      </c>
      <c r="M23" s="197">
        <f t="shared" si="5"/>
        <v>208000000</v>
      </c>
      <c r="N23" s="197">
        <f t="shared" si="5"/>
        <v>208000000</v>
      </c>
      <c r="O23" s="197">
        <f t="shared" si="5"/>
        <v>208000000</v>
      </c>
      <c r="P23" s="197">
        <f t="shared" si="5"/>
        <v>208000000</v>
      </c>
      <c r="Q23" s="197">
        <f t="shared" si="5"/>
        <v>208000000</v>
      </c>
      <c r="R23" s="197">
        <f t="shared" si="5"/>
        <v>208000000</v>
      </c>
      <c r="S23" s="197">
        <f t="shared" si="5"/>
        <v>208000000</v>
      </c>
      <c r="T23" s="197">
        <f t="shared" si="5"/>
        <v>208000000</v>
      </c>
      <c r="U23" s="197">
        <f t="shared" si="5"/>
        <v>208000000</v>
      </c>
      <c r="V23" s="197">
        <f t="shared" si="5"/>
        <v>208000000</v>
      </c>
      <c r="W23" s="197">
        <f t="shared" si="5"/>
        <v>208000000</v>
      </c>
      <c r="X23" s="197">
        <f t="shared" si="5"/>
        <v>208000000</v>
      </c>
      <c r="Y23" s="197">
        <f t="shared" si="5"/>
        <v>208000000</v>
      </c>
      <c r="Z23" s="197"/>
      <c r="AA23" s="197"/>
      <c r="AB23" s="197"/>
      <c r="AC23" s="197"/>
      <c r="AD23" s="197"/>
    </row>
    <row r="24" spans="1:30" x14ac:dyDescent="0.2">
      <c r="B24" s="193"/>
      <c r="C24" s="193"/>
      <c r="D24" s="193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</row>
    <row r="25" spans="1:30" x14ac:dyDescent="0.2">
      <c r="B25" s="193"/>
      <c r="C25" s="193"/>
      <c r="D25" s="193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</row>
    <row r="28" spans="1:30" x14ac:dyDescent="0.2">
      <c r="B28" t="s">
        <v>170</v>
      </c>
      <c r="E28" s="8">
        <f>SUM(E15:E19)-SUM(E21:E24)</f>
        <v>-8839650543.1727295</v>
      </c>
      <c r="F28" s="8">
        <f>SUM(F13:F19)-SUM(F21:F24)</f>
        <v>-9031450543.1727295</v>
      </c>
      <c r="G28" s="8">
        <f>SUM(G13:G19)-SUM(G21:G24)</f>
        <v>-9223088543.1727295</v>
      </c>
      <c r="H28" s="8">
        <f>SUM(H13:H19)-SUM(H21:H24)</f>
        <v>-9414562923.1727295</v>
      </c>
      <c r="I28" s="8">
        <f>SUM(I13:I19)-SUM(I21:I24)</f>
        <v>-9605872046.9727287</v>
      </c>
      <c r="J28" s="8">
        <f>SUM(J13:J19)-SUM(J21:J24)</f>
        <v>-4650559855.1834574</v>
      </c>
      <c r="K28" s="8">
        <f>SUM(K13:K19)-SUM(K21:K24)</f>
        <v>-4841533492.3718376</v>
      </c>
      <c r="L28" s="8">
        <f>SUM(L13:L19)-SUM(L21:L24)</f>
        <v>-5032336865.9321012</v>
      </c>
      <c r="M28" s="8">
        <f>SUM(M13:M19)-SUM(M21:M24)</f>
        <v>-5222968273.2279673</v>
      </c>
      <c r="N28" s="8">
        <f>SUM(N13:N19)-SUM(N21:N24)</f>
        <v>-5413425994.5967922</v>
      </c>
      <c r="O28" s="8">
        <f>SUM(O13:O19)-SUM(O21:O24)</f>
        <v>-5603708293.179306</v>
      </c>
      <c r="P28" s="8">
        <f>SUM(P13:P19)-SUM(P21:P24)</f>
        <v>-5790830935.0090342</v>
      </c>
      <c r="Q28" s="8">
        <f>SUM(Q13:Q19)-SUM(Q21:Q24)</f>
        <v>-5977744803.2570601</v>
      </c>
      <c r="R28" s="8">
        <f>SUM(R13:R19)-SUM(R21:R24)</f>
        <v>-6164447810.1875658</v>
      </c>
      <c r="S28" s="8">
        <f>SUM(S13:S19)-SUM(S21:S24)</f>
        <v>-6350937847.187376</v>
      </c>
      <c r="T28" s="8">
        <f>SUM(T13:T19)-SUM(T21:T24)</f>
        <v>-3177371979.4367318</v>
      </c>
      <c r="U28" s="8">
        <f>SUM(U13:U19)-SUM(U21:U24)</f>
        <v>-3363429666.1802387</v>
      </c>
      <c r="V28" s="8">
        <f>SUM(V13:V19)-SUM(V21:V24)</f>
        <v>-3549267929.7911806</v>
      </c>
      <c r="W28" s="8">
        <f>SUM(W13:W19)-SUM(W21:W24)</f>
        <v>-3734884576.0382318</v>
      </c>
      <c r="X28" s="8">
        <f>SUM(X13:X19)-SUM(X21:X24)</f>
        <v>-3920277388.7477536</v>
      </c>
      <c r="Y28" s="8">
        <f>SUM(Y13:Y19)-SUM(Y21:Y24)</f>
        <v>-4105444129.5843706</v>
      </c>
      <c r="Z28" s="8">
        <f>SUM(Z13:Z19)-SUM(Z21:Z24)</f>
        <v>959849554.68222046</v>
      </c>
      <c r="AA28" s="8">
        <f>SUM(AA13:AA19)-SUM(AA21:AA24)</f>
        <v>985637356.03399074</v>
      </c>
      <c r="AB28" s="8">
        <f>SUM(AB13:AB19)-SUM(AB21:AB24)</f>
        <v>992612356.03399074</v>
      </c>
      <c r="AC28" s="8">
        <f>SUM(AC13:AC19)-SUM(AC21:AC24)</f>
        <v>999657106.03399074</v>
      </c>
      <c r="AD28" s="8">
        <f>SUM(AD13:AD19)-SUM(AD21:AD24)</f>
        <v>11086294718.895351</v>
      </c>
    </row>
    <row r="31" spans="1:30" x14ac:dyDescent="0.2">
      <c r="Z31" t="s">
        <v>185</v>
      </c>
    </row>
    <row r="35" spans="5:5" ht="20" x14ac:dyDescent="0.2">
      <c r="E35" s="199"/>
    </row>
  </sheetData>
  <mergeCells count="1"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Cashflow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2016-04-07T00:20:11Z</dcterms:created>
  <dcterms:modified xsi:type="dcterms:W3CDTF">2016-05-03T13:38:49Z</dcterms:modified>
</cp:coreProperties>
</file>